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eatica-my.sharepoint.com/personal/carlos_vargas_televia_com_mx/Documents/INGRESOS cv/06 Junio/06 Aforo Ingreso/"/>
    </mc:Choice>
  </mc:AlternateContent>
  <xr:revisionPtr revIDLastSave="61" documentId="14_{EF1490A8-C1A9-4811-AA36-007E04D443B8}" xr6:coauthVersionLast="47" xr6:coauthVersionMax="47" xr10:uidLastSave="{2EA62B19-62E9-42E4-AA64-9DD52D629F85}"/>
  <bookViews>
    <workbookView xWindow="-120" yWindow="-120" windowWidth="29040" windowHeight="15720" firstSheet="8" activeTab="11" xr2:uid="{00000000-000D-0000-FFFF-FFFF00000000}"/>
  </bookViews>
  <sheets>
    <sheet name="Aforo e Ingreso 2015" sheetId="4" r:id="rId1"/>
    <sheet name="Aforo e Ingreso 2016" sheetId="2" r:id="rId2"/>
    <sheet name="Aforo e Ingreso 2017" sheetId="3" r:id="rId3"/>
    <sheet name="Aforo e Ingreso 2018" sheetId="5" r:id="rId4"/>
    <sheet name="Aforo e Ingreso 2019" sheetId="6" r:id="rId5"/>
    <sheet name="Aforo e Ingreso 2020" sheetId="8" r:id="rId6"/>
    <sheet name="Aforo e Ingreso 2021" sheetId="9" r:id="rId7"/>
    <sheet name="Aforo e Ingreso 2022" sheetId="12" r:id="rId8"/>
    <sheet name="Aforo e Ingreso 2023" sheetId="13" r:id="rId9"/>
    <sheet name="Aforo e Ingreso 2024" sheetId="17" r:id="rId10"/>
    <sheet name="Aforo e Ingreso 2025" sheetId="18" r:id="rId11"/>
    <sheet name="Aforo e Ingreso 2026" sheetId="19" r:id="rId12"/>
    <sheet name="Hoja2" sheetId="15" state="hidden" r:id="rId13"/>
  </sheets>
  <definedNames>
    <definedName name="_xlnm._FilterDatabase" localSheetId="3" hidden="1">'Aforo e Ingreso 2018'!$B$6:$AE$187</definedName>
    <definedName name="_xlnm._FilterDatabase" localSheetId="4" hidden="1">'Aforo e Ingreso 2019'!$B$6:$Q$210</definedName>
    <definedName name="_xlnm._FilterDatabase" localSheetId="5" hidden="1">'Aforo e Ingreso 2020'!$B$6:$AY$273</definedName>
    <definedName name="_xlnm._FilterDatabase" localSheetId="6" hidden="1">'Aforo e Ingreso 2021'!$B$6:$AS$294</definedName>
    <definedName name="_xlnm._FilterDatabase" localSheetId="7" hidden="1">'Aforo e Ingreso 2022'!$B$6:$AW$315</definedName>
    <definedName name="_xlnm._FilterDatabase" localSheetId="8" hidden="1">'Aforo e Ingreso 2023'!$A$6:$AW$555</definedName>
    <definedName name="_xlnm._FilterDatabase" localSheetId="9" hidden="1">'Aforo e Ingreso 2024'!$A$6:$AQ$601</definedName>
    <definedName name="_xlnm._FilterDatabase" localSheetId="10" hidden="1">'Aforo e Ingreso 2025'!$A$6:$AQ$643</definedName>
    <definedName name="_xlnm._FilterDatabase" localSheetId="11" hidden="1">'Aforo e Ingreso 2026'!$A$6:$AQ$643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23" i="19" l="1"/>
  <c r="T76" i="19" l="1"/>
  <c r="U76" i="19"/>
  <c r="N360" i="17" l="1"/>
  <c r="N359" i="17"/>
  <c r="N358" i="17"/>
  <c r="N357" i="17"/>
  <c r="T75" i="19"/>
  <c r="U75" i="19"/>
  <c r="T53" i="19" l="1"/>
  <c r="U53" i="19"/>
  <c r="T212" i="19"/>
  <c r="U212" i="19"/>
  <c r="AB96" i="19" l="1"/>
  <c r="AA96" i="19"/>
  <c r="AA10" i="19"/>
  <c r="F632" i="19"/>
  <c r="D610" i="19"/>
  <c r="U99" i="19" l="1"/>
  <c r="T99" i="19"/>
  <c r="U98" i="19"/>
  <c r="T98" i="19"/>
  <c r="U97" i="19"/>
  <c r="T97" i="19"/>
  <c r="U96" i="19"/>
  <c r="T96" i="19"/>
  <c r="U95" i="19"/>
  <c r="T95" i="19"/>
  <c r="U94" i="19"/>
  <c r="T94" i="19"/>
  <c r="U93" i="19"/>
  <c r="T93" i="19"/>
  <c r="H161" i="18" l="1"/>
  <c r="U100" i="19" l="1"/>
  <c r="T100" i="19"/>
  <c r="U115" i="19" l="1"/>
  <c r="T115" i="19"/>
  <c r="U114" i="19"/>
  <c r="T114" i="19"/>
  <c r="U113" i="19"/>
  <c r="T113" i="19"/>
  <c r="U112" i="19"/>
  <c r="T112" i="19"/>
  <c r="U111" i="19"/>
  <c r="T111" i="19"/>
  <c r="U110" i="19"/>
  <c r="T110" i="19"/>
  <c r="U109" i="19"/>
  <c r="T109" i="19"/>
  <c r="U108" i="19"/>
  <c r="T108" i="19"/>
  <c r="U107" i="19"/>
  <c r="T107" i="19"/>
  <c r="U106" i="19"/>
  <c r="T106" i="19"/>
  <c r="U105" i="19"/>
  <c r="T105" i="19"/>
  <c r="U104" i="19"/>
  <c r="T104" i="19"/>
  <c r="U103" i="19"/>
  <c r="T103" i="19"/>
  <c r="U102" i="19"/>
  <c r="T102" i="19"/>
  <c r="U101" i="19"/>
  <c r="T101" i="19"/>
  <c r="K621" i="19" l="1"/>
  <c r="J621" i="19"/>
  <c r="I621" i="19"/>
  <c r="H621" i="19"/>
  <c r="G621" i="19"/>
  <c r="F621" i="19"/>
  <c r="E621" i="19"/>
  <c r="D621" i="19"/>
  <c r="K620" i="19"/>
  <c r="J620" i="19"/>
  <c r="I620" i="19"/>
  <c r="H620" i="19"/>
  <c r="G620" i="19"/>
  <c r="F620" i="19"/>
  <c r="E620" i="19"/>
  <c r="D620" i="19"/>
  <c r="K619" i="19"/>
  <c r="J619" i="19"/>
  <c r="I619" i="19"/>
  <c r="H619" i="19"/>
  <c r="G619" i="19"/>
  <c r="F619" i="19"/>
  <c r="E619" i="19"/>
  <c r="D619" i="19"/>
  <c r="K618" i="19"/>
  <c r="J618" i="19"/>
  <c r="I618" i="19"/>
  <c r="H618" i="19"/>
  <c r="G618" i="19"/>
  <c r="F618" i="19"/>
  <c r="E618" i="19"/>
  <c r="D618" i="19"/>
  <c r="K617" i="19"/>
  <c r="J617" i="19"/>
  <c r="I617" i="19"/>
  <c r="H617" i="19"/>
  <c r="G617" i="19"/>
  <c r="F617" i="19"/>
  <c r="E617" i="19"/>
  <c r="D617" i="19"/>
  <c r="K616" i="19"/>
  <c r="J616" i="19"/>
  <c r="I616" i="19"/>
  <c r="H616" i="19"/>
  <c r="G616" i="19"/>
  <c r="F616" i="19"/>
  <c r="E616" i="19"/>
  <c r="D616" i="19"/>
  <c r="K615" i="19"/>
  <c r="J615" i="19"/>
  <c r="I615" i="19"/>
  <c r="H615" i="19"/>
  <c r="G615" i="19"/>
  <c r="F615" i="19"/>
  <c r="E615" i="19"/>
  <c r="D615" i="19"/>
  <c r="K614" i="19"/>
  <c r="J614" i="19"/>
  <c r="I614" i="19"/>
  <c r="H614" i="19"/>
  <c r="G614" i="19"/>
  <c r="F614" i="19"/>
  <c r="E614" i="19"/>
  <c r="D614" i="19"/>
  <c r="K613" i="19"/>
  <c r="J613" i="19"/>
  <c r="I613" i="19"/>
  <c r="H613" i="19"/>
  <c r="G613" i="19"/>
  <c r="F613" i="19"/>
  <c r="E613" i="19"/>
  <c r="D613" i="19"/>
  <c r="K612" i="19"/>
  <c r="J612" i="19"/>
  <c r="I612" i="19"/>
  <c r="H612" i="19"/>
  <c r="G612" i="19"/>
  <c r="F612" i="19"/>
  <c r="E612" i="19"/>
  <c r="D612" i="19"/>
  <c r="K611" i="19"/>
  <c r="J611" i="19"/>
  <c r="I611" i="19"/>
  <c r="H611" i="19"/>
  <c r="G611" i="19"/>
  <c r="F611" i="19"/>
  <c r="E611" i="19"/>
  <c r="D611" i="19"/>
  <c r="K610" i="19"/>
  <c r="J610" i="19"/>
  <c r="I610" i="19"/>
  <c r="H610" i="19"/>
  <c r="G610" i="19"/>
  <c r="F610" i="19"/>
  <c r="E610" i="19"/>
  <c r="K602" i="19"/>
  <c r="J602" i="19"/>
  <c r="I602" i="19"/>
  <c r="H602" i="19"/>
  <c r="G602" i="19"/>
  <c r="F602" i="19"/>
  <c r="E602" i="19"/>
  <c r="D602" i="19"/>
  <c r="M600" i="19"/>
  <c r="O600" i="19" s="1"/>
  <c r="L600" i="19"/>
  <c r="N600" i="19" s="1"/>
  <c r="M599" i="19"/>
  <c r="O599" i="19" s="1"/>
  <c r="L599" i="19"/>
  <c r="N599" i="19" s="1"/>
  <c r="M598" i="19"/>
  <c r="O598" i="19" s="1"/>
  <c r="L598" i="19"/>
  <c r="N598" i="19" s="1"/>
  <c r="M597" i="19"/>
  <c r="O597" i="19" s="1"/>
  <c r="L597" i="19"/>
  <c r="N597" i="19" s="1"/>
  <c r="M596" i="19"/>
  <c r="O596" i="19" s="1"/>
  <c r="L596" i="19"/>
  <c r="N596" i="19" s="1"/>
  <c r="M595" i="19"/>
  <c r="O595" i="19" s="1"/>
  <c r="L595" i="19"/>
  <c r="N595" i="19" s="1"/>
  <c r="M594" i="19"/>
  <c r="O594" i="19" s="1"/>
  <c r="L594" i="19"/>
  <c r="N594" i="19" s="1"/>
  <c r="M593" i="19"/>
  <c r="O593" i="19" s="1"/>
  <c r="L593" i="19"/>
  <c r="N593" i="19" s="1"/>
  <c r="M592" i="19"/>
  <c r="O592" i="19" s="1"/>
  <c r="L592" i="19"/>
  <c r="N592" i="19" s="1"/>
  <c r="M591" i="19"/>
  <c r="O591" i="19" s="1"/>
  <c r="L591" i="19"/>
  <c r="N591" i="19" s="1"/>
  <c r="M590" i="19"/>
  <c r="O590" i="19" s="1"/>
  <c r="L590" i="19"/>
  <c r="N590" i="19" s="1"/>
  <c r="M589" i="19"/>
  <c r="O589" i="19" s="1"/>
  <c r="L589" i="19"/>
  <c r="K581" i="19"/>
  <c r="J581" i="19"/>
  <c r="I581" i="19"/>
  <c r="H581" i="19"/>
  <c r="G581" i="19"/>
  <c r="F581" i="19"/>
  <c r="E581" i="19"/>
  <c r="D581" i="19"/>
  <c r="M579" i="19"/>
  <c r="O579" i="19" s="1"/>
  <c r="L579" i="19"/>
  <c r="N579" i="19" s="1"/>
  <c r="M578" i="19"/>
  <c r="O578" i="19" s="1"/>
  <c r="L578" i="19"/>
  <c r="N578" i="19" s="1"/>
  <c r="M577" i="19"/>
  <c r="O577" i="19" s="1"/>
  <c r="L577" i="19"/>
  <c r="N577" i="19" s="1"/>
  <c r="M576" i="19"/>
  <c r="O576" i="19" s="1"/>
  <c r="L576" i="19"/>
  <c r="N576" i="19" s="1"/>
  <c r="M575" i="19"/>
  <c r="O575" i="19" s="1"/>
  <c r="L575" i="19"/>
  <c r="N575" i="19" s="1"/>
  <c r="M574" i="19"/>
  <c r="O574" i="19" s="1"/>
  <c r="L574" i="19"/>
  <c r="N574" i="19" s="1"/>
  <c r="M573" i="19"/>
  <c r="O573" i="19" s="1"/>
  <c r="L573" i="19"/>
  <c r="N573" i="19" s="1"/>
  <c r="M572" i="19"/>
  <c r="O572" i="19" s="1"/>
  <c r="L572" i="19"/>
  <c r="N572" i="19" s="1"/>
  <c r="M571" i="19"/>
  <c r="O571" i="19" s="1"/>
  <c r="L571" i="19"/>
  <c r="N571" i="19" s="1"/>
  <c r="M570" i="19"/>
  <c r="O570" i="19" s="1"/>
  <c r="L570" i="19"/>
  <c r="N570" i="19" s="1"/>
  <c r="M569" i="19"/>
  <c r="O569" i="19" s="1"/>
  <c r="L569" i="19"/>
  <c r="N569" i="19" s="1"/>
  <c r="M568" i="19"/>
  <c r="L568" i="19"/>
  <c r="K560" i="19"/>
  <c r="J560" i="19"/>
  <c r="I560" i="19"/>
  <c r="H560" i="19"/>
  <c r="G560" i="19"/>
  <c r="F560" i="19"/>
  <c r="E560" i="19"/>
  <c r="D560" i="19"/>
  <c r="M558" i="19"/>
  <c r="O558" i="19" s="1"/>
  <c r="L558" i="19"/>
  <c r="N558" i="19" s="1"/>
  <c r="M557" i="19"/>
  <c r="O557" i="19" s="1"/>
  <c r="L557" i="19"/>
  <c r="N557" i="19" s="1"/>
  <c r="M556" i="19"/>
  <c r="O556" i="19" s="1"/>
  <c r="L556" i="19"/>
  <c r="N556" i="19" s="1"/>
  <c r="M555" i="19"/>
  <c r="O555" i="19" s="1"/>
  <c r="L555" i="19"/>
  <c r="N555" i="19" s="1"/>
  <c r="M554" i="19"/>
  <c r="O554" i="19" s="1"/>
  <c r="L554" i="19"/>
  <c r="N554" i="19" s="1"/>
  <c r="M553" i="19"/>
  <c r="O553" i="19" s="1"/>
  <c r="L553" i="19"/>
  <c r="M552" i="19"/>
  <c r="O552" i="19" s="1"/>
  <c r="L552" i="19"/>
  <c r="N552" i="19" s="1"/>
  <c r="M551" i="19"/>
  <c r="O551" i="19" s="1"/>
  <c r="L551" i="19"/>
  <c r="N551" i="19" s="1"/>
  <c r="M550" i="19"/>
  <c r="O550" i="19" s="1"/>
  <c r="L550" i="19"/>
  <c r="M549" i="19"/>
  <c r="O549" i="19" s="1"/>
  <c r="L549" i="19"/>
  <c r="N549" i="19" s="1"/>
  <c r="M548" i="19"/>
  <c r="O548" i="19" s="1"/>
  <c r="L548" i="19"/>
  <c r="N548" i="19" s="1"/>
  <c r="M547" i="19"/>
  <c r="L547" i="19"/>
  <c r="N547" i="19" s="1"/>
  <c r="K539" i="19"/>
  <c r="J539" i="19"/>
  <c r="I539" i="19"/>
  <c r="H539" i="19"/>
  <c r="G539" i="19"/>
  <c r="F539" i="19"/>
  <c r="E539" i="19"/>
  <c r="D539" i="19"/>
  <c r="M537" i="19"/>
  <c r="O537" i="19" s="1"/>
  <c r="L537" i="19"/>
  <c r="N537" i="19" s="1"/>
  <c r="M536" i="19"/>
  <c r="O536" i="19" s="1"/>
  <c r="L536" i="19"/>
  <c r="N536" i="19" s="1"/>
  <c r="M535" i="19"/>
  <c r="O535" i="19" s="1"/>
  <c r="L535" i="19"/>
  <c r="N535" i="19" s="1"/>
  <c r="M534" i="19"/>
  <c r="O534" i="19" s="1"/>
  <c r="L534" i="19"/>
  <c r="N534" i="19" s="1"/>
  <c r="M533" i="19"/>
  <c r="O533" i="19" s="1"/>
  <c r="L533" i="19"/>
  <c r="N533" i="19" s="1"/>
  <c r="M532" i="19"/>
  <c r="O532" i="19" s="1"/>
  <c r="L532" i="19"/>
  <c r="N532" i="19" s="1"/>
  <c r="M531" i="19"/>
  <c r="O531" i="19" s="1"/>
  <c r="L531" i="19"/>
  <c r="N531" i="19" s="1"/>
  <c r="M530" i="19"/>
  <c r="O530" i="19" s="1"/>
  <c r="L530" i="19"/>
  <c r="N530" i="19" s="1"/>
  <c r="M529" i="19"/>
  <c r="O529" i="19" s="1"/>
  <c r="L529" i="19"/>
  <c r="N529" i="19" s="1"/>
  <c r="M528" i="19"/>
  <c r="O528" i="19" s="1"/>
  <c r="L528" i="19"/>
  <c r="M527" i="19"/>
  <c r="O527" i="19" s="1"/>
  <c r="L527" i="19"/>
  <c r="N527" i="19" s="1"/>
  <c r="M526" i="19"/>
  <c r="L526" i="19"/>
  <c r="N526" i="19" s="1"/>
  <c r="K518" i="19"/>
  <c r="J518" i="19"/>
  <c r="I518" i="19"/>
  <c r="H518" i="19"/>
  <c r="G518" i="19"/>
  <c r="F518" i="19"/>
  <c r="E518" i="19"/>
  <c r="D518" i="19"/>
  <c r="M516" i="19"/>
  <c r="O516" i="19" s="1"/>
  <c r="L516" i="19"/>
  <c r="N516" i="19" s="1"/>
  <c r="M515" i="19"/>
  <c r="O515" i="19" s="1"/>
  <c r="L515" i="19"/>
  <c r="N515" i="19" s="1"/>
  <c r="M514" i="19"/>
  <c r="O514" i="19" s="1"/>
  <c r="L514" i="19"/>
  <c r="N514" i="19" s="1"/>
  <c r="M513" i="19"/>
  <c r="O513" i="19" s="1"/>
  <c r="L513" i="19"/>
  <c r="N513" i="19" s="1"/>
  <c r="M512" i="19"/>
  <c r="O512" i="19" s="1"/>
  <c r="L512" i="19"/>
  <c r="N512" i="19" s="1"/>
  <c r="M511" i="19"/>
  <c r="O511" i="19" s="1"/>
  <c r="L511" i="19"/>
  <c r="N511" i="19" s="1"/>
  <c r="M510" i="19"/>
  <c r="O510" i="19" s="1"/>
  <c r="L510" i="19"/>
  <c r="N510" i="19" s="1"/>
  <c r="M509" i="19"/>
  <c r="O509" i="19" s="1"/>
  <c r="L509" i="19"/>
  <c r="N509" i="19" s="1"/>
  <c r="M508" i="19"/>
  <c r="O508" i="19" s="1"/>
  <c r="L508" i="19"/>
  <c r="N508" i="19" s="1"/>
  <c r="M507" i="19"/>
  <c r="O507" i="19" s="1"/>
  <c r="L507" i="19"/>
  <c r="N507" i="19" s="1"/>
  <c r="M506" i="19"/>
  <c r="O506" i="19" s="1"/>
  <c r="L506" i="19"/>
  <c r="N506" i="19" s="1"/>
  <c r="M505" i="19"/>
  <c r="L505" i="19"/>
  <c r="N505" i="19" s="1"/>
  <c r="K497" i="19"/>
  <c r="J497" i="19"/>
  <c r="I497" i="19"/>
  <c r="H497" i="19"/>
  <c r="G497" i="19"/>
  <c r="F497" i="19"/>
  <c r="E497" i="19"/>
  <c r="D497" i="19"/>
  <c r="M495" i="19"/>
  <c r="O495" i="19" s="1"/>
  <c r="L495" i="19"/>
  <c r="N495" i="19" s="1"/>
  <c r="M494" i="19"/>
  <c r="O494" i="19" s="1"/>
  <c r="L494" i="19"/>
  <c r="N494" i="19" s="1"/>
  <c r="M493" i="19"/>
  <c r="O493" i="19" s="1"/>
  <c r="L493" i="19"/>
  <c r="N493" i="19" s="1"/>
  <c r="M492" i="19"/>
  <c r="O492" i="19" s="1"/>
  <c r="L492" i="19"/>
  <c r="N492" i="19" s="1"/>
  <c r="M491" i="19"/>
  <c r="O491" i="19" s="1"/>
  <c r="L491" i="19"/>
  <c r="N491" i="19" s="1"/>
  <c r="M490" i="19"/>
  <c r="O490" i="19" s="1"/>
  <c r="L490" i="19"/>
  <c r="N490" i="19" s="1"/>
  <c r="M489" i="19"/>
  <c r="O489" i="19" s="1"/>
  <c r="L489" i="19"/>
  <c r="N489" i="19" s="1"/>
  <c r="M488" i="19"/>
  <c r="O488" i="19" s="1"/>
  <c r="L488" i="19"/>
  <c r="N488" i="19" s="1"/>
  <c r="M487" i="19"/>
  <c r="O487" i="19" s="1"/>
  <c r="L487" i="19"/>
  <c r="N487" i="19" s="1"/>
  <c r="M486" i="19"/>
  <c r="O486" i="19" s="1"/>
  <c r="L486" i="19"/>
  <c r="N486" i="19" s="1"/>
  <c r="M485" i="19"/>
  <c r="O485" i="19" s="1"/>
  <c r="L485" i="19"/>
  <c r="N485" i="19" s="1"/>
  <c r="M484" i="19"/>
  <c r="L484" i="19"/>
  <c r="N484" i="19" s="1"/>
  <c r="K476" i="19"/>
  <c r="J476" i="19"/>
  <c r="I476" i="19"/>
  <c r="H476" i="19"/>
  <c r="G476" i="19"/>
  <c r="F476" i="19"/>
  <c r="E476" i="19"/>
  <c r="D476" i="19"/>
  <c r="M474" i="19"/>
  <c r="O474" i="19" s="1"/>
  <c r="L474" i="19"/>
  <c r="N474" i="19" s="1"/>
  <c r="M473" i="19"/>
  <c r="O473" i="19" s="1"/>
  <c r="L473" i="19"/>
  <c r="N473" i="19" s="1"/>
  <c r="M472" i="19"/>
  <c r="O472" i="19" s="1"/>
  <c r="L472" i="19"/>
  <c r="N472" i="19" s="1"/>
  <c r="M471" i="19"/>
  <c r="O471" i="19" s="1"/>
  <c r="L471" i="19"/>
  <c r="N471" i="19" s="1"/>
  <c r="M470" i="19"/>
  <c r="O470" i="19" s="1"/>
  <c r="L470" i="19"/>
  <c r="N470" i="19" s="1"/>
  <c r="M469" i="19"/>
  <c r="O469" i="19" s="1"/>
  <c r="L469" i="19"/>
  <c r="N469" i="19" s="1"/>
  <c r="M468" i="19"/>
  <c r="O468" i="19" s="1"/>
  <c r="L468" i="19"/>
  <c r="N468" i="19" s="1"/>
  <c r="M467" i="19"/>
  <c r="O467" i="19" s="1"/>
  <c r="L467" i="19"/>
  <c r="N467" i="19" s="1"/>
  <c r="M466" i="19"/>
  <c r="O466" i="19" s="1"/>
  <c r="L466" i="19"/>
  <c r="N466" i="19" s="1"/>
  <c r="M465" i="19"/>
  <c r="O465" i="19" s="1"/>
  <c r="L465" i="19"/>
  <c r="N465" i="19" s="1"/>
  <c r="M464" i="19"/>
  <c r="L464" i="19"/>
  <c r="N464" i="19" s="1"/>
  <c r="M463" i="19"/>
  <c r="O463" i="19" s="1"/>
  <c r="L463" i="19"/>
  <c r="N463" i="19" s="1"/>
  <c r="K455" i="19"/>
  <c r="J455" i="19"/>
  <c r="I455" i="19"/>
  <c r="H455" i="19"/>
  <c r="G455" i="19"/>
  <c r="F455" i="19"/>
  <c r="E455" i="19"/>
  <c r="D455" i="19"/>
  <c r="M453" i="19"/>
  <c r="O453" i="19" s="1"/>
  <c r="L453" i="19"/>
  <c r="N453" i="19" s="1"/>
  <c r="M452" i="19"/>
  <c r="O452" i="19" s="1"/>
  <c r="L452" i="19"/>
  <c r="N452" i="19" s="1"/>
  <c r="M451" i="19"/>
  <c r="O451" i="19" s="1"/>
  <c r="L451" i="19"/>
  <c r="N451" i="19" s="1"/>
  <c r="M450" i="19"/>
  <c r="O450" i="19" s="1"/>
  <c r="L450" i="19"/>
  <c r="N450" i="19" s="1"/>
  <c r="M449" i="19"/>
  <c r="O449" i="19" s="1"/>
  <c r="L449" i="19"/>
  <c r="N449" i="19" s="1"/>
  <c r="M448" i="19"/>
  <c r="O448" i="19" s="1"/>
  <c r="L448" i="19"/>
  <c r="N448" i="19" s="1"/>
  <c r="M447" i="19"/>
  <c r="O447" i="19" s="1"/>
  <c r="L447" i="19"/>
  <c r="N447" i="19" s="1"/>
  <c r="M446" i="19"/>
  <c r="O446" i="19" s="1"/>
  <c r="L446" i="19"/>
  <c r="N446" i="19" s="1"/>
  <c r="M445" i="19"/>
  <c r="O445" i="19" s="1"/>
  <c r="L445" i="19"/>
  <c r="N445" i="19" s="1"/>
  <c r="M444" i="19"/>
  <c r="O444" i="19" s="1"/>
  <c r="L444" i="19"/>
  <c r="N444" i="19" s="1"/>
  <c r="M443" i="19"/>
  <c r="O443" i="19" s="1"/>
  <c r="L443" i="19"/>
  <c r="N443" i="19" s="1"/>
  <c r="M442" i="19"/>
  <c r="L442" i="19"/>
  <c r="K434" i="19"/>
  <c r="J434" i="19"/>
  <c r="I434" i="19"/>
  <c r="H434" i="19"/>
  <c r="G434" i="19"/>
  <c r="F434" i="19"/>
  <c r="E434" i="19"/>
  <c r="D434" i="19"/>
  <c r="M432" i="19"/>
  <c r="O432" i="19" s="1"/>
  <c r="L432" i="19"/>
  <c r="N432" i="19" s="1"/>
  <c r="M431" i="19"/>
  <c r="O431" i="19" s="1"/>
  <c r="L431" i="19"/>
  <c r="N431" i="19" s="1"/>
  <c r="M430" i="19"/>
  <c r="O430" i="19" s="1"/>
  <c r="L430" i="19"/>
  <c r="N430" i="19" s="1"/>
  <c r="M429" i="19"/>
  <c r="O429" i="19" s="1"/>
  <c r="L429" i="19"/>
  <c r="N429" i="19" s="1"/>
  <c r="M428" i="19"/>
  <c r="O428" i="19" s="1"/>
  <c r="L428" i="19"/>
  <c r="N428" i="19" s="1"/>
  <c r="M427" i="19"/>
  <c r="O427" i="19" s="1"/>
  <c r="L427" i="19"/>
  <c r="N427" i="19" s="1"/>
  <c r="M426" i="19"/>
  <c r="O426" i="19" s="1"/>
  <c r="L426" i="19"/>
  <c r="N426" i="19" s="1"/>
  <c r="M425" i="19"/>
  <c r="O425" i="19" s="1"/>
  <c r="L425" i="19"/>
  <c r="N425" i="19" s="1"/>
  <c r="M424" i="19"/>
  <c r="O424" i="19" s="1"/>
  <c r="L424" i="19"/>
  <c r="N424" i="19" s="1"/>
  <c r="M423" i="19"/>
  <c r="O423" i="19" s="1"/>
  <c r="L423" i="19"/>
  <c r="N423" i="19" s="1"/>
  <c r="M422" i="19"/>
  <c r="O422" i="19" s="1"/>
  <c r="L422" i="19"/>
  <c r="N422" i="19" s="1"/>
  <c r="M421" i="19"/>
  <c r="O421" i="19" s="1"/>
  <c r="L421" i="19"/>
  <c r="N421" i="19" s="1"/>
  <c r="K413" i="19"/>
  <c r="J413" i="19"/>
  <c r="I413" i="19"/>
  <c r="H413" i="19"/>
  <c r="G413" i="19"/>
  <c r="F413" i="19"/>
  <c r="E413" i="19"/>
  <c r="D413" i="19"/>
  <c r="M411" i="19"/>
  <c r="O411" i="19" s="1"/>
  <c r="L411" i="19"/>
  <c r="N411" i="19" s="1"/>
  <c r="M410" i="19"/>
  <c r="O410" i="19" s="1"/>
  <c r="L410" i="19"/>
  <c r="N410" i="19" s="1"/>
  <c r="M409" i="19"/>
  <c r="O409" i="19" s="1"/>
  <c r="L409" i="19"/>
  <c r="N409" i="19" s="1"/>
  <c r="M408" i="19"/>
  <c r="O408" i="19" s="1"/>
  <c r="L408" i="19"/>
  <c r="N408" i="19" s="1"/>
  <c r="M407" i="19"/>
  <c r="O407" i="19" s="1"/>
  <c r="L407" i="19"/>
  <c r="N407" i="19" s="1"/>
  <c r="M406" i="19"/>
  <c r="O406" i="19" s="1"/>
  <c r="L406" i="19"/>
  <c r="N406" i="19" s="1"/>
  <c r="M405" i="19"/>
  <c r="O405" i="19" s="1"/>
  <c r="L405" i="19"/>
  <c r="N405" i="19" s="1"/>
  <c r="M404" i="19"/>
  <c r="O404" i="19" s="1"/>
  <c r="L404" i="19"/>
  <c r="N404" i="19" s="1"/>
  <c r="M403" i="19"/>
  <c r="O403" i="19" s="1"/>
  <c r="L403" i="19"/>
  <c r="N403" i="19" s="1"/>
  <c r="M402" i="19"/>
  <c r="O402" i="19" s="1"/>
  <c r="L402" i="19"/>
  <c r="N402" i="19" s="1"/>
  <c r="M401" i="19"/>
  <c r="O401" i="19" s="1"/>
  <c r="L401" i="19"/>
  <c r="N401" i="19" s="1"/>
  <c r="M400" i="19"/>
  <c r="O400" i="19" s="1"/>
  <c r="L400" i="19"/>
  <c r="N400" i="19" s="1"/>
  <c r="G392" i="19"/>
  <c r="F392" i="19"/>
  <c r="W391" i="19"/>
  <c r="V391" i="19"/>
  <c r="U391" i="19"/>
  <c r="S391" i="19"/>
  <c r="R391" i="19"/>
  <c r="Q391" i="19"/>
  <c r="P391" i="19"/>
  <c r="O391" i="19"/>
  <c r="N391" i="19"/>
  <c r="M391" i="19"/>
  <c r="L391" i="19"/>
  <c r="K391" i="19"/>
  <c r="J391" i="19"/>
  <c r="I391" i="19"/>
  <c r="H391" i="19"/>
  <c r="G391" i="19"/>
  <c r="F391" i="19"/>
  <c r="E391" i="19"/>
  <c r="D391" i="19"/>
  <c r="Y389" i="19"/>
  <c r="G643" i="19" s="1"/>
  <c r="X389" i="19"/>
  <c r="F643" i="19" s="1"/>
  <c r="Y388" i="19"/>
  <c r="G642" i="19" s="1"/>
  <c r="X388" i="19"/>
  <c r="F642" i="19" s="1"/>
  <c r="Y387" i="19"/>
  <c r="G641" i="19" s="1"/>
  <c r="X387" i="19"/>
  <c r="F641" i="19" s="1"/>
  <c r="Y386" i="19"/>
  <c r="G640" i="19" s="1"/>
  <c r="X386" i="19"/>
  <c r="F640" i="19" s="1"/>
  <c r="Y385" i="19"/>
  <c r="G639" i="19" s="1"/>
  <c r="X385" i="19"/>
  <c r="F639" i="19" s="1"/>
  <c r="Y384" i="19"/>
  <c r="G638" i="19" s="1"/>
  <c r="Y383" i="19"/>
  <c r="G637" i="19" s="1"/>
  <c r="X383" i="19"/>
  <c r="F637" i="19" s="1"/>
  <c r="Y382" i="19"/>
  <c r="G636" i="19" s="1"/>
  <c r="X382" i="19"/>
  <c r="F636" i="19" s="1"/>
  <c r="Y381" i="19"/>
  <c r="G635" i="19" s="1"/>
  <c r="X381" i="19"/>
  <c r="F635" i="19" s="1"/>
  <c r="Y380" i="19"/>
  <c r="G634" i="19" s="1"/>
  <c r="X380" i="19"/>
  <c r="F634" i="19" s="1"/>
  <c r="Y379" i="19"/>
  <c r="G633" i="19" s="1"/>
  <c r="X379" i="19"/>
  <c r="F633" i="19" s="1"/>
  <c r="Y378" i="19"/>
  <c r="G632" i="19" s="1"/>
  <c r="X378" i="19"/>
  <c r="J372" i="19"/>
  <c r="J371" i="19"/>
  <c r="S368" i="19"/>
  <c r="AL368" i="19" s="1"/>
  <c r="R368" i="19"/>
  <c r="AK368" i="19" s="1"/>
  <c r="Q368" i="19"/>
  <c r="AJ368" i="19" s="1"/>
  <c r="P368" i="19"/>
  <c r="AI368" i="19" s="1"/>
  <c r="O368" i="19"/>
  <c r="AH368" i="19" s="1"/>
  <c r="N368" i="19"/>
  <c r="AG368" i="19" s="1"/>
  <c r="M368" i="19"/>
  <c r="AF368" i="19" s="1"/>
  <c r="L368" i="19"/>
  <c r="AE368" i="19" s="1"/>
  <c r="K368" i="19"/>
  <c r="AD368" i="19" s="1"/>
  <c r="J368" i="19"/>
  <c r="AC368" i="19" s="1"/>
  <c r="I368" i="19"/>
  <c r="H368" i="19"/>
  <c r="G368" i="19"/>
  <c r="F368" i="19"/>
  <c r="E368" i="19"/>
  <c r="D368" i="19"/>
  <c r="S367" i="19"/>
  <c r="AL367" i="19" s="1"/>
  <c r="R367" i="19"/>
  <c r="AK367" i="19" s="1"/>
  <c r="Q367" i="19"/>
  <c r="AJ367" i="19" s="1"/>
  <c r="P367" i="19"/>
  <c r="AI367" i="19" s="1"/>
  <c r="O367" i="19"/>
  <c r="N367" i="19"/>
  <c r="AG367" i="19" s="1"/>
  <c r="M367" i="19"/>
  <c r="AF367" i="19" s="1"/>
  <c r="L367" i="19"/>
  <c r="K367" i="19"/>
  <c r="AD367" i="19" s="1"/>
  <c r="J367" i="19"/>
  <c r="AC367" i="19" s="1"/>
  <c r="I367" i="19"/>
  <c r="H367" i="19"/>
  <c r="G367" i="19"/>
  <c r="F367" i="19"/>
  <c r="E367" i="19"/>
  <c r="D367" i="19"/>
  <c r="S366" i="19"/>
  <c r="AL366" i="19" s="1"/>
  <c r="R366" i="19"/>
  <c r="AK366" i="19" s="1"/>
  <c r="Q366" i="19"/>
  <c r="AJ366" i="19" s="1"/>
  <c r="P366" i="19"/>
  <c r="AI366" i="19" s="1"/>
  <c r="O366" i="19"/>
  <c r="N366" i="19"/>
  <c r="AG366" i="19" s="1"/>
  <c r="M366" i="19"/>
  <c r="AF366" i="19" s="1"/>
  <c r="L366" i="19"/>
  <c r="K366" i="19"/>
  <c r="AD366" i="19" s="1"/>
  <c r="J366" i="19"/>
  <c r="AC366" i="19" s="1"/>
  <c r="I366" i="19"/>
  <c r="H366" i="19"/>
  <c r="G366" i="19"/>
  <c r="F366" i="19"/>
  <c r="E366" i="19"/>
  <c r="D366" i="19"/>
  <c r="S365" i="19"/>
  <c r="AL365" i="19" s="1"/>
  <c r="R365" i="19"/>
  <c r="AK365" i="19" s="1"/>
  <c r="Q365" i="19"/>
  <c r="AJ365" i="19" s="1"/>
  <c r="P365" i="19"/>
  <c r="AI365" i="19" s="1"/>
  <c r="O365" i="19"/>
  <c r="N365" i="19"/>
  <c r="M365" i="19"/>
  <c r="AF365" i="19" s="1"/>
  <c r="L365" i="19"/>
  <c r="AE365" i="19" s="1"/>
  <c r="K365" i="19"/>
  <c r="AD365" i="19" s="1"/>
  <c r="J365" i="19"/>
  <c r="AC365" i="19" s="1"/>
  <c r="I365" i="19"/>
  <c r="H365" i="19"/>
  <c r="G365" i="19"/>
  <c r="F365" i="19"/>
  <c r="E365" i="19"/>
  <c r="D365" i="19"/>
  <c r="S364" i="19"/>
  <c r="AL364" i="19" s="1"/>
  <c r="R364" i="19"/>
  <c r="AK364" i="19" s="1"/>
  <c r="Q364" i="19"/>
  <c r="AJ364" i="19" s="1"/>
  <c r="P364" i="19"/>
  <c r="AI364" i="19" s="1"/>
  <c r="O364" i="19"/>
  <c r="AH364" i="19" s="1"/>
  <c r="N364" i="19"/>
  <c r="M364" i="19"/>
  <c r="L364" i="19"/>
  <c r="AE364" i="19" s="1"/>
  <c r="K364" i="19"/>
  <c r="AD364" i="19" s="1"/>
  <c r="J364" i="19"/>
  <c r="AC364" i="19" s="1"/>
  <c r="I364" i="19"/>
  <c r="H364" i="19"/>
  <c r="G364" i="19"/>
  <c r="F364" i="19"/>
  <c r="E364" i="19"/>
  <c r="D364" i="19"/>
  <c r="S363" i="19"/>
  <c r="AL363" i="19" s="1"/>
  <c r="R363" i="19"/>
  <c r="AK363" i="19" s="1"/>
  <c r="Q363" i="19"/>
  <c r="AJ363" i="19" s="1"/>
  <c r="P363" i="19"/>
  <c r="AI363" i="19" s="1"/>
  <c r="O363" i="19"/>
  <c r="AH363" i="19" s="1"/>
  <c r="N363" i="19"/>
  <c r="AG363" i="19" s="1"/>
  <c r="M363" i="19"/>
  <c r="AF363" i="19" s="1"/>
  <c r="L363" i="19"/>
  <c r="K363" i="19"/>
  <c r="AD363" i="19" s="1"/>
  <c r="J363" i="19"/>
  <c r="AC363" i="19" s="1"/>
  <c r="I363" i="19"/>
  <c r="H363" i="19"/>
  <c r="G363" i="19"/>
  <c r="F363" i="19"/>
  <c r="E363" i="19"/>
  <c r="D363" i="19"/>
  <c r="S362" i="19"/>
  <c r="AL362" i="19" s="1"/>
  <c r="R362" i="19"/>
  <c r="Q362" i="19"/>
  <c r="AJ362" i="19" s="1"/>
  <c r="P362" i="19"/>
  <c r="AI362" i="19" s="1"/>
  <c r="O362" i="19"/>
  <c r="AH362" i="19" s="1"/>
  <c r="N362" i="19"/>
  <c r="AG362" i="19" s="1"/>
  <c r="M362" i="19"/>
  <c r="AF362" i="19" s="1"/>
  <c r="L362" i="19"/>
  <c r="AE362" i="19" s="1"/>
  <c r="K362" i="19"/>
  <c r="AD362" i="19" s="1"/>
  <c r="J362" i="19"/>
  <c r="AC362" i="19" s="1"/>
  <c r="I362" i="19"/>
  <c r="H362" i="19"/>
  <c r="G362" i="19"/>
  <c r="F362" i="19"/>
  <c r="E362" i="19"/>
  <c r="D362" i="19"/>
  <c r="S361" i="19"/>
  <c r="AL361" i="19" s="1"/>
  <c r="R361" i="19"/>
  <c r="AK361" i="19" s="1"/>
  <c r="Q361" i="19"/>
  <c r="AJ361" i="19" s="1"/>
  <c r="P361" i="19"/>
  <c r="AI361" i="19" s="1"/>
  <c r="O361" i="19"/>
  <c r="AH361" i="19" s="1"/>
  <c r="N361" i="19"/>
  <c r="M361" i="19"/>
  <c r="L361" i="19"/>
  <c r="AE361" i="19" s="1"/>
  <c r="K361" i="19"/>
  <c r="AD361" i="19" s="1"/>
  <c r="J361" i="19"/>
  <c r="I361" i="19"/>
  <c r="H361" i="19"/>
  <c r="G361" i="19"/>
  <c r="F361" i="19"/>
  <c r="E361" i="19"/>
  <c r="D361" i="19"/>
  <c r="S360" i="19"/>
  <c r="AL360" i="19" s="1"/>
  <c r="R360" i="19"/>
  <c r="AK360" i="19" s="1"/>
  <c r="Q360" i="19"/>
  <c r="AJ360" i="19" s="1"/>
  <c r="P360" i="19"/>
  <c r="AI360" i="19" s="1"/>
  <c r="O360" i="19"/>
  <c r="AH360" i="19" s="1"/>
  <c r="N360" i="19"/>
  <c r="M360" i="19"/>
  <c r="AF360" i="19" s="1"/>
  <c r="L360" i="19"/>
  <c r="AE360" i="19" s="1"/>
  <c r="K360" i="19"/>
  <c r="AD360" i="19" s="1"/>
  <c r="J360" i="19"/>
  <c r="I360" i="19"/>
  <c r="H360" i="19"/>
  <c r="G360" i="19"/>
  <c r="F360" i="19"/>
  <c r="E360" i="19"/>
  <c r="D360" i="19"/>
  <c r="S359" i="19"/>
  <c r="R359" i="19"/>
  <c r="AK359" i="19" s="1"/>
  <c r="Q359" i="19"/>
  <c r="AJ359" i="19" s="1"/>
  <c r="P359" i="19"/>
  <c r="AI359" i="19" s="1"/>
  <c r="O359" i="19"/>
  <c r="N359" i="19"/>
  <c r="M359" i="19"/>
  <c r="AF359" i="19" s="1"/>
  <c r="L359" i="19"/>
  <c r="AE359" i="19" s="1"/>
  <c r="K359" i="19"/>
  <c r="AD359" i="19" s="1"/>
  <c r="J359" i="19"/>
  <c r="AC359" i="19" s="1"/>
  <c r="I359" i="19"/>
  <c r="H359" i="19"/>
  <c r="G359" i="19"/>
  <c r="F359" i="19"/>
  <c r="E359" i="19"/>
  <c r="D359" i="19"/>
  <c r="S358" i="19"/>
  <c r="AL358" i="19" s="1"/>
  <c r="R358" i="19"/>
  <c r="AK358" i="19" s="1"/>
  <c r="Q358" i="19"/>
  <c r="AJ358" i="19" s="1"/>
  <c r="P358" i="19"/>
  <c r="AI358" i="19" s="1"/>
  <c r="O358" i="19"/>
  <c r="AH358" i="19" s="1"/>
  <c r="N358" i="19"/>
  <c r="AG358" i="19" s="1"/>
  <c r="M358" i="19"/>
  <c r="AF358" i="19" s="1"/>
  <c r="L358" i="19"/>
  <c r="AE358" i="19" s="1"/>
  <c r="K358" i="19"/>
  <c r="J358" i="19"/>
  <c r="I358" i="19"/>
  <c r="H358" i="19"/>
  <c r="G358" i="19"/>
  <c r="F358" i="19"/>
  <c r="E358" i="19"/>
  <c r="D358" i="19"/>
  <c r="S357" i="19"/>
  <c r="AL357" i="19" s="1"/>
  <c r="R357" i="19"/>
  <c r="AK357" i="19" s="1"/>
  <c r="Q357" i="19"/>
  <c r="P357" i="19"/>
  <c r="AI357" i="19" s="1"/>
  <c r="O357" i="19"/>
  <c r="N357" i="19"/>
  <c r="M357" i="19"/>
  <c r="L357" i="19"/>
  <c r="AE357" i="19" s="1"/>
  <c r="K357" i="19"/>
  <c r="J357" i="19"/>
  <c r="I357" i="19"/>
  <c r="H357" i="19"/>
  <c r="G357" i="19"/>
  <c r="F357" i="19"/>
  <c r="E357" i="19"/>
  <c r="D357" i="19"/>
  <c r="D632" i="19" s="1"/>
  <c r="J350" i="19"/>
  <c r="M349" i="19"/>
  <c r="L349" i="19"/>
  <c r="J349" i="19"/>
  <c r="S348" i="19"/>
  <c r="R348" i="19"/>
  <c r="Q348" i="19"/>
  <c r="P348" i="19"/>
  <c r="O348" i="19"/>
  <c r="N348" i="19"/>
  <c r="M348" i="19"/>
  <c r="L348" i="19"/>
  <c r="K348" i="19"/>
  <c r="J348" i="19"/>
  <c r="I348" i="19"/>
  <c r="H348" i="19"/>
  <c r="G348" i="19"/>
  <c r="F348" i="19"/>
  <c r="E348" i="19"/>
  <c r="D348" i="19"/>
  <c r="AO346" i="19"/>
  <c r="AL346" i="19"/>
  <c r="AK346" i="19"/>
  <c r="AJ346" i="19"/>
  <c r="AI346" i="19"/>
  <c r="AH346" i="19"/>
  <c r="AG346" i="19"/>
  <c r="AF346" i="19"/>
  <c r="AE346" i="19"/>
  <c r="AD346" i="19"/>
  <c r="AC346" i="19"/>
  <c r="AB346" i="19"/>
  <c r="AA346" i="19"/>
  <c r="U346" i="19"/>
  <c r="T346" i="19"/>
  <c r="AO345" i="19"/>
  <c r="AL345" i="19"/>
  <c r="AK345" i="19"/>
  <c r="AJ345" i="19"/>
  <c r="AI345" i="19"/>
  <c r="AH345" i="19"/>
  <c r="AG345" i="19"/>
  <c r="AF345" i="19"/>
  <c r="AE345" i="19"/>
  <c r="AD345" i="19"/>
  <c r="AC345" i="19"/>
  <c r="AB345" i="19"/>
  <c r="AA345" i="19"/>
  <c r="U345" i="19"/>
  <c r="T345" i="19"/>
  <c r="AO344" i="19"/>
  <c r="AL344" i="19"/>
  <c r="AK344" i="19"/>
  <c r="AJ344" i="19"/>
  <c r="AI344" i="19"/>
  <c r="AH344" i="19"/>
  <c r="AG344" i="19"/>
  <c r="AF344" i="19"/>
  <c r="AE344" i="19"/>
  <c r="AD344" i="19"/>
  <c r="AC344" i="19"/>
  <c r="AB344" i="19"/>
  <c r="AA344" i="19"/>
  <c r="U344" i="19"/>
  <c r="T344" i="19"/>
  <c r="AO343" i="19"/>
  <c r="AL343" i="19"/>
  <c r="AK343" i="19"/>
  <c r="AJ343" i="19"/>
  <c r="AI343" i="19"/>
  <c r="AH343" i="19"/>
  <c r="AG343" i="19"/>
  <c r="AF343" i="19"/>
  <c r="AE343" i="19"/>
  <c r="AD343" i="19"/>
  <c r="AC343" i="19"/>
  <c r="AB343" i="19"/>
  <c r="AA343" i="19"/>
  <c r="U343" i="19"/>
  <c r="T343" i="19"/>
  <c r="AO342" i="19"/>
  <c r="AL342" i="19"/>
  <c r="AK342" i="19"/>
  <c r="AJ342" i="19"/>
  <c r="AI342" i="19"/>
  <c r="AH342" i="19"/>
  <c r="AG342" i="19"/>
  <c r="AF342" i="19"/>
  <c r="AE342" i="19"/>
  <c r="AD342" i="19"/>
  <c r="AC342" i="19"/>
  <c r="AB342" i="19"/>
  <c r="AA342" i="19"/>
  <c r="U342" i="19"/>
  <c r="T342" i="19"/>
  <c r="AO341" i="19"/>
  <c r="AL341" i="19"/>
  <c r="AK341" i="19"/>
  <c r="AJ341" i="19"/>
  <c r="AI341" i="19"/>
  <c r="AH341" i="19"/>
  <c r="AG341" i="19"/>
  <c r="AF341" i="19"/>
  <c r="AE341" i="19"/>
  <c r="AD341" i="19"/>
  <c r="AC341" i="19"/>
  <c r="AB341" i="19"/>
  <c r="AA341" i="19"/>
  <c r="U341" i="19"/>
  <c r="T341" i="19"/>
  <c r="AO340" i="19"/>
  <c r="AL340" i="19"/>
  <c r="AK340" i="19"/>
  <c r="AJ340" i="19"/>
  <c r="AI340" i="19"/>
  <c r="AH340" i="19"/>
  <c r="AG340" i="19"/>
  <c r="AF340" i="19"/>
  <c r="AE340" i="19"/>
  <c r="AD340" i="19"/>
  <c r="AC340" i="19"/>
  <c r="AB340" i="19"/>
  <c r="AA340" i="19"/>
  <c r="U340" i="19"/>
  <c r="T340" i="19"/>
  <c r="AO339" i="19"/>
  <c r="AL339" i="19"/>
  <c r="AK339" i="19"/>
  <c r="AJ339" i="19"/>
  <c r="AI339" i="19"/>
  <c r="AH339" i="19"/>
  <c r="AG339" i="19"/>
  <c r="AF339" i="19"/>
  <c r="AE339" i="19"/>
  <c r="AD339" i="19"/>
  <c r="AC339" i="19"/>
  <c r="AB339" i="19"/>
  <c r="AA339" i="19"/>
  <c r="U339" i="19"/>
  <c r="T339" i="19"/>
  <c r="AO338" i="19"/>
  <c r="AL338" i="19"/>
  <c r="AK338" i="19"/>
  <c r="AJ338" i="19"/>
  <c r="AI338" i="19"/>
  <c r="AH338" i="19"/>
  <c r="AG338" i="19"/>
  <c r="AF338" i="19"/>
  <c r="AE338" i="19"/>
  <c r="AD338" i="19"/>
  <c r="AC338" i="19"/>
  <c r="AB338" i="19"/>
  <c r="AA338" i="19"/>
  <c r="U338" i="19"/>
  <c r="T338" i="19"/>
  <c r="AO337" i="19"/>
  <c r="AL337" i="19"/>
  <c r="AK337" i="19"/>
  <c r="AJ337" i="19"/>
  <c r="AI337" i="19"/>
  <c r="AH337" i="19"/>
  <c r="AG337" i="19"/>
  <c r="AF337" i="19"/>
  <c r="AE337" i="19"/>
  <c r="AD337" i="19"/>
  <c r="AC337" i="19"/>
  <c r="AB337" i="19"/>
  <c r="AA337" i="19"/>
  <c r="U337" i="19"/>
  <c r="T337" i="19"/>
  <c r="AO336" i="19"/>
  <c r="AL336" i="19"/>
  <c r="AK336" i="19"/>
  <c r="AJ336" i="19"/>
  <c r="AI336" i="19"/>
  <c r="AH336" i="19"/>
  <c r="AG336" i="19"/>
  <c r="AF336" i="19"/>
  <c r="AE336" i="19"/>
  <c r="AD336" i="19"/>
  <c r="AC336" i="19"/>
  <c r="AB336" i="19"/>
  <c r="AA336" i="19"/>
  <c r="U336" i="19"/>
  <c r="T336" i="19"/>
  <c r="AO335" i="19"/>
  <c r="AL335" i="19"/>
  <c r="AK335" i="19"/>
  <c r="AJ335" i="19"/>
  <c r="AI335" i="19"/>
  <c r="AH335" i="19"/>
  <c r="AG335" i="19"/>
  <c r="AF335" i="19"/>
  <c r="AE335" i="19"/>
  <c r="AD335" i="19"/>
  <c r="AC335" i="19"/>
  <c r="AB335" i="19"/>
  <c r="AA335" i="19"/>
  <c r="U335" i="19"/>
  <c r="T335" i="19"/>
  <c r="J329" i="19"/>
  <c r="M328" i="19"/>
  <c r="L328" i="19"/>
  <c r="J328" i="19"/>
  <c r="S327" i="19"/>
  <c r="R327" i="19"/>
  <c r="Q327" i="19"/>
  <c r="P327" i="19"/>
  <c r="O327" i="19"/>
  <c r="N327" i="19"/>
  <c r="M327" i="19"/>
  <c r="L327" i="19"/>
  <c r="K327" i="19"/>
  <c r="J327" i="19"/>
  <c r="I327" i="19"/>
  <c r="H327" i="19"/>
  <c r="G327" i="19"/>
  <c r="F327" i="19"/>
  <c r="E327" i="19"/>
  <c r="D327" i="19"/>
  <c r="AO325" i="19"/>
  <c r="AL325" i="19"/>
  <c r="AK325" i="19"/>
  <c r="AJ325" i="19"/>
  <c r="AI325" i="19"/>
  <c r="AH325" i="19"/>
  <c r="AG325" i="19"/>
  <c r="AF325" i="19"/>
  <c r="AE325" i="19"/>
  <c r="AD325" i="19"/>
  <c r="AC325" i="19"/>
  <c r="AB325" i="19"/>
  <c r="AA325" i="19"/>
  <c r="U325" i="19"/>
  <c r="T325" i="19"/>
  <c r="AO324" i="19"/>
  <c r="AL324" i="19"/>
  <c r="AK324" i="19"/>
  <c r="AJ324" i="19"/>
  <c r="AI324" i="19"/>
  <c r="AH324" i="19"/>
  <c r="AG324" i="19"/>
  <c r="AF324" i="19"/>
  <c r="AE324" i="19"/>
  <c r="AD324" i="19"/>
  <c r="AC324" i="19"/>
  <c r="AB324" i="19"/>
  <c r="AA324" i="19"/>
  <c r="U324" i="19"/>
  <c r="T324" i="19"/>
  <c r="AO323" i="19"/>
  <c r="AL323" i="19"/>
  <c r="AK323" i="19"/>
  <c r="AJ323" i="19"/>
  <c r="AI323" i="19"/>
  <c r="AH323" i="19"/>
  <c r="AG323" i="19"/>
  <c r="AF323" i="19"/>
  <c r="AE323" i="19"/>
  <c r="AD323" i="19"/>
  <c r="AC323" i="19"/>
  <c r="AB323" i="19"/>
  <c r="AA323" i="19"/>
  <c r="U323" i="19"/>
  <c r="T323" i="19"/>
  <c r="AO322" i="19"/>
  <c r="AL322" i="19"/>
  <c r="AK322" i="19"/>
  <c r="AJ322" i="19"/>
  <c r="AI322" i="19"/>
  <c r="AH322" i="19"/>
  <c r="AG322" i="19"/>
  <c r="AF322" i="19"/>
  <c r="AE322" i="19"/>
  <c r="AD322" i="19"/>
  <c r="AC322" i="19"/>
  <c r="AB322" i="19"/>
  <c r="AA322" i="19"/>
  <c r="U322" i="19"/>
  <c r="T322" i="19"/>
  <c r="AO321" i="19"/>
  <c r="AL321" i="19"/>
  <c r="AK321" i="19"/>
  <c r="AJ321" i="19"/>
  <c r="AI321" i="19"/>
  <c r="AH321" i="19"/>
  <c r="AG321" i="19"/>
  <c r="AF321" i="19"/>
  <c r="AE321" i="19"/>
  <c r="AD321" i="19"/>
  <c r="AC321" i="19"/>
  <c r="AB321" i="19"/>
  <c r="AA321" i="19"/>
  <c r="U321" i="19"/>
  <c r="T321" i="19"/>
  <c r="AO320" i="19"/>
  <c r="AL320" i="19"/>
  <c r="AK320" i="19"/>
  <c r="AJ320" i="19"/>
  <c r="AI320" i="19"/>
  <c r="AH320" i="19"/>
  <c r="AG320" i="19"/>
  <c r="AF320" i="19"/>
  <c r="AE320" i="19"/>
  <c r="AD320" i="19"/>
  <c r="AC320" i="19"/>
  <c r="AB320" i="19"/>
  <c r="AA320" i="19"/>
  <c r="U320" i="19"/>
  <c r="T320" i="19"/>
  <c r="AO319" i="19"/>
  <c r="AL319" i="19"/>
  <c r="AK319" i="19"/>
  <c r="AJ319" i="19"/>
  <c r="AI319" i="19"/>
  <c r="AH319" i="19"/>
  <c r="AG319" i="19"/>
  <c r="AF319" i="19"/>
  <c r="AE319" i="19"/>
  <c r="AD319" i="19"/>
  <c r="AC319" i="19"/>
  <c r="AB319" i="19"/>
  <c r="AA319" i="19"/>
  <c r="U319" i="19"/>
  <c r="T319" i="19"/>
  <c r="AO318" i="19"/>
  <c r="AL318" i="19"/>
  <c r="AK318" i="19"/>
  <c r="AJ318" i="19"/>
  <c r="AI318" i="19"/>
  <c r="AH318" i="19"/>
  <c r="AG318" i="19"/>
  <c r="AF318" i="19"/>
  <c r="AE318" i="19"/>
  <c r="AD318" i="19"/>
  <c r="AC318" i="19"/>
  <c r="AB318" i="19"/>
  <c r="AA318" i="19"/>
  <c r="U318" i="19"/>
  <c r="T318" i="19"/>
  <c r="AO317" i="19"/>
  <c r="AL317" i="19"/>
  <c r="AK317" i="19"/>
  <c r="AJ317" i="19"/>
  <c r="AI317" i="19"/>
  <c r="AH317" i="19"/>
  <c r="AG317" i="19"/>
  <c r="AF317" i="19"/>
  <c r="AE317" i="19"/>
  <c r="AD317" i="19"/>
  <c r="AC317" i="19"/>
  <c r="AB317" i="19"/>
  <c r="AA317" i="19"/>
  <c r="U317" i="19"/>
  <c r="T317" i="19"/>
  <c r="AO316" i="19"/>
  <c r="AL316" i="19"/>
  <c r="AK316" i="19"/>
  <c r="AJ316" i="19"/>
  <c r="AI316" i="19"/>
  <c r="AH316" i="19"/>
  <c r="AG316" i="19"/>
  <c r="AF316" i="19"/>
  <c r="AE316" i="19"/>
  <c r="AD316" i="19"/>
  <c r="AC316" i="19"/>
  <c r="AB316" i="19"/>
  <c r="AA316" i="19"/>
  <c r="U316" i="19"/>
  <c r="T316" i="19"/>
  <c r="AO315" i="19"/>
  <c r="AL315" i="19"/>
  <c r="AK315" i="19"/>
  <c r="AJ315" i="19"/>
  <c r="AI315" i="19"/>
  <c r="AH315" i="19"/>
  <c r="AG315" i="19"/>
  <c r="AF315" i="19"/>
  <c r="AE315" i="19"/>
  <c r="AD315" i="19"/>
  <c r="AC315" i="19"/>
  <c r="AB315" i="19"/>
  <c r="AA315" i="19"/>
  <c r="U315" i="19"/>
  <c r="T315" i="19"/>
  <c r="AO314" i="19"/>
  <c r="AL314" i="19"/>
  <c r="AK314" i="19"/>
  <c r="AJ314" i="19"/>
  <c r="AI314" i="19"/>
  <c r="AH314" i="19"/>
  <c r="AG314" i="19"/>
  <c r="AF314" i="19"/>
  <c r="AE314" i="19"/>
  <c r="AD314" i="19"/>
  <c r="AC314" i="19"/>
  <c r="AB314" i="19"/>
  <c r="AA314" i="19"/>
  <c r="U314" i="19"/>
  <c r="T314" i="19"/>
  <c r="J308" i="19"/>
  <c r="M307" i="19"/>
  <c r="L307" i="19"/>
  <c r="J307" i="19"/>
  <c r="S306" i="19"/>
  <c r="R306" i="19"/>
  <c r="Q306" i="19"/>
  <c r="P306" i="19"/>
  <c r="O306" i="19"/>
  <c r="N306" i="19"/>
  <c r="M306" i="19"/>
  <c r="L306" i="19"/>
  <c r="K306" i="19"/>
  <c r="J306" i="19"/>
  <c r="I306" i="19"/>
  <c r="H306" i="19"/>
  <c r="G306" i="19"/>
  <c r="F306" i="19"/>
  <c r="E306" i="19"/>
  <c r="D306" i="19"/>
  <c r="AO304" i="19"/>
  <c r="AL304" i="19"/>
  <c r="AK304" i="19"/>
  <c r="AJ304" i="19"/>
  <c r="AI304" i="19"/>
  <c r="AH304" i="19"/>
  <c r="AG304" i="19"/>
  <c r="AF304" i="19"/>
  <c r="AE304" i="19"/>
  <c r="AD304" i="19"/>
  <c r="AC304" i="19"/>
  <c r="AB304" i="19"/>
  <c r="AA304" i="19"/>
  <c r="U304" i="19"/>
  <c r="T304" i="19"/>
  <c r="AO303" i="19"/>
  <c r="AL303" i="19"/>
  <c r="AK303" i="19"/>
  <c r="AJ303" i="19"/>
  <c r="AI303" i="19"/>
  <c r="AH303" i="19"/>
  <c r="AG303" i="19"/>
  <c r="AF303" i="19"/>
  <c r="AE303" i="19"/>
  <c r="AD303" i="19"/>
  <c r="AC303" i="19"/>
  <c r="AB303" i="19"/>
  <c r="AA303" i="19"/>
  <c r="U303" i="19"/>
  <c r="T303" i="19"/>
  <c r="AO302" i="19"/>
  <c r="AL302" i="19"/>
  <c r="AK302" i="19"/>
  <c r="AJ302" i="19"/>
  <c r="AI302" i="19"/>
  <c r="AH302" i="19"/>
  <c r="AG302" i="19"/>
  <c r="AF302" i="19"/>
  <c r="AE302" i="19"/>
  <c r="AD302" i="19"/>
  <c r="AC302" i="19"/>
  <c r="AB302" i="19"/>
  <c r="AA302" i="19"/>
  <c r="U302" i="19"/>
  <c r="T302" i="19"/>
  <c r="AO301" i="19"/>
  <c r="AL301" i="19"/>
  <c r="AK301" i="19"/>
  <c r="AJ301" i="19"/>
  <c r="AI301" i="19"/>
  <c r="AH301" i="19"/>
  <c r="AG301" i="19"/>
  <c r="AF301" i="19"/>
  <c r="AE301" i="19"/>
  <c r="AD301" i="19"/>
  <c r="AC301" i="19"/>
  <c r="AB301" i="19"/>
  <c r="AA301" i="19"/>
  <c r="U301" i="19"/>
  <c r="T301" i="19"/>
  <c r="AO300" i="19"/>
  <c r="AL300" i="19"/>
  <c r="AK300" i="19"/>
  <c r="AJ300" i="19"/>
  <c r="AI300" i="19"/>
  <c r="AH300" i="19"/>
  <c r="AG300" i="19"/>
  <c r="AF300" i="19"/>
  <c r="AE300" i="19"/>
  <c r="AD300" i="19"/>
  <c r="AC300" i="19"/>
  <c r="AB300" i="19"/>
  <c r="AA300" i="19"/>
  <c r="U300" i="19"/>
  <c r="T300" i="19"/>
  <c r="AO299" i="19"/>
  <c r="AL299" i="19"/>
  <c r="AK299" i="19"/>
  <c r="AJ299" i="19"/>
  <c r="AI299" i="19"/>
  <c r="AH299" i="19"/>
  <c r="AG299" i="19"/>
  <c r="AF299" i="19"/>
  <c r="AE299" i="19"/>
  <c r="AD299" i="19"/>
  <c r="AC299" i="19"/>
  <c r="AB299" i="19"/>
  <c r="AA299" i="19"/>
  <c r="U299" i="19"/>
  <c r="T299" i="19"/>
  <c r="AO298" i="19"/>
  <c r="AL298" i="19"/>
  <c r="AK298" i="19"/>
  <c r="AJ298" i="19"/>
  <c r="AI298" i="19"/>
  <c r="AH298" i="19"/>
  <c r="AG298" i="19"/>
  <c r="AF298" i="19"/>
  <c r="AE298" i="19"/>
  <c r="AD298" i="19"/>
  <c r="AC298" i="19"/>
  <c r="AB298" i="19"/>
  <c r="AA298" i="19"/>
  <c r="U298" i="19"/>
  <c r="T298" i="19"/>
  <c r="AO297" i="19"/>
  <c r="AL297" i="19"/>
  <c r="AK297" i="19"/>
  <c r="AJ297" i="19"/>
  <c r="AI297" i="19"/>
  <c r="AH297" i="19"/>
  <c r="AG297" i="19"/>
  <c r="AF297" i="19"/>
  <c r="AE297" i="19"/>
  <c r="AD297" i="19"/>
  <c r="AC297" i="19"/>
  <c r="AB297" i="19"/>
  <c r="AA297" i="19"/>
  <c r="U297" i="19"/>
  <c r="T297" i="19"/>
  <c r="AO296" i="19"/>
  <c r="AL296" i="19"/>
  <c r="AK296" i="19"/>
  <c r="AJ296" i="19"/>
  <c r="AI296" i="19"/>
  <c r="AH296" i="19"/>
  <c r="AG296" i="19"/>
  <c r="AF296" i="19"/>
  <c r="AE296" i="19"/>
  <c r="AD296" i="19"/>
  <c r="AC296" i="19"/>
  <c r="AB296" i="19"/>
  <c r="AA296" i="19"/>
  <c r="U296" i="19"/>
  <c r="T296" i="19"/>
  <c r="AO295" i="19"/>
  <c r="AL295" i="19"/>
  <c r="AK295" i="19"/>
  <c r="AJ295" i="19"/>
  <c r="AI295" i="19"/>
  <c r="AH295" i="19"/>
  <c r="AG295" i="19"/>
  <c r="AF295" i="19"/>
  <c r="AE295" i="19"/>
  <c r="AD295" i="19"/>
  <c r="AC295" i="19"/>
  <c r="AB295" i="19"/>
  <c r="AA295" i="19"/>
  <c r="U295" i="19"/>
  <c r="T295" i="19"/>
  <c r="AO294" i="19"/>
  <c r="AL294" i="19"/>
  <c r="AK294" i="19"/>
  <c r="AJ294" i="19"/>
  <c r="AI294" i="19"/>
  <c r="AH294" i="19"/>
  <c r="AG294" i="19"/>
  <c r="AF294" i="19"/>
  <c r="AE294" i="19"/>
  <c r="AD294" i="19"/>
  <c r="AC294" i="19"/>
  <c r="AB294" i="19"/>
  <c r="AA294" i="19"/>
  <c r="U294" i="19"/>
  <c r="T294" i="19"/>
  <c r="AO293" i="19"/>
  <c r="AL293" i="19"/>
  <c r="AK293" i="19"/>
  <c r="AJ293" i="19"/>
  <c r="AI293" i="19"/>
  <c r="AH293" i="19"/>
  <c r="AG293" i="19"/>
  <c r="AF293" i="19"/>
  <c r="AE293" i="19"/>
  <c r="AD293" i="19"/>
  <c r="AC293" i="19"/>
  <c r="AB293" i="19"/>
  <c r="AA293" i="19"/>
  <c r="U293" i="19"/>
  <c r="T293" i="19"/>
  <c r="J287" i="19"/>
  <c r="M286" i="19"/>
  <c r="L286" i="19"/>
  <c r="J286" i="19"/>
  <c r="S285" i="19"/>
  <c r="R285" i="19"/>
  <c r="Q285" i="19"/>
  <c r="P285" i="19"/>
  <c r="O285" i="19"/>
  <c r="N285" i="19"/>
  <c r="M285" i="19"/>
  <c r="L285" i="19"/>
  <c r="K285" i="19"/>
  <c r="J285" i="19"/>
  <c r="I285" i="19"/>
  <c r="H285" i="19"/>
  <c r="G285" i="19"/>
  <c r="F285" i="19"/>
  <c r="E285" i="19"/>
  <c r="D285" i="19"/>
  <c r="AO283" i="19"/>
  <c r="AL283" i="19"/>
  <c r="AK283" i="19"/>
  <c r="AJ283" i="19"/>
  <c r="AI283" i="19"/>
  <c r="AH283" i="19"/>
  <c r="AG283" i="19"/>
  <c r="AF283" i="19"/>
  <c r="AE283" i="19"/>
  <c r="AD283" i="19"/>
  <c r="AC283" i="19"/>
  <c r="AB283" i="19"/>
  <c r="AA283" i="19"/>
  <c r="U283" i="19"/>
  <c r="T283" i="19"/>
  <c r="AO282" i="19"/>
  <c r="AL282" i="19"/>
  <c r="AK282" i="19"/>
  <c r="AJ282" i="19"/>
  <c r="AI282" i="19"/>
  <c r="AH282" i="19"/>
  <c r="AG282" i="19"/>
  <c r="AF282" i="19"/>
  <c r="AE282" i="19"/>
  <c r="AD282" i="19"/>
  <c r="AC282" i="19"/>
  <c r="AB282" i="19"/>
  <c r="AA282" i="19"/>
  <c r="U282" i="19"/>
  <c r="T282" i="19"/>
  <c r="AO281" i="19"/>
  <c r="AL281" i="19"/>
  <c r="AK281" i="19"/>
  <c r="AJ281" i="19"/>
  <c r="AI281" i="19"/>
  <c r="AH281" i="19"/>
  <c r="AG281" i="19"/>
  <c r="AF281" i="19"/>
  <c r="AE281" i="19"/>
  <c r="AD281" i="19"/>
  <c r="AC281" i="19"/>
  <c r="AB281" i="19"/>
  <c r="AA281" i="19"/>
  <c r="U281" i="19"/>
  <c r="T281" i="19"/>
  <c r="AO280" i="19"/>
  <c r="AL280" i="19"/>
  <c r="AK280" i="19"/>
  <c r="AJ280" i="19"/>
  <c r="AI280" i="19"/>
  <c r="AH280" i="19"/>
  <c r="AG280" i="19"/>
  <c r="AF280" i="19"/>
  <c r="AE280" i="19"/>
  <c r="AD280" i="19"/>
  <c r="AC280" i="19"/>
  <c r="AB280" i="19"/>
  <c r="AA280" i="19"/>
  <c r="U280" i="19"/>
  <c r="T280" i="19"/>
  <c r="AO279" i="19"/>
  <c r="AL279" i="19"/>
  <c r="AK279" i="19"/>
  <c r="AJ279" i="19"/>
  <c r="AI279" i="19"/>
  <c r="AH279" i="19"/>
  <c r="AG279" i="19"/>
  <c r="AF279" i="19"/>
  <c r="AE279" i="19"/>
  <c r="AD279" i="19"/>
  <c r="AC279" i="19"/>
  <c r="AB279" i="19"/>
  <c r="AA279" i="19"/>
  <c r="U279" i="19"/>
  <c r="T279" i="19"/>
  <c r="AO278" i="19"/>
  <c r="AL278" i="19"/>
  <c r="AK278" i="19"/>
  <c r="AJ278" i="19"/>
  <c r="AI278" i="19"/>
  <c r="AH278" i="19"/>
  <c r="AG278" i="19"/>
  <c r="AF278" i="19"/>
  <c r="AE278" i="19"/>
  <c r="AD278" i="19"/>
  <c r="AC278" i="19"/>
  <c r="AB278" i="19"/>
  <c r="AA278" i="19"/>
  <c r="U278" i="19"/>
  <c r="T278" i="19"/>
  <c r="AO277" i="19"/>
  <c r="AL277" i="19"/>
  <c r="AK277" i="19"/>
  <c r="AJ277" i="19"/>
  <c r="AI277" i="19"/>
  <c r="AH277" i="19"/>
  <c r="AG277" i="19"/>
  <c r="AF277" i="19"/>
  <c r="AE277" i="19"/>
  <c r="AD277" i="19"/>
  <c r="AC277" i="19"/>
  <c r="AB277" i="19"/>
  <c r="AA277" i="19"/>
  <c r="U277" i="19"/>
  <c r="T277" i="19"/>
  <c r="AO276" i="19"/>
  <c r="AL276" i="19"/>
  <c r="AK276" i="19"/>
  <c r="AJ276" i="19"/>
  <c r="AI276" i="19"/>
  <c r="AH276" i="19"/>
  <c r="AG276" i="19"/>
  <c r="AF276" i="19"/>
  <c r="AE276" i="19"/>
  <c r="AD276" i="19"/>
  <c r="AC276" i="19"/>
  <c r="AB276" i="19"/>
  <c r="AA276" i="19"/>
  <c r="U276" i="19"/>
  <c r="T276" i="19"/>
  <c r="AO275" i="19"/>
  <c r="AL275" i="19"/>
  <c r="AK275" i="19"/>
  <c r="AJ275" i="19"/>
  <c r="AI275" i="19"/>
  <c r="AH275" i="19"/>
  <c r="AG275" i="19"/>
  <c r="AF275" i="19"/>
  <c r="AE275" i="19"/>
  <c r="AD275" i="19"/>
  <c r="AC275" i="19"/>
  <c r="AB275" i="19"/>
  <c r="AA275" i="19"/>
  <c r="U275" i="19"/>
  <c r="T275" i="19"/>
  <c r="AO274" i="19"/>
  <c r="AL274" i="19"/>
  <c r="AK274" i="19"/>
  <c r="AJ274" i="19"/>
  <c r="AI274" i="19"/>
  <c r="AH274" i="19"/>
  <c r="AG274" i="19"/>
  <c r="AF274" i="19"/>
  <c r="AE274" i="19"/>
  <c r="AD274" i="19"/>
  <c r="AC274" i="19"/>
  <c r="AB274" i="19"/>
  <c r="AA274" i="19"/>
  <c r="U274" i="19"/>
  <c r="T274" i="19"/>
  <c r="AO273" i="19"/>
  <c r="AL273" i="19"/>
  <c r="AK273" i="19"/>
  <c r="AJ273" i="19"/>
  <c r="AI273" i="19"/>
  <c r="AH273" i="19"/>
  <c r="AG273" i="19"/>
  <c r="AF273" i="19"/>
  <c r="AE273" i="19"/>
  <c r="AD273" i="19"/>
  <c r="AC273" i="19"/>
  <c r="AB273" i="19"/>
  <c r="AA273" i="19"/>
  <c r="U273" i="19"/>
  <c r="T273" i="19"/>
  <c r="AO272" i="19"/>
  <c r="AL272" i="19"/>
  <c r="AK272" i="19"/>
  <c r="AJ272" i="19"/>
  <c r="AI272" i="19"/>
  <c r="AH272" i="19"/>
  <c r="AG272" i="19"/>
  <c r="AF272" i="19"/>
  <c r="AE272" i="19"/>
  <c r="AD272" i="19"/>
  <c r="AC272" i="19"/>
  <c r="AB272" i="19"/>
  <c r="AA272" i="19"/>
  <c r="U272" i="19"/>
  <c r="T272" i="19"/>
  <c r="J266" i="19"/>
  <c r="M265" i="19"/>
  <c r="L265" i="19"/>
  <c r="J265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AO262" i="19"/>
  <c r="AL262" i="19"/>
  <c r="AK262" i="19"/>
  <c r="AJ262" i="19"/>
  <c r="AI262" i="19"/>
  <c r="AH262" i="19"/>
  <c r="AG262" i="19"/>
  <c r="AF262" i="19"/>
  <c r="AE262" i="19"/>
  <c r="AD262" i="19"/>
  <c r="AC262" i="19"/>
  <c r="AB262" i="19"/>
  <c r="AA262" i="19"/>
  <c r="U262" i="19"/>
  <c r="T262" i="19"/>
  <c r="AO261" i="19"/>
  <c r="AL261" i="19"/>
  <c r="AK261" i="19"/>
  <c r="AJ261" i="19"/>
  <c r="AI261" i="19"/>
  <c r="AH261" i="19"/>
  <c r="AG261" i="19"/>
  <c r="AF261" i="19"/>
  <c r="AE261" i="19"/>
  <c r="AD261" i="19"/>
  <c r="AC261" i="19"/>
  <c r="AB261" i="19"/>
  <c r="AA261" i="19"/>
  <c r="U261" i="19"/>
  <c r="T261" i="19"/>
  <c r="AO260" i="19"/>
  <c r="AL260" i="19"/>
  <c r="AK260" i="19"/>
  <c r="AJ260" i="19"/>
  <c r="AI260" i="19"/>
  <c r="AH260" i="19"/>
  <c r="AG260" i="19"/>
  <c r="AF260" i="19"/>
  <c r="AE260" i="19"/>
  <c r="AD260" i="19"/>
  <c r="AC260" i="19"/>
  <c r="AB260" i="19"/>
  <c r="AA260" i="19"/>
  <c r="U260" i="19"/>
  <c r="T260" i="19"/>
  <c r="AO259" i="19"/>
  <c r="AL259" i="19"/>
  <c r="AK259" i="19"/>
  <c r="AJ259" i="19"/>
  <c r="AI259" i="19"/>
  <c r="AH259" i="19"/>
  <c r="AG259" i="19"/>
  <c r="AF259" i="19"/>
  <c r="AE259" i="19"/>
  <c r="AD259" i="19"/>
  <c r="AC259" i="19"/>
  <c r="AB259" i="19"/>
  <c r="AA259" i="19"/>
  <c r="U259" i="19"/>
  <c r="T259" i="19"/>
  <c r="AO258" i="19"/>
  <c r="AL258" i="19"/>
  <c r="AK258" i="19"/>
  <c r="AJ258" i="19"/>
  <c r="AI258" i="19"/>
  <c r="AH258" i="19"/>
  <c r="AG258" i="19"/>
  <c r="AF258" i="19"/>
  <c r="AE258" i="19"/>
  <c r="AD258" i="19"/>
  <c r="AC258" i="19"/>
  <c r="AB258" i="19"/>
  <c r="AA258" i="19"/>
  <c r="U258" i="19"/>
  <c r="T258" i="19"/>
  <c r="AO257" i="19"/>
  <c r="AL257" i="19"/>
  <c r="AK257" i="19"/>
  <c r="AJ257" i="19"/>
  <c r="AI257" i="19"/>
  <c r="AH257" i="19"/>
  <c r="AG257" i="19"/>
  <c r="AF257" i="19"/>
  <c r="AE257" i="19"/>
  <c r="AD257" i="19"/>
  <c r="AC257" i="19"/>
  <c r="AB257" i="19"/>
  <c r="AA257" i="19"/>
  <c r="U257" i="19"/>
  <c r="T257" i="19"/>
  <c r="AO256" i="19"/>
  <c r="AL256" i="19"/>
  <c r="AK256" i="19"/>
  <c r="AJ256" i="19"/>
  <c r="AI256" i="19"/>
  <c r="AH256" i="19"/>
  <c r="AG256" i="19"/>
  <c r="AF256" i="19"/>
  <c r="AE256" i="19"/>
  <c r="AD256" i="19"/>
  <c r="AC256" i="19"/>
  <c r="AB256" i="19"/>
  <c r="AA256" i="19"/>
  <c r="U256" i="19"/>
  <c r="T256" i="19"/>
  <c r="AO255" i="19"/>
  <c r="AL255" i="19"/>
  <c r="AK255" i="19"/>
  <c r="AJ255" i="19"/>
  <c r="AI255" i="19"/>
  <c r="AH255" i="19"/>
  <c r="AG255" i="19"/>
  <c r="AF255" i="19"/>
  <c r="AE255" i="19"/>
  <c r="AD255" i="19"/>
  <c r="AC255" i="19"/>
  <c r="AB255" i="19"/>
  <c r="AA255" i="19"/>
  <c r="U255" i="19"/>
  <c r="T255" i="19"/>
  <c r="AO254" i="19"/>
  <c r="AL254" i="19"/>
  <c r="AK254" i="19"/>
  <c r="AJ254" i="19"/>
  <c r="AI254" i="19"/>
  <c r="AH254" i="19"/>
  <c r="AG254" i="19"/>
  <c r="AF254" i="19"/>
  <c r="AE254" i="19"/>
  <c r="AD254" i="19"/>
  <c r="AC254" i="19"/>
  <c r="AB254" i="19"/>
  <c r="AA254" i="19"/>
  <c r="U254" i="19"/>
  <c r="T254" i="19"/>
  <c r="AO253" i="19"/>
  <c r="AL253" i="19"/>
  <c r="AK253" i="19"/>
  <c r="AJ253" i="19"/>
  <c r="AI253" i="19"/>
  <c r="AH253" i="19"/>
  <c r="AG253" i="19"/>
  <c r="AF253" i="19"/>
  <c r="AE253" i="19"/>
  <c r="AD253" i="19"/>
  <c r="AC253" i="19"/>
  <c r="AB253" i="19"/>
  <c r="AA253" i="19"/>
  <c r="U253" i="19"/>
  <c r="T253" i="19"/>
  <c r="AO252" i="19"/>
  <c r="AL252" i="19"/>
  <c r="AK252" i="19"/>
  <c r="AJ252" i="19"/>
  <c r="AI252" i="19"/>
  <c r="AH252" i="19"/>
  <c r="AG252" i="19"/>
  <c r="AF252" i="19"/>
  <c r="AE252" i="19"/>
  <c r="AD252" i="19"/>
  <c r="AC252" i="19"/>
  <c r="AB252" i="19"/>
  <c r="AA252" i="19"/>
  <c r="U252" i="19"/>
  <c r="T252" i="19"/>
  <c r="AO251" i="19"/>
  <c r="AL251" i="19"/>
  <c r="AK251" i="19"/>
  <c r="AJ251" i="19"/>
  <c r="AI251" i="19"/>
  <c r="AH251" i="19"/>
  <c r="AG251" i="19"/>
  <c r="AF251" i="19"/>
  <c r="AE251" i="19"/>
  <c r="AD251" i="19"/>
  <c r="AC251" i="19"/>
  <c r="AB251" i="19"/>
  <c r="AA251" i="19"/>
  <c r="U251" i="19"/>
  <c r="T251" i="19"/>
  <c r="J245" i="19"/>
  <c r="M244" i="19"/>
  <c r="L244" i="19"/>
  <c r="J244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AO241" i="19"/>
  <c r="AL241" i="19"/>
  <c r="AK241" i="19"/>
  <c r="AJ241" i="19"/>
  <c r="AI241" i="19"/>
  <c r="AH241" i="19"/>
  <c r="AG241" i="19"/>
  <c r="AF241" i="19"/>
  <c r="AE241" i="19"/>
  <c r="AD241" i="19"/>
  <c r="AC241" i="19"/>
  <c r="AB241" i="19"/>
  <c r="AA241" i="19"/>
  <c r="U241" i="19"/>
  <c r="T241" i="19"/>
  <c r="AO240" i="19"/>
  <c r="AL240" i="19"/>
  <c r="AK240" i="19"/>
  <c r="AJ240" i="19"/>
  <c r="AI240" i="19"/>
  <c r="AH240" i="19"/>
  <c r="AG240" i="19"/>
  <c r="AF240" i="19"/>
  <c r="AE240" i="19"/>
  <c r="AD240" i="19"/>
  <c r="AC240" i="19"/>
  <c r="AB240" i="19"/>
  <c r="AA240" i="19"/>
  <c r="U240" i="19"/>
  <c r="T240" i="19"/>
  <c r="AO239" i="19"/>
  <c r="AL239" i="19"/>
  <c r="AK239" i="19"/>
  <c r="AJ239" i="19"/>
  <c r="AI239" i="19"/>
  <c r="AH239" i="19"/>
  <c r="AG239" i="19"/>
  <c r="AF239" i="19"/>
  <c r="AE239" i="19"/>
  <c r="AD239" i="19"/>
  <c r="AC239" i="19"/>
  <c r="AB239" i="19"/>
  <c r="AA239" i="19"/>
  <c r="U239" i="19"/>
  <c r="T239" i="19"/>
  <c r="AO238" i="19"/>
  <c r="AL238" i="19"/>
  <c r="AK238" i="19"/>
  <c r="AJ238" i="19"/>
  <c r="AI238" i="19"/>
  <c r="AH238" i="19"/>
  <c r="AG238" i="19"/>
  <c r="AF238" i="19"/>
  <c r="AE238" i="19"/>
  <c r="AD238" i="19"/>
  <c r="AC238" i="19"/>
  <c r="AB238" i="19"/>
  <c r="AA238" i="19"/>
  <c r="U238" i="19"/>
  <c r="T238" i="19"/>
  <c r="AO237" i="19"/>
  <c r="AL237" i="19"/>
  <c r="AK237" i="19"/>
  <c r="AJ237" i="19"/>
  <c r="AI237" i="19"/>
  <c r="AH237" i="19"/>
  <c r="AG237" i="19"/>
  <c r="AF237" i="19"/>
  <c r="AE237" i="19"/>
  <c r="AD237" i="19"/>
  <c r="AC237" i="19"/>
  <c r="AB237" i="19"/>
  <c r="AA237" i="19"/>
  <c r="U237" i="19"/>
  <c r="T237" i="19"/>
  <c r="AO236" i="19"/>
  <c r="AL236" i="19"/>
  <c r="AK236" i="19"/>
  <c r="AJ236" i="19"/>
  <c r="AI236" i="19"/>
  <c r="AH236" i="19"/>
  <c r="AG236" i="19"/>
  <c r="AF236" i="19"/>
  <c r="AE236" i="19"/>
  <c r="AD236" i="19"/>
  <c r="AC236" i="19"/>
  <c r="AB236" i="19"/>
  <c r="AA236" i="19"/>
  <c r="U236" i="19"/>
  <c r="T236" i="19"/>
  <c r="AO235" i="19"/>
  <c r="AL235" i="19"/>
  <c r="AK235" i="19"/>
  <c r="AJ235" i="19"/>
  <c r="AI235" i="19"/>
  <c r="AH235" i="19"/>
  <c r="AG235" i="19"/>
  <c r="AF235" i="19"/>
  <c r="AE235" i="19"/>
  <c r="AD235" i="19"/>
  <c r="AC235" i="19"/>
  <c r="AB235" i="19"/>
  <c r="AA235" i="19"/>
  <c r="U235" i="19"/>
  <c r="T235" i="19"/>
  <c r="AO234" i="19"/>
  <c r="AL234" i="19"/>
  <c r="AK234" i="19"/>
  <c r="AJ234" i="19"/>
  <c r="AI234" i="19"/>
  <c r="AH234" i="19"/>
  <c r="AG234" i="19"/>
  <c r="AF234" i="19"/>
  <c r="AE234" i="19"/>
  <c r="AD234" i="19"/>
  <c r="AC234" i="19"/>
  <c r="AB234" i="19"/>
  <c r="AA234" i="19"/>
  <c r="U234" i="19"/>
  <c r="T234" i="19"/>
  <c r="AO233" i="19"/>
  <c r="AL233" i="19"/>
  <c r="AK233" i="19"/>
  <c r="AJ233" i="19"/>
  <c r="AI233" i="19"/>
  <c r="AH233" i="19"/>
  <c r="AG233" i="19"/>
  <c r="AF233" i="19"/>
  <c r="AE233" i="19"/>
  <c r="AD233" i="19"/>
  <c r="AC233" i="19"/>
  <c r="AB233" i="19"/>
  <c r="AA233" i="19"/>
  <c r="U233" i="19"/>
  <c r="T233" i="19"/>
  <c r="AO232" i="19"/>
  <c r="AL232" i="19"/>
  <c r="AK232" i="19"/>
  <c r="AJ232" i="19"/>
  <c r="AI232" i="19"/>
  <c r="AH232" i="19"/>
  <c r="AG232" i="19"/>
  <c r="AF232" i="19"/>
  <c r="AE232" i="19"/>
  <c r="AD232" i="19"/>
  <c r="AC232" i="19"/>
  <c r="AB232" i="19"/>
  <c r="AA232" i="19"/>
  <c r="U232" i="19"/>
  <c r="T232" i="19"/>
  <c r="AO231" i="19"/>
  <c r="AL231" i="19"/>
  <c r="AK231" i="19"/>
  <c r="AJ231" i="19"/>
  <c r="AI231" i="19"/>
  <c r="AH231" i="19"/>
  <c r="AG231" i="19"/>
  <c r="AF231" i="19"/>
  <c r="AE231" i="19"/>
  <c r="AD231" i="19"/>
  <c r="AC231" i="19"/>
  <c r="AB231" i="19"/>
  <c r="AA231" i="19"/>
  <c r="U231" i="19"/>
  <c r="T231" i="19"/>
  <c r="AO230" i="19"/>
  <c r="AL230" i="19"/>
  <c r="AK230" i="19"/>
  <c r="AJ230" i="19"/>
  <c r="AI230" i="19"/>
  <c r="AH230" i="19"/>
  <c r="AG230" i="19"/>
  <c r="AF230" i="19"/>
  <c r="AE230" i="19"/>
  <c r="AD230" i="19"/>
  <c r="AC230" i="19"/>
  <c r="AB230" i="19"/>
  <c r="AA230" i="19"/>
  <c r="U230" i="19"/>
  <c r="T230" i="19"/>
  <c r="J224" i="19"/>
  <c r="L223" i="19"/>
  <c r="J223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AO220" i="19"/>
  <c r="AL220" i="19"/>
  <c r="AK220" i="19"/>
  <c r="AJ220" i="19"/>
  <c r="AI220" i="19"/>
  <c r="AH220" i="19"/>
  <c r="AG220" i="19"/>
  <c r="AF220" i="19"/>
  <c r="AE220" i="19"/>
  <c r="AD220" i="19"/>
  <c r="AC220" i="19"/>
  <c r="AB220" i="19"/>
  <c r="AA220" i="19"/>
  <c r="U220" i="19"/>
  <c r="T220" i="19"/>
  <c r="AO219" i="19"/>
  <c r="AL219" i="19"/>
  <c r="AK219" i="19"/>
  <c r="AJ219" i="19"/>
  <c r="AI219" i="19"/>
  <c r="AH219" i="19"/>
  <c r="AG219" i="19"/>
  <c r="AF219" i="19"/>
  <c r="AE219" i="19"/>
  <c r="AD219" i="19"/>
  <c r="AC219" i="19"/>
  <c r="AB219" i="19"/>
  <c r="AA219" i="19"/>
  <c r="U219" i="19"/>
  <c r="T219" i="19"/>
  <c r="AO218" i="19"/>
  <c r="AL218" i="19"/>
  <c r="AK218" i="19"/>
  <c r="AJ218" i="19"/>
  <c r="AI218" i="19"/>
  <c r="AH218" i="19"/>
  <c r="AG218" i="19"/>
  <c r="AF218" i="19"/>
  <c r="AE218" i="19"/>
  <c r="AD218" i="19"/>
  <c r="AC218" i="19"/>
  <c r="AB218" i="19"/>
  <c r="AA218" i="19"/>
  <c r="U218" i="19"/>
  <c r="T218" i="19"/>
  <c r="AO217" i="19"/>
  <c r="AL217" i="19"/>
  <c r="AK217" i="19"/>
  <c r="AJ217" i="19"/>
  <c r="AI217" i="19"/>
  <c r="AH217" i="19"/>
  <c r="AG217" i="19"/>
  <c r="AF217" i="19"/>
  <c r="AE217" i="19"/>
  <c r="AD217" i="19"/>
  <c r="AC217" i="19"/>
  <c r="AB217" i="19"/>
  <c r="AA217" i="19"/>
  <c r="U217" i="19"/>
  <c r="T217" i="19"/>
  <c r="AO216" i="19"/>
  <c r="AL216" i="19"/>
  <c r="AK216" i="19"/>
  <c r="AJ216" i="19"/>
  <c r="AI216" i="19"/>
  <c r="AH216" i="19"/>
  <c r="AG216" i="19"/>
  <c r="AF216" i="19"/>
  <c r="AE216" i="19"/>
  <c r="AD216" i="19"/>
  <c r="AC216" i="19"/>
  <c r="AB216" i="19"/>
  <c r="AA216" i="19"/>
  <c r="U216" i="19"/>
  <c r="T216" i="19"/>
  <c r="AO215" i="19"/>
  <c r="AL215" i="19"/>
  <c r="AK215" i="19"/>
  <c r="AJ215" i="19"/>
  <c r="AI215" i="19"/>
  <c r="AH215" i="19"/>
  <c r="AG215" i="19"/>
  <c r="AF215" i="19"/>
  <c r="AE215" i="19"/>
  <c r="AD215" i="19"/>
  <c r="AC215" i="19"/>
  <c r="AB215" i="19"/>
  <c r="AA215" i="19"/>
  <c r="U215" i="19"/>
  <c r="T215" i="19"/>
  <c r="AO214" i="19"/>
  <c r="AL214" i="19"/>
  <c r="AK214" i="19"/>
  <c r="AJ214" i="19"/>
  <c r="AI214" i="19"/>
  <c r="AH214" i="19"/>
  <c r="AG214" i="19"/>
  <c r="AF214" i="19"/>
  <c r="AE214" i="19"/>
  <c r="AD214" i="19"/>
  <c r="AC214" i="19"/>
  <c r="AB214" i="19"/>
  <c r="AA214" i="19"/>
  <c r="U214" i="19"/>
  <c r="T214" i="19"/>
  <c r="AO213" i="19"/>
  <c r="AL213" i="19"/>
  <c r="AK213" i="19"/>
  <c r="AJ213" i="19"/>
  <c r="AI213" i="19"/>
  <c r="AH213" i="19"/>
  <c r="AG213" i="19"/>
  <c r="AF213" i="19"/>
  <c r="AE213" i="19"/>
  <c r="AD213" i="19"/>
  <c r="AC213" i="19"/>
  <c r="AB213" i="19"/>
  <c r="AA213" i="19"/>
  <c r="U213" i="19"/>
  <c r="T213" i="19"/>
  <c r="AO212" i="19"/>
  <c r="AL212" i="19"/>
  <c r="AK212" i="19"/>
  <c r="AJ212" i="19"/>
  <c r="AI212" i="19"/>
  <c r="AH212" i="19"/>
  <c r="AG212" i="19"/>
  <c r="AF212" i="19"/>
  <c r="AE212" i="19"/>
  <c r="AD212" i="19"/>
  <c r="AC212" i="19"/>
  <c r="AB212" i="19"/>
  <c r="AA212" i="19"/>
  <c r="AO211" i="19"/>
  <c r="AL211" i="19"/>
  <c r="AK211" i="19"/>
  <c r="AJ211" i="19"/>
  <c r="AI211" i="19"/>
  <c r="AH211" i="19"/>
  <c r="AG211" i="19"/>
  <c r="AF211" i="19"/>
  <c r="AE211" i="19"/>
  <c r="AD211" i="19"/>
  <c r="AC211" i="19"/>
  <c r="AB211" i="19"/>
  <c r="AA211" i="19"/>
  <c r="U211" i="19"/>
  <c r="T211" i="19"/>
  <c r="AO210" i="19"/>
  <c r="AL210" i="19"/>
  <c r="AK210" i="19"/>
  <c r="AJ210" i="19"/>
  <c r="AI210" i="19"/>
  <c r="AH210" i="19"/>
  <c r="AG210" i="19"/>
  <c r="AF210" i="19"/>
  <c r="AE210" i="19"/>
  <c r="AD210" i="19"/>
  <c r="AC210" i="19"/>
  <c r="AB210" i="19"/>
  <c r="AA210" i="19"/>
  <c r="U210" i="19"/>
  <c r="T210" i="19"/>
  <c r="AO209" i="19"/>
  <c r="AL209" i="19"/>
  <c r="AK209" i="19"/>
  <c r="AJ209" i="19"/>
  <c r="AI209" i="19"/>
  <c r="AH209" i="19"/>
  <c r="AG209" i="19"/>
  <c r="AF209" i="19"/>
  <c r="AE209" i="19"/>
  <c r="AD209" i="19"/>
  <c r="AC209" i="19"/>
  <c r="AB209" i="19"/>
  <c r="AA209" i="19"/>
  <c r="U209" i="19"/>
  <c r="T209" i="19"/>
  <c r="J203" i="19"/>
  <c r="M202" i="19"/>
  <c r="L202" i="19"/>
  <c r="J202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AO199" i="19"/>
  <c r="AL199" i="19"/>
  <c r="AK199" i="19"/>
  <c r="AJ199" i="19"/>
  <c r="AI199" i="19"/>
  <c r="AH199" i="19"/>
  <c r="AG199" i="19"/>
  <c r="AF199" i="19"/>
  <c r="AE199" i="19"/>
  <c r="AD199" i="19"/>
  <c r="AC199" i="19"/>
  <c r="AB199" i="19"/>
  <c r="AA199" i="19"/>
  <c r="U199" i="19"/>
  <c r="T199" i="19"/>
  <c r="AO198" i="19"/>
  <c r="AL198" i="19"/>
  <c r="AK198" i="19"/>
  <c r="AJ198" i="19"/>
  <c r="AI198" i="19"/>
  <c r="AH198" i="19"/>
  <c r="AG198" i="19"/>
  <c r="AF198" i="19"/>
  <c r="AE198" i="19"/>
  <c r="AD198" i="19"/>
  <c r="AC198" i="19"/>
  <c r="AB198" i="19"/>
  <c r="AA198" i="19"/>
  <c r="U198" i="19"/>
  <c r="T198" i="19"/>
  <c r="AO197" i="19"/>
  <c r="AL197" i="19"/>
  <c r="AK197" i="19"/>
  <c r="AJ197" i="19"/>
  <c r="AI197" i="19"/>
  <c r="AH197" i="19"/>
  <c r="AG197" i="19"/>
  <c r="AF197" i="19"/>
  <c r="AE197" i="19"/>
  <c r="AD197" i="19"/>
  <c r="AC197" i="19"/>
  <c r="AB197" i="19"/>
  <c r="AA197" i="19"/>
  <c r="U197" i="19"/>
  <c r="T197" i="19"/>
  <c r="AO196" i="19"/>
  <c r="AL196" i="19"/>
  <c r="AK196" i="19"/>
  <c r="AJ196" i="19"/>
  <c r="AI196" i="19"/>
  <c r="AH196" i="19"/>
  <c r="AG196" i="19"/>
  <c r="AF196" i="19"/>
  <c r="AE196" i="19"/>
  <c r="AD196" i="19"/>
  <c r="AC196" i="19"/>
  <c r="AB196" i="19"/>
  <c r="AA196" i="19"/>
  <c r="U196" i="19"/>
  <c r="T196" i="19"/>
  <c r="AO195" i="19"/>
  <c r="AL195" i="19"/>
  <c r="AK195" i="19"/>
  <c r="AJ195" i="19"/>
  <c r="AI195" i="19"/>
  <c r="AH195" i="19"/>
  <c r="AG195" i="19"/>
  <c r="AF195" i="19"/>
  <c r="AE195" i="19"/>
  <c r="AD195" i="19"/>
  <c r="AC195" i="19"/>
  <c r="AB195" i="19"/>
  <c r="AA195" i="19"/>
  <c r="U195" i="19"/>
  <c r="T195" i="19"/>
  <c r="AO194" i="19"/>
  <c r="AL194" i="19"/>
  <c r="AK194" i="19"/>
  <c r="AJ194" i="19"/>
  <c r="AI194" i="19"/>
  <c r="AH194" i="19"/>
  <c r="AG194" i="19"/>
  <c r="AF194" i="19"/>
  <c r="AE194" i="19"/>
  <c r="AD194" i="19"/>
  <c r="AC194" i="19"/>
  <c r="AB194" i="19"/>
  <c r="AA194" i="19"/>
  <c r="U194" i="19"/>
  <c r="T194" i="19"/>
  <c r="AO193" i="19"/>
  <c r="AL193" i="19"/>
  <c r="AK193" i="19"/>
  <c r="AJ193" i="19"/>
  <c r="AI193" i="19"/>
  <c r="AH193" i="19"/>
  <c r="AG193" i="19"/>
  <c r="AF193" i="19"/>
  <c r="AE193" i="19"/>
  <c r="AD193" i="19"/>
  <c r="AC193" i="19"/>
  <c r="AB193" i="19"/>
  <c r="AA193" i="19"/>
  <c r="U193" i="19"/>
  <c r="T193" i="19"/>
  <c r="AO192" i="19"/>
  <c r="AL192" i="19"/>
  <c r="AK192" i="19"/>
  <c r="AJ192" i="19"/>
  <c r="AI192" i="19"/>
  <c r="AH192" i="19"/>
  <c r="AG192" i="19"/>
  <c r="AF192" i="19"/>
  <c r="AE192" i="19"/>
  <c r="AD192" i="19"/>
  <c r="AC192" i="19"/>
  <c r="AB192" i="19"/>
  <c r="AA192" i="19"/>
  <c r="U192" i="19"/>
  <c r="T192" i="19"/>
  <c r="AO191" i="19"/>
  <c r="AL191" i="19"/>
  <c r="AK191" i="19"/>
  <c r="AJ191" i="19"/>
  <c r="AI191" i="19"/>
  <c r="AH191" i="19"/>
  <c r="AG191" i="19"/>
  <c r="AF191" i="19"/>
  <c r="AE191" i="19"/>
  <c r="AD191" i="19"/>
  <c r="AC191" i="19"/>
  <c r="AB191" i="19"/>
  <c r="AA191" i="19"/>
  <c r="U191" i="19"/>
  <c r="T191" i="19"/>
  <c r="AO190" i="19"/>
  <c r="AL190" i="19"/>
  <c r="AK190" i="19"/>
  <c r="AJ190" i="19"/>
  <c r="AI190" i="19"/>
  <c r="AH190" i="19"/>
  <c r="AG190" i="19"/>
  <c r="AF190" i="19"/>
  <c r="AE190" i="19"/>
  <c r="AD190" i="19"/>
  <c r="AC190" i="19"/>
  <c r="AB190" i="19"/>
  <c r="AA190" i="19"/>
  <c r="U190" i="19"/>
  <c r="T190" i="19"/>
  <c r="AO189" i="19"/>
  <c r="AL189" i="19"/>
  <c r="AK189" i="19"/>
  <c r="AJ189" i="19"/>
  <c r="AI189" i="19"/>
  <c r="AH189" i="19"/>
  <c r="AG189" i="19"/>
  <c r="AF189" i="19"/>
  <c r="AE189" i="19"/>
  <c r="AD189" i="19"/>
  <c r="AC189" i="19"/>
  <c r="AB189" i="19"/>
  <c r="AA189" i="19"/>
  <c r="U189" i="19"/>
  <c r="T189" i="19"/>
  <c r="AO188" i="19"/>
  <c r="AL188" i="19"/>
  <c r="AK188" i="19"/>
  <c r="AJ188" i="19"/>
  <c r="AI188" i="19"/>
  <c r="AH188" i="19"/>
  <c r="AG188" i="19"/>
  <c r="AF188" i="19"/>
  <c r="AE188" i="19"/>
  <c r="AD188" i="19"/>
  <c r="AC188" i="19"/>
  <c r="AB188" i="19"/>
  <c r="AA188" i="19"/>
  <c r="U188" i="19"/>
  <c r="T188" i="19"/>
  <c r="J182" i="19"/>
  <c r="M181" i="19"/>
  <c r="L181" i="19"/>
  <c r="J181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AO178" i="19"/>
  <c r="AL178" i="19"/>
  <c r="AK178" i="19"/>
  <c r="AJ178" i="19"/>
  <c r="AI178" i="19"/>
  <c r="AH178" i="19"/>
  <c r="AG178" i="19"/>
  <c r="AF178" i="19"/>
  <c r="AE178" i="19"/>
  <c r="AD178" i="19"/>
  <c r="AC178" i="19"/>
  <c r="AB178" i="19"/>
  <c r="AA178" i="19"/>
  <c r="U178" i="19"/>
  <c r="T178" i="19"/>
  <c r="AO177" i="19"/>
  <c r="AL177" i="19"/>
  <c r="AK177" i="19"/>
  <c r="AJ177" i="19"/>
  <c r="AI177" i="19"/>
  <c r="AH177" i="19"/>
  <c r="AG177" i="19"/>
  <c r="AF177" i="19"/>
  <c r="AE177" i="19"/>
  <c r="AD177" i="19"/>
  <c r="AC177" i="19"/>
  <c r="AB177" i="19"/>
  <c r="AA177" i="19"/>
  <c r="U177" i="19"/>
  <c r="T177" i="19"/>
  <c r="AO176" i="19"/>
  <c r="AL176" i="19"/>
  <c r="AK176" i="19"/>
  <c r="AJ176" i="19"/>
  <c r="AI176" i="19"/>
  <c r="AH176" i="19"/>
  <c r="AG176" i="19"/>
  <c r="AF176" i="19"/>
  <c r="AE176" i="19"/>
  <c r="AD176" i="19"/>
  <c r="AC176" i="19"/>
  <c r="AB176" i="19"/>
  <c r="AA176" i="19"/>
  <c r="U176" i="19"/>
  <c r="T176" i="19"/>
  <c r="AO175" i="19"/>
  <c r="AL175" i="19"/>
  <c r="AK175" i="19"/>
  <c r="AJ175" i="19"/>
  <c r="AI175" i="19"/>
  <c r="AH175" i="19"/>
  <c r="AG175" i="19"/>
  <c r="AF175" i="19"/>
  <c r="AE175" i="19"/>
  <c r="AD175" i="19"/>
  <c r="AC175" i="19"/>
  <c r="AB175" i="19"/>
  <c r="AA175" i="19"/>
  <c r="U175" i="19"/>
  <c r="T175" i="19"/>
  <c r="AO174" i="19"/>
  <c r="AL174" i="19"/>
  <c r="AK174" i="19"/>
  <c r="AJ174" i="19"/>
  <c r="AI174" i="19"/>
  <c r="AH174" i="19"/>
  <c r="AG174" i="19"/>
  <c r="AF174" i="19"/>
  <c r="AE174" i="19"/>
  <c r="AD174" i="19"/>
  <c r="AC174" i="19"/>
  <c r="AB174" i="19"/>
  <c r="AA174" i="19"/>
  <c r="U174" i="19"/>
  <c r="T174" i="19"/>
  <c r="AO173" i="19"/>
  <c r="AL173" i="19"/>
  <c r="AK173" i="19"/>
  <c r="AJ173" i="19"/>
  <c r="AI173" i="19"/>
  <c r="AH173" i="19"/>
  <c r="AG173" i="19"/>
  <c r="AF173" i="19"/>
  <c r="AE173" i="19"/>
  <c r="AD173" i="19"/>
  <c r="AC173" i="19"/>
  <c r="AB173" i="19"/>
  <c r="AA173" i="19"/>
  <c r="U173" i="19"/>
  <c r="T173" i="19"/>
  <c r="AO172" i="19"/>
  <c r="AL172" i="19"/>
  <c r="AK172" i="19"/>
  <c r="AJ172" i="19"/>
  <c r="AI172" i="19"/>
  <c r="AH172" i="19"/>
  <c r="AG172" i="19"/>
  <c r="AF172" i="19"/>
  <c r="AE172" i="19"/>
  <c r="AD172" i="19"/>
  <c r="AC172" i="19"/>
  <c r="AB172" i="19"/>
  <c r="AA172" i="19"/>
  <c r="U172" i="19"/>
  <c r="T172" i="19"/>
  <c r="AO171" i="19"/>
  <c r="AL171" i="19"/>
  <c r="AK171" i="19"/>
  <c r="AJ171" i="19"/>
  <c r="AI171" i="19"/>
  <c r="AH171" i="19"/>
  <c r="AG171" i="19"/>
  <c r="AF171" i="19"/>
  <c r="AE171" i="19"/>
  <c r="AD171" i="19"/>
  <c r="AC171" i="19"/>
  <c r="AB171" i="19"/>
  <c r="AA171" i="19"/>
  <c r="U171" i="19"/>
  <c r="T171" i="19"/>
  <c r="AO170" i="19"/>
  <c r="AL170" i="19"/>
  <c r="AK170" i="19"/>
  <c r="AJ170" i="19"/>
  <c r="AI170" i="19"/>
  <c r="AH170" i="19"/>
  <c r="AG170" i="19"/>
  <c r="AF170" i="19"/>
  <c r="AE170" i="19"/>
  <c r="AD170" i="19"/>
  <c r="AC170" i="19"/>
  <c r="AB170" i="19"/>
  <c r="AA170" i="19"/>
  <c r="U170" i="19"/>
  <c r="T170" i="19"/>
  <c r="AO169" i="19"/>
  <c r="AL169" i="19"/>
  <c r="AK169" i="19"/>
  <c r="AJ169" i="19"/>
  <c r="AI169" i="19"/>
  <c r="AH169" i="19"/>
  <c r="AG169" i="19"/>
  <c r="AF169" i="19"/>
  <c r="AE169" i="19"/>
  <c r="AD169" i="19"/>
  <c r="AC169" i="19"/>
  <c r="AB169" i="19"/>
  <c r="AA169" i="19"/>
  <c r="U169" i="19"/>
  <c r="T169" i="19"/>
  <c r="AO168" i="19"/>
  <c r="AL168" i="19"/>
  <c r="AK168" i="19"/>
  <c r="AJ168" i="19"/>
  <c r="AI168" i="19"/>
  <c r="AH168" i="19"/>
  <c r="AG168" i="19"/>
  <c r="AF168" i="19"/>
  <c r="AE168" i="19"/>
  <c r="AD168" i="19"/>
  <c r="AC168" i="19"/>
  <c r="AB168" i="19"/>
  <c r="AA168" i="19"/>
  <c r="U168" i="19"/>
  <c r="T168" i="19"/>
  <c r="AO167" i="19"/>
  <c r="AL167" i="19"/>
  <c r="AK167" i="19"/>
  <c r="AJ167" i="19"/>
  <c r="AI167" i="19"/>
  <c r="AH167" i="19"/>
  <c r="AG167" i="19"/>
  <c r="AF167" i="19"/>
  <c r="AE167" i="19"/>
  <c r="AD167" i="19"/>
  <c r="AC167" i="19"/>
  <c r="AB167" i="19"/>
  <c r="AA167" i="19"/>
  <c r="U167" i="19"/>
  <c r="T167" i="19"/>
  <c r="J161" i="19"/>
  <c r="M160" i="19"/>
  <c r="L160" i="19"/>
  <c r="J160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AO157" i="19"/>
  <c r="AL157" i="19"/>
  <c r="AK157" i="19"/>
  <c r="AJ157" i="19"/>
  <c r="AI157" i="19"/>
  <c r="AH157" i="19"/>
  <c r="AG157" i="19"/>
  <c r="AF157" i="19"/>
  <c r="AE157" i="19"/>
  <c r="AD157" i="19"/>
  <c r="AC157" i="19"/>
  <c r="AB157" i="19"/>
  <c r="AA157" i="19"/>
  <c r="U157" i="19"/>
  <c r="T157" i="19"/>
  <c r="AO156" i="19"/>
  <c r="AL156" i="19"/>
  <c r="AK156" i="19"/>
  <c r="AJ156" i="19"/>
  <c r="AI156" i="19"/>
  <c r="AH156" i="19"/>
  <c r="AG156" i="19"/>
  <c r="AF156" i="19"/>
  <c r="AE156" i="19"/>
  <c r="AD156" i="19"/>
  <c r="AC156" i="19"/>
  <c r="AB156" i="19"/>
  <c r="AA156" i="19"/>
  <c r="U156" i="19"/>
  <c r="T156" i="19"/>
  <c r="AO155" i="19"/>
  <c r="AL155" i="19"/>
  <c r="AK155" i="19"/>
  <c r="AJ155" i="19"/>
  <c r="AI155" i="19"/>
  <c r="AH155" i="19"/>
  <c r="AG155" i="19"/>
  <c r="AF155" i="19"/>
  <c r="AE155" i="19"/>
  <c r="AD155" i="19"/>
  <c r="AC155" i="19"/>
  <c r="AB155" i="19"/>
  <c r="AA155" i="19"/>
  <c r="U155" i="19"/>
  <c r="T155" i="19"/>
  <c r="AO154" i="19"/>
  <c r="AL154" i="19"/>
  <c r="AK154" i="19"/>
  <c r="AJ154" i="19"/>
  <c r="AI154" i="19"/>
  <c r="AH154" i="19"/>
  <c r="AG154" i="19"/>
  <c r="AF154" i="19"/>
  <c r="AE154" i="19"/>
  <c r="AD154" i="19"/>
  <c r="AC154" i="19"/>
  <c r="AB154" i="19"/>
  <c r="AA154" i="19"/>
  <c r="U154" i="19"/>
  <c r="T154" i="19"/>
  <c r="AO153" i="19"/>
  <c r="AL153" i="19"/>
  <c r="AK153" i="19"/>
  <c r="AJ153" i="19"/>
  <c r="AI153" i="19"/>
  <c r="AH153" i="19"/>
  <c r="AG153" i="19"/>
  <c r="AF153" i="19"/>
  <c r="AE153" i="19"/>
  <c r="AD153" i="19"/>
  <c r="AC153" i="19"/>
  <c r="AB153" i="19"/>
  <c r="AA153" i="19"/>
  <c r="U153" i="19"/>
  <c r="T153" i="19"/>
  <c r="AO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U152" i="19"/>
  <c r="T152" i="19"/>
  <c r="AO151" i="19"/>
  <c r="AL151" i="19"/>
  <c r="AK151" i="19"/>
  <c r="AJ151" i="19"/>
  <c r="AI151" i="19"/>
  <c r="AH151" i="19"/>
  <c r="AG151" i="19"/>
  <c r="AF151" i="19"/>
  <c r="AE151" i="19"/>
  <c r="AD151" i="19"/>
  <c r="AC151" i="19"/>
  <c r="AB151" i="19"/>
  <c r="AA151" i="19"/>
  <c r="U151" i="19"/>
  <c r="T151" i="19"/>
  <c r="AO150" i="19"/>
  <c r="AL150" i="19"/>
  <c r="AK150" i="19"/>
  <c r="AJ150" i="19"/>
  <c r="AI150" i="19"/>
  <c r="AH150" i="19"/>
  <c r="AG150" i="19"/>
  <c r="AF150" i="19"/>
  <c r="AE150" i="19"/>
  <c r="AD150" i="19"/>
  <c r="AC150" i="19"/>
  <c r="AB150" i="19"/>
  <c r="AA150" i="19"/>
  <c r="U150" i="19"/>
  <c r="T150" i="19"/>
  <c r="AO149" i="19"/>
  <c r="AL149" i="19"/>
  <c r="AK149" i="19"/>
  <c r="AJ149" i="19"/>
  <c r="AI149" i="19"/>
  <c r="AH149" i="19"/>
  <c r="AG149" i="19"/>
  <c r="AF149" i="19"/>
  <c r="AE149" i="19"/>
  <c r="AD149" i="19"/>
  <c r="AC149" i="19"/>
  <c r="AB149" i="19"/>
  <c r="AA149" i="19"/>
  <c r="U149" i="19"/>
  <c r="T149" i="19"/>
  <c r="AO148" i="19"/>
  <c r="AL148" i="19"/>
  <c r="AK148" i="19"/>
  <c r="AJ148" i="19"/>
  <c r="AI148" i="19"/>
  <c r="AH148" i="19"/>
  <c r="AG148" i="19"/>
  <c r="AF148" i="19"/>
  <c r="AE148" i="19"/>
  <c r="AD148" i="19"/>
  <c r="AC148" i="19"/>
  <c r="AB148" i="19"/>
  <c r="AA148" i="19"/>
  <c r="U148" i="19"/>
  <c r="T148" i="19"/>
  <c r="AO147" i="19"/>
  <c r="AL147" i="19"/>
  <c r="AK147" i="19"/>
  <c r="AJ147" i="19"/>
  <c r="AI147" i="19"/>
  <c r="AH147" i="19"/>
  <c r="AG147" i="19"/>
  <c r="AF147" i="19"/>
  <c r="AE147" i="19"/>
  <c r="AD147" i="19"/>
  <c r="AC147" i="19"/>
  <c r="AB147" i="19"/>
  <c r="AA147" i="19"/>
  <c r="U147" i="19"/>
  <c r="T147" i="19"/>
  <c r="AO146" i="19"/>
  <c r="AL146" i="19"/>
  <c r="AK146" i="19"/>
  <c r="AJ146" i="19"/>
  <c r="AI146" i="19"/>
  <c r="AH146" i="19"/>
  <c r="AG146" i="19"/>
  <c r="AF146" i="19"/>
  <c r="AE146" i="19"/>
  <c r="AD146" i="19"/>
  <c r="AC146" i="19"/>
  <c r="AB146" i="19"/>
  <c r="AA146" i="19"/>
  <c r="U146" i="19"/>
  <c r="T146" i="19"/>
  <c r="J140" i="19"/>
  <c r="M139" i="19"/>
  <c r="L139" i="19"/>
  <c r="J139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AO136" i="19"/>
  <c r="AL136" i="19"/>
  <c r="AK136" i="19"/>
  <c r="AJ136" i="19"/>
  <c r="AI136" i="19"/>
  <c r="AH136" i="19"/>
  <c r="AG136" i="19"/>
  <c r="AF136" i="19"/>
  <c r="AE136" i="19"/>
  <c r="AD136" i="19"/>
  <c r="AC136" i="19"/>
  <c r="AB136" i="19"/>
  <c r="AA136" i="19"/>
  <c r="U136" i="19"/>
  <c r="T136" i="19"/>
  <c r="AO135" i="19"/>
  <c r="AL135" i="19"/>
  <c r="AK135" i="19"/>
  <c r="AJ135" i="19"/>
  <c r="AI135" i="19"/>
  <c r="AH135" i="19"/>
  <c r="AG135" i="19"/>
  <c r="AF135" i="19"/>
  <c r="AE135" i="19"/>
  <c r="AD135" i="19"/>
  <c r="AC135" i="19"/>
  <c r="AB135" i="19"/>
  <c r="AA135" i="19"/>
  <c r="U135" i="19"/>
  <c r="T135" i="19"/>
  <c r="AO134" i="19"/>
  <c r="AL134" i="19"/>
  <c r="AK134" i="19"/>
  <c r="AJ134" i="19"/>
  <c r="AI134" i="19"/>
  <c r="AH134" i="19"/>
  <c r="AG134" i="19"/>
  <c r="AF134" i="19"/>
  <c r="AE134" i="19"/>
  <c r="AD134" i="19"/>
  <c r="AC134" i="19"/>
  <c r="AB134" i="19"/>
  <c r="AA134" i="19"/>
  <c r="U134" i="19"/>
  <c r="T134" i="19"/>
  <c r="AO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U133" i="19"/>
  <c r="T133" i="19"/>
  <c r="AO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U132" i="19"/>
  <c r="T132" i="19"/>
  <c r="AO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U131" i="19"/>
  <c r="T131" i="19"/>
  <c r="AO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U130" i="19"/>
  <c r="T130" i="19"/>
  <c r="AO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U129" i="19"/>
  <c r="T129" i="19"/>
  <c r="AO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U128" i="19"/>
  <c r="T128" i="19"/>
  <c r="AO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U127" i="19"/>
  <c r="T127" i="19"/>
  <c r="AO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U126" i="19"/>
  <c r="T126" i="19"/>
  <c r="AO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U125" i="19"/>
  <c r="T125" i="19"/>
  <c r="J119" i="19"/>
  <c r="U118" i="19"/>
  <c r="T118" i="19"/>
  <c r="M118" i="19"/>
  <c r="L118" i="19"/>
  <c r="T119" i="19" s="1"/>
  <c r="J118" i="19"/>
  <c r="AO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Y115" i="19"/>
  <c r="X115" i="19"/>
  <c r="AO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Y114" i="19"/>
  <c r="X114" i="19"/>
  <c r="AO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Y113" i="19"/>
  <c r="X113" i="19"/>
  <c r="AO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Y112" i="19"/>
  <c r="X112" i="19"/>
  <c r="AO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Y111" i="19"/>
  <c r="X111" i="19"/>
  <c r="AO110" i="19"/>
  <c r="AJ110" i="19"/>
  <c r="Y110" i="19"/>
  <c r="X110" i="19"/>
  <c r="AO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Y109" i="19"/>
  <c r="X109" i="19"/>
  <c r="AO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Y108" i="19"/>
  <c r="X108" i="19"/>
  <c r="AO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Y107" i="19"/>
  <c r="X107" i="19"/>
  <c r="AO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Y106" i="19"/>
  <c r="X106" i="19"/>
  <c r="AO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Y105" i="19"/>
  <c r="X105" i="19"/>
  <c r="AO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Y104" i="19"/>
  <c r="X104" i="19"/>
  <c r="AO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Y103" i="19"/>
  <c r="X103" i="19"/>
  <c r="AO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Y102" i="19"/>
  <c r="X102" i="19"/>
  <c r="AO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Y101" i="19"/>
  <c r="X101" i="19"/>
  <c r="AO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Y100" i="19"/>
  <c r="X100" i="19"/>
  <c r="AO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Y99" i="19"/>
  <c r="X99" i="19"/>
  <c r="AO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Y98" i="19"/>
  <c r="X98" i="19"/>
  <c r="AO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Y97" i="19"/>
  <c r="X97" i="19"/>
  <c r="AO96" i="19"/>
  <c r="AL96" i="19"/>
  <c r="AK96" i="19"/>
  <c r="AJ96" i="19"/>
  <c r="AI96" i="19"/>
  <c r="AH96" i="19"/>
  <c r="AG96" i="19"/>
  <c r="AF96" i="19"/>
  <c r="AE96" i="19"/>
  <c r="AD96" i="19"/>
  <c r="AC96" i="19"/>
  <c r="Y96" i="19"/>
  <c r="X96" i="19"/>
  <c r="AO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Y95" i="19"/>
  <c r="X95" i="19"/>
  <c r="AO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Y94" i="19"/>
  <c r="X94" i="19"/>
  <c r="AO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Y93" i="19"/>
  <c r="X93" i="19"/>
  <c r="AO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Y92" i="19"/>
  <c r="X92" i="19"/>
  <c r="U92" i="19"/>
  <c r="O120" i="19" s="1"/>
  <c r="T92" i="19"/>
  <c r="J120" i="19" s="1"/>
  <c r="J86" i="19"/>
  <c r="M85" i="19"/>
  <c r="L85" i="19"/>
  <c r="J85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AO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U82" i="19"/>
  <c r="T82" i="19"/>
  <c r="AO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U81" i="19"/>
  <c r="T81" i="19"/>
  <c r="AO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U80" i="19"/>
  <c r="T80" i="19"/>
  <c r="AO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U79" i="19"/>
  <c r="T79" i="19"/>
  <c r="AO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U78" i="19"/>
  <c r="T78" i="19"/>
  <c r="AO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U77" i="19"/>
  <c r="T77" i="19"/>
  <c r="AO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AO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AO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U74" i="19"/>
  <c r="T74" i="19"/>
  <c r="AO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U73" i="19"/>
  <c r="T73" i="19"/>
  <c r="AO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U72" i="19"/>
  <c r="T72" i="19"/>
  <c r="AO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U71" i="19"/>
  <c r="T71" i="19"/>
  <c r="J65" i="19"/>
  <c r="M64" i="19"/>
  <c r="L64" i="19"/>
  <c r="J64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AO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U61" i="19"/>
  <c r="T61" i="19"/>
  <c r="AO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U60" i="19"/>
  <c r="T60" i="19"/>
  <c r="AO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U59" i="19"/>
  <c r="T59" i="19"/>
  <c r="AO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U58" i="19"/>
  <c r="T58" i="19"/>
  <c r="AO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U57" i="19"/>
  <c r="T57" i="19"/>
  <c r="AO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U56" i="19"/>
  <c r="T56" i="19"/>
  <c r="AO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U55" i="19"/>
  <c r="T55" i="19"/>
  <c r="AO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U54" i="19"/>
  <c r="T54" i="19"/>
  <c r="AO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AO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U52" i="19"/>
  <c r="T52" i="19"/>
  <c r="AO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U51" i="19"/>
  <c r="T51" i="19"/>
  <c r="AO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U50" i="19"/>
  <c r="T50" i="19"/>
  <c r="J44" i="19"/>
  <c r="M43" i="19"/>
  <c r="L43" i="19"/>
  <c r="J43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AO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U40" i="19"/>
  <c r="T40" i="19"/>
  <c r="AO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U39" i="19"/>
  <c r="T39" i="19"/>
  <c r="AO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U38" i="19"/>
  <c r="T38" i="19"/>
  <c r="AO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U37" i="19"/>
  <c r="T37" i="19"/>
  <c r="AO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U36" i="19"/>
  <c r="T36" i="19"/>
  <c r="AO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U35" i="19"/>
  <c r="T35" i="19"/>
  <c r="AO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U34" i="19"/>
  <c r="T34" i="19"/>
  <c r="AO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U33" i="19"/>
  <c r="T33" i="19"/>
  <c r="AO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U32" i="19"/>
  <c r="T32" i="19"/>
  <c r="AO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U31" i="19"/>
  <c r="T31" i="19"/>
  <c r="AO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U30" i="19"/>
  <c r="T30" i="19"/>
  <c r="AO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U29" i="19"/>
  <c r="T29" i="19"/>
  <c r="J23" i="19"/>
  <c r="M22" i="19"/>
  <c r="L22" i="19"/>
  <c r="J22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AO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U19" i="19"/>
  <c r="T19" i="19"/>
  <c r="AO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U18" i="19"/>
  <c r="T18" i="19"/>
  <c r="AO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U17" i="19"/>
  <c r="T17" i="19"/>
  <c r="AO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U16" i="19"/>
  <c r="T16" i="19"/>
  <c r="AO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U15" i="19"/>
  <c r="T15" i="19"/>
  <c r="AO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U14" i="19"/>
  <c r="T14" i="19"/>
  <c r="AO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U13" i="19"/>
  <c r="T13" i="19"/>
  <c r="AO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U12" i="19"/>
  <c r="T12" i="19"/>
  <c r="AO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U11" i="19"/>
  <c r="T11" i="19"/>
  <c r="AO10" i="19"/>
  <c r="AL10" i="19"/>
  <c r="AK10" i="19"/>
  <c r="AJ10" i="19"/>
  <c r="AI10" i="19"/>
  <c r="AH10" i="19"/>
  <c r="AG10" i="19"/>
  <c r="AF10" i="19"/>
  <c r="AE10" i="19"/>
  <c r="AD10" i="19"/>
  <c r="AC10" i="19"/>
  <c r="AB10" i="19"/>
  <c r="U10" i="19"/>
  <c r="T10" i="19"/>
  <c r="AO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U9" i="19"/>
  <c r="T9" i="19"/>
  <c r="AO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U8" i="19"/>
  <c r="T8" i="19"/>
  <c r="H534" i="13"/>
  <c r="K621" i="18"/>
  <c r="J621" i="18"/>
  <c r="I621" i="18"/>
  <c r="H621" i="18"/>
  <c r="G621" i="18"/>
  <c r="F621" i="18"/>
  <c r="E621" i="18"/>
  <c r="D621" i="18"/>
  <c r="K620" i="18"/>
  <c r="J620" i="18"/>
  <c r="I620" i="18"/>
  <c r="H620" i="18"/>
  <c r="G620" i="18"/>
  <c r="F620" i="18"/>
  <c r="E620" i="18"/>
  <c r="D620" i="18"/>
  <c r="K619" i="18"/>
  <c r="J619" i="18"/>
  <c r="I619" i="18"/>
  <c r="H619" i="18"/>
  <c r="G619" i="18"/>
  <c r="F619" i="18"/>
  <c r="E619" i="18"/>
  <c r="D619" i="18"/>
  <c r="K618" i="18"/>
  <c r="J618" i="18"/>
  <c r="I618" i="18"/>
  <c r="H618" i="18"/>
  <c r="G618" i="18"/>
  <c r="F618" i="18"/>
  <c r="E618" i="18"/>
  <c r="D618" i="18"/>
  <c r="K617" i="18"/>
  <c r="J617" i="18"/>
  <c r="I617" i="18"/>
  <c r="H617" i="18"/>
  <c r="G617" i="18"/>
  <c r="F617" i="18"/>
  <c r="E617" i="18"/>
  <c r="D617" i="18"/>
  <c r="K616" i="18"/>
  <c r="J616" i="18"/>
  <c r="I616" i="18"/>
  <c r="H616" i="18"/>
  <c r="G616" i="18"/>
  <c r="F616" i="18"/>
  <c r="E616" i="18"/>
  <c r="D616" i="18"/>
  <c r="K615" i="18"/>
  <c r="J615" i="18"/>
  <c r="I615" i="18"/>
  <c r="H615" i="18"/>
  <c r="G615" i="18"/>
  <c r="F615" i="18"/>
  <c r="E615" i="18"/>
  <c r="D615" i="18"/>
  <c r="K614" i="18"/>
  <c r="J614" i="18"/>
  <c r="I614" i="18"/>
  <c r="H614" i="18"/>
  <c r="G614" i="18"/>
  <c r="F614" i="18"/>
  <c r="E614" i="18"/>
  <c r="D614" i="18"/>
  <c r="K613" i="18"/>
  <c r="J613" i="18"/>
  <c r="I613" i="18"/>
  <c r="H613" i="18"/>
  <c r="G613" i="18"/>
  <c r="F613" i="18"/>
  <c r="E613" i="18"/>
  <c r="D613" i="18"/>
  <c r="K612" i="18"/>
  <c r="J612" i="18"/>
  <c r="I612" i="18"/>
  <c r="H612" i="18"/>
  <c r="G612" i="18"/>
  <c r="F612" i="18"/>
  <c r="E612" i="18"/>
  <c r="D612" i="18"/>
  <c r="K611" i="18"/>
  <c r="J611" i="18"/>
  <c r="I611" i="18"/>
  <c r="H611" i="18"/>
  <c r="G611" i="18"/>
  <c r="F611" i="18"/>
  <c r="E611" i="18"/>
  <c r="D611" i="18"/>
  <c r="K610" i="18"/>
  <c r="J610" i="18"/>
  <c r="I610" i="18"/>
  <c r="H610" i="18"/>
  <c r="G610" i="18"/>
  <c r="F610" i="18"/>
  <c r="E610" i="18"/>
  <c r="D610" i="18"/>
  <c r="K497" i="18"/>
  <c r="J497" i="18"/>
  <c r="I497" i="18"/>
  <c r="H497" i="18"/>
  <c r="G497" i="18"/>
  <c r="F497" i="18"/>
  <c r="E497" i="18"/>
  <c r="D497" i="18"/>
  <c r="M495" i="18"/>
  <c r="O495" i="18" s="1"/>
  <c r="L495" i="18"/>
  <c r="N495" i="18" s="1"/>
  <c r="M494" i="18"/>
  <c r="O494" i="18" s="1"/>
  <c r="L494" i="18"/>
  <c r="N494" i="18" s="1"/>
  <c r="M493" i="18"/>
  <c r="O493" i="18" s="1"/>
  <c r="L493" i="18"/>
  <c r="N493" i="18" s="1"/>
  <c r="M492" i="18"/>
  <c r="O492" i="18" s="1"/>
  <c r="L492" i="18"/>
  <c r="N492" i="18" s="1"/>
  <c r="M491" i="18"/>
  <c r="O491" i="18" s="1"/>
  <c r="L491" i="18"/>
  <c r="N491" i="18" s="1"/>
  <c r="M490" i="18"/>
  <c r="O490" i="18" s="1"/>
  <c r="L490" i="18"/>
  <c r="N490" i="18" s="1"/>
  <c r="M489" i="18"/>
  <c r="O489" i="18" s="1"/>
  <c r="L489" i="18"/>
  <c r="N489" i="18" s="1"/>
  <c r="M488" i="18"/>
  <c r="O488" i="18" s="1"/>
  <c r="L488" i="18"/>
  <c r="N488" i="18" s="1"/>
  <c r="M487" i="18"/>
  <c r="O487" i="18" s="1"/>
  <c r="L487" i="18"/>
  <c r="N487" i="18" s="1"/>
  <c r="M486" i="18"/>
  <c r="O486" i="18" s="1"/>
  <c r="L486" i="18"/>
  <c r="N486" i="18" s="1"/>
  <c r="M485" i="18"/>
  <c r="O485" i="18" s="1"/>
  <c r="L485" i="18"/>
  <c r="N485" i="18" s="1"/>
  <c r="M484" i="18"/>
  <c r="O484" i="18" s="1"/>
  <c r="L484" i="18"/>
  <c r="N484" i="18" s="1"/>
  <c r="AC357" i="19" l="1"/>
  <c r="J632" i="19"/>
  <c r="AM255" i="19"/>
  <c r="AP255" i="19" s="1"/>
  <c r="AN172" i="19"/>
  <c r="AQ172" i="19" s="1"/>
  <c r="M616" i="19"/>
  <c r="AN322" i="19"/>
  <c r="AQ322" i="19" s="1"/>
  <c r="AM258" i="19"/>
  <c r="AP258" i="19" s="1"/>
  <c r="AN259" i="19"/>
  <c r="AQ259" i="19" s="1"/>
  <c r="AM275" i="19"/>
  <c r="AP275" i="19" s="1"/>
  <c r="AM128" i="19"/>
  <c r="AP128" i="19" s="1"/>
  <c r="T160" i="19"/>
  <c r="T161" i="19" s="1"/>
  <c r="AM157" i="19"/>
  <c r="AP157" i="19" s="1"/>
  <c r="AM115" i="19"/>
  <c r="AM97" i="19"/>
  <c r="U139" i="19"/>
  <c r="U140" i="19" s="1"/>
  <c r="T22" i="19"/>
  <c r="T23" i="19" s="1"/>
  <c r="AM19" i="19"/>
  <c r="AP19" i="19" s="1"/>
  <c r="T349" i="19"/>
  <c r="AJ306" i="19"/>
  <c r="U349" i="19"/>
  <c r="AL306" i="19"/>
  <c r="AF21" i="19"/>
  <c r="AN113" i="19"/>
  <c r="U160" i="19"/>
  <c r="AN77" i="19"/>
  <c r="AQ77" i="19" s="1"/>
  <c r="AM171" i="19"/>
  <c r="AP171" i="19" s="1"/>
  <c r="U202" i="19"/>
  <c r="AN219" i="19"/>
  <c r="AQ219" i="19" s="1"/>
  <c r="U244" i="19"/>
  <c r="U245" i="19" s="1"/>
  <c r="AN240" i="19"/>
  <c r="AQ240" i="19" s="1"/>
  <c r="T286" i="19"/>
  <c r="AM274" i="19"/>
  <c r="AM299" i="19"/>
  <c r="AP299" i="19" s="1"/>
  <c r="AN36" i="19"/>
  <c r="AQ36" i="19" s="1"/>
  <c r="AM254" i="19"/>
  <c r="AP254" i="19" s="1"/>
  <c r="AB21" i="19"/>
  <c r="AM14" i="19"/>
  <c r="AP14" i="19" s="1"/>
  <c r="AE21" i="19"/>
  <c r="AC84" i="19"/>
  <c r="AM95" i="19"/>
  <c r="AM113" i="19"/>
  <c r="T202" i="19"/>
  <c r="T203" i="19" s="1"/>
  <c r="AM198" i="19"/>
  <c r="AP198" i="19" s="1"/>
  <c r="AM240" i="19"/>
  <c r="AP240" i="19" s="1"/>
  <c r="AM94" i="19"/>
  <c r="AM112" i="19"/>
  <c r="AM209" i="19"/>
  <c r="AP209" i="19" s="1"/>
  <c r="U285" i="19"/>
  <c r="AM316" i="19"/>
  <c r="AP316" i="19" s="1"/>
  <c r="D637" i="19"/>
  <c r="H637" i="19" s="1"/>
  <c r="AM195" i="19"/>
  <c r="AP195" i="19" s="1"/>
  <c r="T287" i="19"/>
  <c r="U21" i="19"/>
  <c r="U328" i="19"/>
  <c r="U351" i="19" s="1"/>
  <c r="M539" i="19"/>
  <c r="AM38" i="19"/>
  <c r="AP38" i="19" s="1"/>
  <c r="AM59" i="19"/>
  <c r="AP59" i="19" s="1"/>
  <c r="AM172" i="19"/>
  <c r="AP172" i="19" s="1"/>
  <c r="AN55" i="19"/>
  <c r="AQ55" i="19" s="1"/>
  <c r="AM76" i="19"/>
  <c r="AP76" i="19" s="1"/>
  <c r="AM100" i="19"/>
  <c r="AM129" i="19"/>
  <c r="AP129" i="19" s="1"/>
  <c r="AN151" i="19"/>
  <c r="AQ151" i="19" s="1"/>
  <c r="AM252" i="19"/>
  <c r="AP252" i="19" s="1"/>
  <c r="AN258" i="19"/>
  <c r="AQ258" i="19" s="1"/>
  <c r="AH42" i="19"/>
  <c r="AH63" i="19"/>
  <c r="AL243" i="19"/>
  <c r="AN315" i="19"/>
  <c r="AQ315" i="19" s="1"/>
  <c r="M455" i="19"/>
  <c r="AM239" i="19"/>
  <c r="AP239" i="19" s="1"/>
  <c r="AD138" i="19"/>
  <c r="AN114" i="19"/>
  <c r="AN128" i="19"/>
  <c r="AQ128" i="19" s="1"/>
  <c r="AN95" i="19"/>
  <c r="AK306" i="19"/>
  <c r="AN14" i="19"/>
  <c r="AQ14" i="19" s="1"/>
  <c r="AN32" i="19"/>
  <c r="AQ32" i="19" s="1"/>
  <c r="AN40" i="19"/>
  <c r="AQ40" i="19" s="1"/>
  <c r="AM111" i="19"/>
  <c r="AP111" i="19" s="1"/>
  <c r="AM99" i="19"/>
  <c r="AJ180" i="19"/>
  <c r="AM238" i="19"/>
  <c r="AP238" i="19" s="1"/>
  <c r="AB84" i="19"/>
  <c r="AI306" i="19"/>
  <c r="AN53" i="19"/>
  <c r="AQ53" i="19" s="1"/>
  <c r="AN96" i="19"/>
  <c r="AN149" i="19"/>
  <c r="AQ149" i="19" s="1"/>
  <c r="AM17" i="19"/>
  <c r="AP17" i="19" s="1"/>
  <c r="AM32" i="19"/>
  <c r="AP32" i="19" s="1"/>
  <c r="AN100" i="19"/>
  <c r="AF180" i="19"/>
  <c r="AN252" i="19"/>
  <c r="AQ252" i="19" s="1"/>
  <c r="AM294" i="19"/>
  <c r="AP294" i="19" s="1"/>
  <c r="AM39" i="19"/>
  <c r="AP39" i="19" s="1"/>
  <c r="AN209" i="19"/>
  <c r="AQ209" i="19" s="1"/>
  <c r="AL42" i="19"/>
  <c r="AL63" i="19"/>
  <c r="AM342" i="19"/>
  <c r="AP342" i="19" s="1"/>
  <c r="AM341" i="19"/>
  <c r="AP341" i="19" s="1"/>
  <c r="AM340" i="19"/>
  <c r="AP340" i="19" s="1"/>
  <c r="AN341" i="19"/>
  <c r="AQ341" i="19" s="1"/>
  <c r="AN342" i="19"/>
  <c r="AQ342" i="19" s="1"/>
  <c r="AM345" i="19"/>
  <c r="AP345" i="19" s="1"/>
  <c r="AM335" i="19"/>
  <c r="AN300" i="19"/>
  <c r="AQ300" i="19" s="1"/>
  <c r="AM300" i="19"/>
  <c r="AP300" i="19" s="1"/>
  <c r="AN297" i="19"/>
  <c r="AQ297" i="19" s="1"/>
  <c r="AN293" i="19"/>
  <c r="AQ293" i="19" s="1"/>
  <c r="AN299" i="19"/>
  <c r="AQ299" i="19" s="1"/>
  <c r="AM295" i="19"/>
  <c r="AP295" i="19" s="1"/>
  <c r="AM301" i="19"/>
  <c r="AP301" i="19" s="1"/>
  <c r="AH306" i="19"/>
  <c r="AM302" i="19"/>
  <c r="AP302" i="19" s="1"/>
  <c r="AM304" i="19"/>
  <c r="AP304" i="19" s="1"/>
  <c r="AM298" i="19"/>
  <c r="AP298" i="19" s="1"/>
  <c r="AM212" i="19"/>
  <c r="AP212" i="19" s="1"/>
  <c r="AN213" i="19"/>
  <c r="AQ213" i="19" s="1"/>
  <c r="AN211" i="19"/>
  <c r="AQ211" i="19" s="1"/>
  <c r="AN214" i="19"/>
  <c r="AQ214" i="19" s="1"/>
  <c r="AM217" i="19"/>
  <c r="AP217" i="19" s="1"/>
  <c r="AM210" i="19"/>
  <c r="AP210" i="19" s="1"/>
  <c r="AN215" i="19"/>
  <c r="AQ215" i="19" s="1"/>
  <c r="E640" i="19"/>
  <c r="I640" i="19" s="1"/>
  <c r="AF222" i="19"/>
  <c r="AN272" i="19"/>
  <c r="AK264" i="19"/>
  <c r="AB243" i="19"/>
  <c r="AN188" i="19"/>
  <c r="AQ188" i="19" s="1"/>
  <c r="U203" i="19"/>
  <c r="AA357" i="19"/>
  <c r="AB357" i="19"/>
  <c r="U161" i="19"/>
  <c r="E120" i="19"/>
  <c r="Q120" i="19"/>
  <c r="Q117" i="19" s="1"/>
  <c r="F120" i="19"/>
  <c r="F117" i="19" s="1"/>
  <c r="AI84" i="19"/>
  <c r="AF84" i="19"/>
  <c r="AE84" i="19"/>
  <c r="T42" i="19"/>
  <c r="AN8" i="19"/>
  <c r="AQ8" i="19" s="1"/>
  <c r="O526" i="19"/>
  <c r="L539" i="19"/>
  <c r="L620" i="19"/>
  <c r="N620" i="19" s="1"/>
  <c r="M620" i="19"/>
  <c r="O620" i="19" s="1"/>
  <c r="M613" i="19"/>
  <c r="O613" i="19" s="1"/>
  <c r="L612" i="19"/>
  <c r="N612" i="19" s="1"/>
  <c r="L455" i="19"/>
  <c r="G623" i="19"/>
  <c r="K623" i="19"/>
  <c r="L614" i="19"/>
  <c r="N614" i="19" s="1"/>
  <c r="M614" i="19"/>
  <c r="O614" i="19" s="1"/>
  <c r="L434" i="19"/>
  <c r="L617" i="19"/>
  <c r="N617" i="19" s="1"/>
  <c r="I623" i="19"/>
  <c r="M617" i="19"/>
  <c r="O617" i="19" s="1"/>
  <c r="H623" i="19"/>
  <c r="M611" i="19"/>
  <c r="O611" i="19" s="1"/>
  <c r="L621" i="19"/>
  <c r="N621" i="19" s="1"/>
  <c r="L616" i="19"/>
  <c r="M621" i="19"/>
  <c r="O621" i="19" s="1"/>
  <c r="L610" i="19"/>
  <c r="N610" i="19" s="1"/>
  <c r="M618" i="19"/>
  <c r="O618" i="19" s="1"/>
  <c r="M619" i="19"/>
  <c r="O619" i="19" s="1"/>
  <c r="L619" i="19"/>
  <c r="N619" i="19" s="1"/>
  <c r="O616" i="19"/>
  <c r="T348" i="19"/>
  <c r="AH348" i="19"/>
  <c r="AN339" i="19"/>
  <c r="AQ339" i="19" s="1"/>
  <c r="AN335" i="19"/>
  <c r="AQ335" i="19" s="1"/>
  <c r="AB348" i="19"/>
  <c r="AC348" i="19"/>
  <c r="AL327" i="19"/>
  <c r="AM322" i="19"/>
  <c r="AP322" i="19" s="1"/>
  <c r="AM317" i="19"/>
  <c r="AP317" i="19" s="1"/>
  <c r="AN321" i="19"/>
  <c r="AQ321" i="19" s="1"/>
  <c r="AM323" i="19"/>
  <c r="AP323" i="19" s="1"/>
  <c r="AK327" i="19"/>
  <c r="AN324" i="19"/>
  <c r="AQ324" i="19" s="1"/>
  <c r="AC327" i="19"/>
  <c r="AD327" i="19"/>
  <c r="AM315" i="19"/>
  <c r="AP315" i="19" s="1"/>
  <c r="AN280" i="19"/>
  <c r="AQ280" i="19" s="1"/>
  <c r="AM283" i="19"/>
  <c r="AP283" i="19" s="1"/>
  <c r="AB285" i="19"/>
  <c r="AN283" i="19"/>
  <c r="AQ283" i="19" s="1"/>
  <c r="AD285" i="19"/>
  <c r="AF285" i="19"/>
  <c r="AM282" i="19"/>
  <c r="AP282" i="19" s="1"/>
  <c r="AN276" i="19"/>
  <c r="AQ276" i="19" s="1"/>
  <c r="AM281" i="19"/>
  <c r="AP281" i="19" s="1"/>
  <c r="AN281" i="19"/>
  <c r="AQ281" i="19" s="1"/>
  <c r="T285" i="19"/>
  <c r="AN275" i="19"/>
  <c r="AQ275" i="19" s="1"/>
  <c r="AN279" i="19"/>
  <c r="AQ279" i="19" s="1"/>
  <c r="AN254" i="19"/>
  <c r="AQ254" i="19" s="1"/>
  <c r="U265" i="19"/>
  <c r="AE264" i="19"/>
  <c r="AN253" i="19"/>
  <c r="AQ253" i="19" s="1"/>
  <c r="AA264" i="19"/>
  <c r="AN261" i="19"/>
  <c r="AQ261" i="19" s="1"/>
  <c r="AM251" i="19"/>
  <c r="AP251" i="19" s="1"/>
  <c r="AD243" i="19"/>
  <c r="AM233" i="19"/>
  <c r="AP233" i="19" s="1"/>
  <c r="AN233" i="19"/>
  <c r="AQ233" i="19" s="1"/>
  <c r="U243" i="19"/>
  <c r="AF243" i="19"/>
  <c r="AM241" i="19"/>
  <c r="AP241" i="19" s="1"/>
  <c r="AN235" i="19"/>
  <c r="AQ235" i="19" s="1"/>
  <c r="AN234" i="19"/>
  <c r="AQ234" i="19" s="1"/>
  <c r="AM197" i="19"/>
  <c r="AP197" i="19" s="1"/>
  <c r="AN198" i="19"/>
  <c r="AQ198" i="19" s="1"/>
  <c r="D635" i="19"/>
  <c r="H635" i="19" s="1"/>
  <c r="D640" i="19"/>
  <c r="H640" i="19" s="1"/>
  <c r="AM199" i="19"/>
  <c r="AP199" i="19" s="1"/>
  <c r="AN199" i="19"/>
  <c r="AQ199" i="19" s="1"/>
  <c r="AN194" i="19"/>
  <c r="AQ194" i="19" s="1"/>
  <c r="AB201" i="19"/>
  <c r="T201" i="19"/>
  <c r="AM190" i="19"/>
  <c r="AP190" i="19" s="1"/>
  <c r="AG180" i="19"/>
  <c r="AN177" i="19"/>
  <c r="AQ177" i="19" s="1"/>
  <c r="AN176" i="19"/>
  <c r="AQ176" i="19" s="1"/>
  <c r="AN168" i="19"/>
  <c r="AQ168" i="19" s="1"/>
  <c r="AM176" i="19"/>
  <c r="AP176" i="19" s="1"/>
  <c r="AN171" i="19"/>
  <c r="AQ171" i="19" s="1"/>
  <c r="AN170" i="19"/>
  <c r="AQ170" i="19" s="1"/>
  <c r="AM170" i="19"/>
  <c r="AP170" i="19" s="1"/>
  <c r="AH180" i="19"/>
  <c r="AM169" i="19"/>
  <c r="AP169" i="19" s="1"/>
  <c r="AB159" i="19"/>
  <c r="AL159" i="19"/>
  <c r="AM150" i="19"/>
  <c r="AP150" i="19" s="1"/>
  <c r="AM149" i="19"/>
  <c r="AP149" i="19" s="1"/>
  <c r="AM148" i="19"/>
  <c r="AP148" i="19" s="1"/>
  <c r="AN148" i="19"/>
  <c r="AQ148" i="19" s="1"/>
  <c r="T159" i="19"/>
  <c r="AM156" i="19"/>
  <c r="AP156" i="19" s="1"/>
  <c r="AC159" i="19"/>
  <c r="U159" i="19"/>
  <c r="AN157" i="19"/>
  <c r="AQ157" i="19" s="1"/>
  <c r="AD159" i="19"/>
  <c r="U138" i="19"/>
  <c r="AN133" i="19"/>
  <c r="AQ133" i="19" s="1"/>
  <c r="AN131" i="19"/>
  <c r="AQ131" i="19" s="1"/>
  <c r="AM127" i="19"/>
  <c r="AP127" i="19" s="1"/>
  <c r="AM131" i="19"/>
  <c r="AP131" i="19" s="1"/>
  <c r="AN127" i="19"/>
  <c r="AQ127" i="19" s="1"/>
  <c r="AM130" i="19"/>
  <c r="AP130" i="19" s="1"/>
  <c r="AN129" i="19"/>
  <c r="AQ129" i="19" s="1"/>
  <c r="AN94" i="19"/>
  <c r="AN101" i="19"/>
  <c r="AN109" i="19"/>
  <c r="AQ109" i="19" s="1"/>
  <c r="AN93" i="19"/>
  <c r="AM109" i="19"/>
  <c r="AP109" i="19" s="1"/>
  <c r="AN108" i="19"/>
  <c r="AQ108" i="19" s="1"/>
  <c r="AN111" i="19"/>
  <c r="AQ111" i="19" s="1"/>
  <c r="AM108" i="19"/>
  <c r="AP108" i="19" s="1"/>
  <c r="AM107" i="19"/>
  <c r="AN107" i="19"/>
  <c r="AN99" i="19"/>
  <c r="AM105" i="19"/>
  <c r="AM98" i="19"/>
  <c r="AN98" i="19"/>
  <c r="E634" i="19"/>
  <c r="I634" i="19" s="1"/>
  <c r="AN72" i="19"/>
  <c r="AQ72" i="19" s="1"/>
  <c r="AN75" i="19"/>
  <c r="AQ75" i="19" s="1"/>
  <c r="AM81" i="19"/>
  <c r="AP81" i="19" s="1"/>
  <c r="AD84" i="19"/>
  <c r="AN76" i="19"/>
  <c r="AQ76" i="19" s="1"/>
  <c r="AM71" i="19"/>
  <c r="AP71" i="19" s="1"/>
  <c r="AM75" i="19"/>
  <c r="AP75" i="19" s="1"/>
  <c r="E641" i="19"/>
  <c r="I641" i="19" s="1"/>
  <c r="AN54" i="19"/>
  <c r="AQ54" i="19" s="1"/>
  <c r="AM58" i="19"/>
  <c r="AP58" i="19" s="1"/>
  <c r="AE63" i="19"/>
  <c r="AG63" i="19"/>
  <c r="AK63" i="19"/>
  <c r="AN58" i="19"/>
  <c r="AQ58" i="19" s="1"/>
  <c r="AC63" i="19"/>
  <c r="D633" i="19"/>
  <c r="H633" i="19" s="1"/>
  <c r="AM52" i="19"/>
  <c r="AP52" i="19" s="1"/>
  <c r="AA368" i="19"/>
  <c r="AM368" i="19" s="1"/>
  <c r="AN38" i="19"/>
  <c r="AQ38" i="19" s="1"/>
  <c r="J636" i="19"/>
  <c r="E632" i="19"/>
  <c r="I632" i="19" s="1"/>
  <c r="AM37" i="19"/>
  <c r="AP37" i="19" s="1"/>
  <c r="AA364" i="19"/>
  <c r="AB364" i="19"/>
  <c r="AB363" i="19"/>
  <c r="AN363" i="19" s="1"/>
  <c r="T364" i="19"/>
  <c r="AM35" i="19"/>
  <c r="AP35" i="19" s="1"/>
  <c r="AN31" i="19"/>
  <c r="AQ31" i="19" s="1"/>
  <c r="AA42" i="19"/>
  <c r="AB42" i="19"/>
  <c r="D641" i="19"/>
  <c r="H641" i="19" s="1"/>
  <c r="AN18" i="19"/>
  <c r="AQ18" i="19" s="1"/>
  <c r="E638" i="19"/>
  <c r="I638" i="19" s="1"/>
  <c r="E639" i="19"/>
  <c r="I639" i="19" s="1"/>
  <c r="AB365" i="19"/>
  <c r="K641" i="19"/>
  <c r="AA366" i="19"/>
  <c r="L370" i="19"/>
  <c r="J633" i="19"/>
  <c r="AA21" i="19"/>
  <c r="AM16" i="19"/>
  <c r="AP16" i="19" s="1"/>
  <c r="E371" i="19"/>
  <c r="AG361" i="19"/>
  <c r="J637" i="19"/>
  <c r="K638" i="19"/>
  <c r="AA360" i="19"/>
  <c r="AN19" i="19"/>
  <c r="AQ19" i="19" s="1"/>
  <c r="AA361" i="19"/>
  <c r="AK362" i="19"/>
  <c r="AK370" i="19" s="1"/>
  <c r="AM18" i="19"/>
  <c r="AP18" i="19" s="1"/>
  <c r="AB359" i="19"/>
  <c r="AB366" i="19"/>
  <c r="AM13" i="19"/>
  <c r="AP13" i="19" s="1"/>
  <c r="AD42" i="19"/>
  <c r="AN238" i="19"/>
  <c r="AQ238" i="19" s="1"/>
  <c r="AN239" i="19"/>
  <c r="AQ239" i="19" s="1"/>
  <c r="AN301" i="19"/>
  <c r="AQ301" i="19" s="1"/>
  <c r="AF361" i="19"/>
  <c r="K636" i="19"/>
  <c r="D370" i="19"/>
  <c r="D639" i="19"/>
  <c r="H639" i="19" s="1"/>
  <c r="AM93" i="19"/>
  <c r="AQ272" i="19"/>
  <c r="O547" i="19"/>
  <c r="M560" i="19"/>
  <c r="AC42" i="19"/>
  <c r="AA243" i="19"/>
  <c r="AE42" i="19"/>
  <c r="AM33" i="19"/>
  <c r="AP33" i="19" s="1"/>
  <c r="AC110" i="19"/>
  <c r="AC117" i="19" s="1"/>
  <c r="J117" i="19"/>
  <c r="U266" i="19"/>
  <c r="O442" i="19"/>
  <c r="N553" i="19"/>
  <c r="T391" i="19"/>
  <c r="AG42" i="19"/>
  <c r="AN314" i="19"/>
  <c r="AJ327" i="19"/>
  <c r="AA201" i="19"/>
  <c r="AM213" i="19"/>
  <c r="AP213" i="19" s="1"/>
  <c r="AI222" i="19"/>
  <c r="T367" i="19"/>
  <c r="J642" i="19"/>
  <c r="AE367" i="19"/>
  <c r="AN169" i="19"/>
  <c r="AQ169" i="19" s="1"/>
  <c r="AM216" i="19"/>
  <c r="AP216" i="19" s="1"/>
  <c r="AN105" i="19"/>
  <c r="T365" i="19"/>
  <c r="AG365" i="19"/>
  <c r="J640" i="19"/>
  <c r="U367" i="19"/>
  <c r="AH367" i="19"/>
  <c r="AM40" i="19"/>
  <c r="AP40" i="19" s="1"/>
  <c r="AC222" i="19"/>
  <c r="U365" i="19"/>
  <c r="AH365" i="19"/>
  <c r="K640" i="19"/>
  <c r="AM168" i="19"/>
  <c r="AP168" i="19" s="1"/>
  <c r="AJ243" i="19"/>
  <c r="AN302" i="19"/>
  <c r="AQ302" i="19" s="1"/>
  <c r="AC361" i="19"/>
  <c r="T361" i="19"/>
  <c r="AF63" i="19"/>
  <c r="AN74" i="19"/>
  <c r="AQ74" i="19" s="1"/>
  <c r="AN102" i="19"/>
  <c r="AL201" i="19"/>
  <c r="AA362" i="19"/>
  <c r="AM12" i="19"/>
  <c r="AP12" i="19" s="1"/>
  <c r="AG21" i="19"/>
  <c r="AH21" i="19"/>
  <c r="AN136" i="19"/>
  <c r="AQ136" i="19" s="1"/>
  <c r="AM297" i="19"/>
  <c r="AP297" i="19" s="1"/>
  <c r="AN346" i="19"/>
  <c r="AQ346" i="19" s="1"/>
  <c r="AJ42" i="19"/>
  <c r="AM151" i="19"/>
  <c r="AP151" i="19" s="1"/>
  <c r="AA159" i="19"/>
  <c r="AM280" i="19"/>
  <c r="AP280" i="19" s="1"/>
  <c r="AG285" i="19"/>
  <c r="AG359" i="19"/>
  <c r="J634" i="19"/>
  <c r="T359" i="19"/>
  <c r="AM92" i="19"/>
  <c r="AM175" i="19"/>
  <c r="AP175" i="19" s="1"/>
  <c r="U359" i="19"/>
  <c r="AH359" i="19"/>
  <c r="AM34" i="19"/>
  <c r="AP34" i="19" s="1"/>
  <c r="AM53" i="19"/>
  <c r="AP53" i="19" s="1"/>
  <c r="N528" i="19"/>
  <c r="AM30" i="19"/>
  <c r="AP30" i="19" s="1"/>
  <c r="AN52" i="19"/>
  <c r="AQ52" i="19" s="1"/>
  <c r="AM218" i="19"/>
  <c r="AP218" i="19" s="1"/>
  <c r="N442" i="19"/>
  <c r="AN81" i="19"/>
  <c r="AQ81" i="19" s="1"/>
  <c r="AN29" i="19"/>
  <c r="AF42" i="19"/>
  <c r="AB368" i="19"/>
  <c r="AN368" i="19" s="1"/>
  <c r="U368" i="19"/>
  <c r="X384" i="19"/>
  <c r="F638" i="19" s="1"/>
  <c r="AN217" i="19"/>
  <c r="AQ217" i="19" s="1"/>
  <c r="AJ84" i="19"/>
  <c r="AN71" i="19"/>
  <c r="AN146" i="19"/>
  <c r="AN216" i="19"/>
  <c r="AQ216" i="19" s="1"/>
  <c r="AK84" i="19"/>
  <c r="J641" i="19"/>
  <c r="AE366" i="19"/>
  <c r="T366" i="19"/>
  <c r="AL84" i="19"/>
  <c r="AM104" i="19"/>
  <c r="AH222" i="19"/>
  <c r="AN303" i="19"/>
  <c r="AQ303" i="19" s="1"/>
  <c r="I370" i="19"/>
  <c r="AB360" i="19"/>
  <c r="AN360" i="19" s="1"/>
  <c r="AB362" i="19"/>
  <c r="AN362" i="19" s="1"/>
  <c r="E637" i="19"/>
  <c r="I637" i="19" s="1"/>
  <c r="AM74" i="19"/>
  <c r="AP74" i="19" s="1"/>
  <c r="AM102" i="19"/>
  <c r="AL264" i="19"/>
  <c r="AC360" i="19"/>
  <c r="J635" i="19"/>
  <c r="AN13" i="19"/>
  <c r="AQ13" i="19" s="1"/>
  <c r="AE180" i="19"/>
  <c r="AN197" i="19"/>
  <c r="AQ197" i="19" s="1"/>
  <c r="AN17" i="19"/>
  <c r="AQ17" i="19" s="1"/>
  <c r="AM101" i="19"/>
  <c r="AN35" i="19"/>
  <c r="AQ35" i="19" s="1"/>
  <c r="AI180" i="19"/>
  <c r="U201" i="19"/>
  <c r="AD348" i="19"/>
  <c r="AN135" i="19"/>
  <c r="AQ135" i="19" s="1"/>
  <c r="AF201" i="19"/>
  <c r="AM189" i="19"/>
  <c r="AP189" i="19" s="1"/>
  <c r="AM219" i="19"/>
  <c r="AP219" i="19" s="1"/>
  <c r="AF264" i="19"/>
  <c r="AM277" i="19"/>
  <c r="AP277" i="19" s="1"/>
  <c r="AG327" i="19"/>
  <c r="AM320" i="19"/>
  <c r="AP320" i="19" s="1"/>
  <c r="AE348" i="19"/>
  <c r="AM80" i="19"/>
  <c r="AP80" i="19" s="1"/>
  <c r="AJ117" i="19"/>
  <c r="AN92" i="19"/>
  <c r="AI138" i="19"/>
  <c r="AM125" i="19"/>
  <c r="T243" i="19"/>
  <c r="T244" i="19"/>
  <c r="T245" i="19" s="1"/>
  <c r="AC306" i="19"/>
  <c r="AN103" i="19"/>
  <c r="AF138" i="19"/>
  <c r="AE159" i="19"/>
  <c r="AN147" i="19"/>
  <c r="AQ147" i="19" s="1"/>
  <c r="U182" i="19"/>
  <c r="AC285" i="19"/>
  <c r="U307" i="19"/>
  <c r="U308" i="19" s="1"/>
  <c r="U306" i="19"/>
  <c r="AM73" i="19"/>
  <c r="AP73" i="19" s="1"/>
  <c r="E117" i="19"/>
  <c r="AM147" i="19"/>
  <c r="AP147" i="19" s="1"/>
  <c r="AM259" i="19"/>
  <c r="AP259" i="19" s="1"/>
  <c r="AA63" i="19"/>
  <c r="AM56" i="19"/>
  <c r="AP56" i="19" s="1"/>
  <c r="AK180" i="19"/>
  <c r="T222" i="19"/>
  <c r="AB358" i="19"/>
  <c r="E633" i="19"/>
  <c r="AN16" i="19"/>
  <c r="AQ16" i="19" s="1"/>
  <c r="AM51" i="19"/>
  <c r="AP51" i="19" s="1"/>
  <c r="U84" i="19"/>
  <c r="U85" i="19"/>
  <c r="U86" i="19" s="1"/>
  <c r="AM136" i="19"/>
  <c r="AP136" i="19" s="1"/>
  <c r="AN156" i="19"/>
  <c r="AQ156" i="19" s="1"/>
  <c r="AC201" i="19"/>
  <c r="U223" i="19"/>
  <c r="U224" i="19" s="1"/>
  <c r="U222" i="19"/>
  <c r="AM346" i="19"/>
  <c r="AP346" i="19" s="1"/>
  <c r="AN73" i="19"/>
  <c r="AQ73" i="19" s="1"/>
  <c r="AM167" i="19"/>
  <c r="AM253" i="19"/>
  <c r="AP253" i="19" s="1"/>
  <c r="AI264" i="19"/>
  <c r="AA358" i="19"/>
  <c r="E642" i="19"/>
  <c r="I642" i="19" s="1"/>
  <c r="AB367" i="19"/>
  <c r="L497" i="19"/>
  <c r="AC21" i="19"/>
  <c r="H120" i="19"/>
  <c r="H117" i="19" s="1"/>
  <c r="D120" i="19"/>
  <c r="P120" i="19"/>
  <c r="N120" i="19"/>
  <c r="L120" i="19"/>
  <c r="R120" i="19"/>
  <c r="AM135" i="19"/>
  <c r="AP135" i="19" s="1"/>
  <c r="AP274" i="19"/>
  <c r="L371" i="19"/>
  <c r="L266" i="19" s="1"/>
  <c r="M518" i="19"/>
  <c r="O505" i="19"/>
  <c r="N550" i="19"/>
  <c r="L560" i="19"/>
  <c r="AD21" i="19"/>
  <c r="AN15" i="19"/>
  <c r="AQ15" i="19" s="1"/>
  <c r="I120" i="19"/>
  <c r="I117" i="19" s="1"/>
  <c r="G120" i="19"/>
  <c r="G117" i="19" s="1"/>
  <c r="M120" i="19"/>
  <c r="K120" i="19"/>
  <c r="S120" i="19"/>
  <c r="AN150" i="19"/>
  <c r="AQ150" i="19" s="1"/>
  <c r="AM155" i="19"/>
  <c r="AP155" i="19" s="1"/>
  <c r="AD264" i="19"/>
  <c r="AL348" i="19"/>
  <c r="AC358" i="19"/>
  <c r="J370" i="19"/>
  <c r="E623" i="19"/>
  <c r="M612" i="19"/>
  <c r="O612" i="19" s="1"/>
  <c r="K635" i="19"/>
  <c r="AN10" i="19"/>
  <c r="AQ10" i="19" s="1"/>
  <c r="AN37" i="19"/>
  <c r="AQ37" i="19" s="1"/>
  <c r="AN60" i="19"/>
  <c r="AQ60" i="19" s="1"/>
  <c r="AN130" i="19"/>
  <c r="AQ130" i="19" s="1"/>
  <c r="AL180" i="19"/>
  <c r="AC264" i="19"/>
  <c r="AM319" i="19"/>
  <c r="AP319" i="19" s="1"/>
  <c r="AM339" i="19"/>
  <c r="AP339" i="19" s="1"/>
  <c r="AM114" i="19"/>
  <c r="T139" i="19"/>
  <c r="T140" i="19" s="1"/>
  <c r="T138" i="19"/>
  <c r="AM9" i="19"/>
  <c r="AP9" i="19" s="1"/>
  <c r="AL21" i="19"/>
  <c r="AI63" i="19"/>
  <c r="AM50" i="19"/>
  <c r="AG84" i="19"/>
  <c r="AN82" i="19"/>
  <c r="AQ82" i="19" s="1"/>
  <c r="AN97" i="19"/>
  <c r="AM106" i="19"/>
  <c r="AN134" i="19"/>
  <c r="AQ134" i="19" s="1"/>
  <c r="AN154" i="19"/>
  <c r="AQ154" i="19" s="1"/>
  <c r="AG201" i="19"/>
  <c r="AJ222" i="19"/>
  <c r="AM256" i="19"/>
  <c r="AP256" i="19" s="1"/>
  <c r="AN257" i="19"/>
  <c r="AQ257" i="19" s="1"/>
  <c r="U264" i="19"/>
  <c r="AN282" i="19"/>
  <c r="AQ282" i="19" s="1"/>
  <c r="AH327" i="19"/>
  <c r="E643" i="19"/>
  <c r="I643" i="19" s="1"/>
  <c r="AN175" i="19"/>
  <c r="AQ175" i="19" s="1"/>
  <c r="AM232" i="19"/>
  <c r="AP232" i="19" s="1"/>
  <c r="AM296" i="19"/>
  <c r="AP296" i="19" s="1"/>
  <c r="AN57" i="19"/>
  <c r="AQ57" i="19" s="1"/>
  <c r="AN80" i="19"/>
  <c r="AQ80" i="19" s="1"/>
  <c r="AN174" i="19"/>
  <c r="AQ174" i="19" s="1"/>
  <c r="AM279" i="19"/>
  <c r="AP279" i="19" s="1"/>
  <c r="AB306" i="19"/>
  <c r="AM57" i="19"/>
  <c r="AP57" i="19" s="1"/>
  <c r="AF159" i="19"/>
  <c r="AA285" i="19"/>
  <c r="AM11" i="19"/>
  <c r="AP11" i="19" s="1"/>
  <c r="AI21" i="19"/>
  <c r="T84" i="19"/>
  <c r="T85" i="19"/>
  <c r="T86" i="19" s="1"/>
  <c r="AM146" i="19"/>
  <c r="AG159" i="19"/>
  <c r="AB222" i="19"/>
  <c r="AN210" i="19"/>
  <c r="AQ210" i="19" s="1"/>
  <c r="AJ348" i="19"/>
  <c r="AN336" i="19"/>
  <c r="AQ336" i="19" s="1"/>
  <c r="H370" i="19"/>
  <c r="AL359" i="19"/>
  <c r="AL370" i="19" s="1"/>
  <c r="S370" i="19"/>
  <c r="AN11" i="19"/>
  <c r="AQ11" i="19" s="1"/>
  <c r="AJ21" i="19"/>
  <c r="AB63" i="19"/>
  <c r="AN33" i="19"/>
  <c r="AQ33" i="19" s="1"/>
  <c r="AA84" i="19"/>
  <c r="AH110" i="19"/>
  <c r="AH117" i="19" s="1"/>
  <c r="AB327" i="19"/>
  <c r="AM325" i="19"/>
  <c r="AP325" i="19" s="1"/>
  <c r="G370" i="19"/>
  <c r="U360" i="19"/>
  <c r="D642" i="19"/>
  <c r="H642" i="19" s="1"/>
  <c r="AA367" i="19"/>
  <c r="AD63" i="19"/>
  <c r="AM215" i="19"/>
  <c r="AP215" i="19" s="1"/>
  <c r="AN51" i="19"/>
  <c r="AQ51" i="19" s="1"/>
  <c r="O117" i="19"/>
  <c r="AN167" i="19"/>
  <c r="AG264" i="19"/>
  <c r="AN320" i="19"/>
  <c r="AQ320" i="19" s="1"/>
  <c r="Y391" i="19"/>
  <c r="AM10" i="19"/>
  <c r="AP10" i="19" s="1"/>
  <c r="AE138" i="19"/>
  <c r="AD222" i="19"/>
  <c r="AA222" i="19"/>
  <c r="AM257" i="19"/>
  <c r="AP257" i="19" s="1"/>
  <c r="M371" i="19"/>
  <c r="M140" i="19" s="1"/>
  <c r="AF357" i="19"/>
  <c r="M370" i="19"/>
  <c r="K632" i="19"/>
  <c r="AM61" i="19"/>
  <c r="AP61" i="19" s="1"/>
  <c r="AN115" i="19"/>
  <c r="AN155" i="19"/>
  <c r="AQ155" i="19" s="1"/>
  <c r="AE201" i="19"/>
  <c r="AF327" i="19"/>
  <c r="AP335" i="19"/>
  <c r="M602" i="19"/>
  <c r="AK21" i="19"/>
  <c r="AM54" i="19"/>
  <c r="AP54" i="19" s="1"/>
  <c r="AM31" i="19"/>
  <c r="AP31" i="19" s="1"/>
  <c r="AM36" i="19"/>
  <c r="AP36" i="19" s="1"/>
  <c r="AN50" i="19"/>
  <c r="AJ63" i="19"/>
  <c r="AH84" i="19"/>
  <c r="AM82" i="19"/>
  <c r="AP82" i="19" s="1"/>
  <c r="AN106" i="19"/>
  <c r="AA138" i="19"/>
  <c r="AD180" i="19"/>
  <c r="AN192" i="19"/>
  <c r="AQ192" i="19" s="1"/>
  <c r="AM193" i="19"/>
  <c r="AP193" i="19" s="1"/>
  <c r="AN218" i="19"/>
  <c r="AQ218" i="19" s="1"/>
  <c r="AB264" i="19"/>
  <c r="AN256" i="19"/>
  <c r="AQ256" i="19" s="1"/>
  <c r="AN304" i="19"/>
  <c r="AQ304" i="19" s="1"/>
  <c r="AI327" i="19"/>
  <c r="AN319" i="19"/>
  <c r="AQ319" i="19" s="1"/>
  <c r="AM173" i="19"/>
  <c r="AP173" i="19" s="1"/>
  <c r="AM174" i="19"/>
  <c r="AP174" i="19" s="1"/>
  <c r="AM214" i="19"/>
  <c r="AP214" i="19" s="1"/>
  <c r="AM237" i="19"/>
  <c r="AP237" i="19" s="1"/>
  <c r="AA306" i="19"/>
  <c r="AN317" i="19"/>
  <c r="AQ317" i="19" s="1"/>
  <c r="AM344" i="19"/>
  <c r="AP344" i="19" s="1"/>
  <c r="U358" i="19"/>
  <c r="AD358" i="19"/>
  <c r="K633" i="19"/>
  <c r="AN9" i="19"/>
  <c r="AQ9" i="19" s="1"/>
  <c r="AN79" i="19"/>
  <c r="AQ79" i="19" s="1"/>
  <c r="AN237" i="19"/>
  <c r="AQ237" i="19" s="1"/>
  <c r="AH285" i="19"/>
  <c r="AM337" i="19"/>
  <c r="AP337" i="19" s="1"/>
  <c r="AM343" i="19"/>
  <c r="AP343" i="19" s="1"/>
  <c r="AH357" i="19"/>
  <c r="U357" i="19"/>
  <c r="O370" i="19"/>
  <c r="AM72" i="19"/>
  <c r="AP72" i="19" s="1"/>
  <c r="AM77" i="19"/>
  <c r="AP77" i="19" s="1"/>
  <c r="AM79" i="19"/>
  <c r="AP79" i="19" s="1"/>
  <c r="U119" i="19"/>
  <c r="AM126" i="19"/>
  <c r="AP126" i="19" s="1"/>
  <c r="AM196" i="19"/>
  <c r="AP196" i="19" s="1"/>
  <c r="AN220" i="19"/>
  <c r="AQ220" i="19" s="1"/>
  <c r="AM236" i="19"/>
  <c r="AP236" i="19" s="1"/>
  <c r="AN255" i="19"/>
  <c r="AQ255" i="19" s="1"/>
  <c r="AM260" i="19"/>
  <c r="AP260" i="19" s="1"/>
  <c r="AL285" i="19"/>
  <c r="AM278" i="19"/>
  <c r="AP278" i="19" s="1"/>
  <c r="AE306" i="19"/>
  <c r="U348" i="19"/>
  <c r="AM336" i="19"/>
  <c r="AP336" i="19" s="1"/>
  <c r="AG364" i="19"/>
  <c r="J639" i="19"/>
  <c r="AK222" i="19"/>
  <c r="AN232" i="19"/>
  <c r="AQ232" i="19" s="1"/>
  <c r="AN273" i="19"/>
  <c r="AQ273" i="19" s="1"/>
  <c r="AN337" i="19"/>
  <c r="AQ337" i="19" s="1"/>
  <c r="T357" i="19"/>
  <c r="AG357" i="19"/>
  <c r="N370" i="19"/>
  <c r="M476" i="19"/>
  <c r="O464" i="19"/>
  <c r="AN34" i="19"/>
  <c r="AQ34" i="19" s="1"/>
  <c r="AM154" i="19"/>
  <c r="AP154" i="19" s="1"/>
  <c r="AN296" i="19"/>
  <c r="AQ296" i="19" s="1"/>
  <c r="AN344" i="19"/>
  <c r="AQ344" i="19" s="1"/>
  <c r="U364" i="19"/>
  <c r="AF364" i="19"/>
  <c r="AM8" i="19"/>
  <c r="T64" i="19"/>
  <c r="T65" i="19" s="1"/>
  <c r="T63" i="19"/>
  <c r="AN59" i="19"/>
  <c r="AQ59" i="19" s="1"/>
  <c r="AM78" i="19"/>
  <c r="AP78" i="19" s="1"/>
  <c r="AN112" i="19"/>
  <c r="AG138" i="19"/>
  <c r="AN126" i="19"/>
  <c r="AQ126" i="19" s="1"/>
  <c r="AM152" i="19"/>
  <c r="AP152" i="19" s="1"/>
  <c r="AN153" i="19"/>
  <c r="AQ153" i="19" s="1"/>
  <c r="AM191" i="19"/>
  <c r="AP191" i="19" s="1"/>
  <c r="AL222" i="19"/>
  <c r="AM220" i="19"/>
  <c r="AP220" i="19" s="1"/>
  <c r="AE243" i="19"/>
  <c r="AN260" i="19"/>
  <c r="AQ260" i="19" s="1"/>
  <c r="AJ285" i="19"/>
  <c r="AN278" i="19"/>
  <c r="AQ278" i="19" s="1"/>
  <c r="T327" i="19"/>
  <c r="T328" i="19"/>
  <c r="T351" i="19" s="1"/>
  <c r="AB361" i="19"/>
  <c r="E636" i="19"/>
  <c r="I636" i="19" s="1"/>
  <c r="L618" i="19"/>
  <c r="N618" i="19" s="1"/>
  <c r="AN39" i="19"/>
  <c r="AQ39" i="19" s="1"/>
  <c r="U63" i="19"/>
  <c r="U64" i="19"/>
  <c r="U65" i="19" s="1"/>
  <c r="AN78" i="19"/>
  <c r="AQ78" i="19" s="1"/>
  <c r="AH138" i="19"/>
  <c r="AM133" i="19"/>
  <c r="AP133" i="19" s="1"/>
  <c r="AN191" i="19"/>
  <c r="AQ191" i="19" s="1"/>
  <c r="AE222" i="19"/>
  <c r="AM231" i="19"/>
  <c r="AP231" i="19" s="1"/>
  <c r="AK285" i="19"/>
  <c r="AM321" i="19"/>
  <c r="AP321" i="19" s="1"/>
  <c r="U363" i="19"/>
  <c r="N568" i="19"/>
  <c r="L581" i="19"/>
  <c r="K637" i="19"/>
  <c r="AK138" i="19"/>
  <c r="AB180" i="19"/>
  <c r="AN173" i="19"/>
  <c r="AQ173" i="19" s="1"/>
  <c r="AN178" i="19"/>
  <c r="AQ178" i="19" s="1"/>
  <c r="AH243" i="19"/>
  <c r="AM318" i="19"/>
  <c r="AP318" i="19" s="1"/>
  <c r="AN325" i="19"/>
  <c r="AQ325" i="19" s="1"/>
  <c r="AI348" i="19"/>
  <c r="T358" i="19"/>
  <c r="D623" i="19"/>
  <c r="D634" i="19"/>
  <c r="H634" i="19" s="1"/>
  <c r="AA359" i="19"/>
  <c r="AN56" i="19"/>
  <c r="AQ56" i="19" s="1"/>
  <c r="AJ138" i="19"/>
  <c r="AN125" i="19"/>
  <c r="AK201" i="19"/>
  <c r="AN231" i="19"/>
  <c r="AQ231" i="19" s="1"/>
  <c r="AD306" i="19"/>
  <c r="AJ357" i="19"/>
  <c r="Q370" i="19"/>
  <c r="AE363" i="19"/>
  <c r="J638" i="19"/>
  <c r="AN12" i="19"/>
  <c r="AQ12" i="19" s="1"/>
  <c r="T21" i="19"/>
  <c r="T43" i="19"/>
  <c r="T44" i="19" s="1"/>
  <c r="AL138" i="19"/>
  <c r="AJ159" i="19"/>
  <c r="U181" i="19"/>
  <c r="U180" i="19"/>
  <c r="AC180" i="19"/>
  <c r="AM178" i="19"/>
  <c r="AP178" i="19" s="1"/>
  <c r="AI243" i="19"/>
  <c r="AF306" i="19"/>
  <c r="AN318" i="19"/>
  <c r="AQ318" i="19" s="1"/>
  <c r="AN340" i="19"/>
  <c r="AQ340" i="19" s="1"/>
  <c r="AA365" i="19"/>
  <c r="R370" i="19"/>
  <c r="M413" i="19"/>
  <c r="L413" i="19"/>
  <c r="U362" i="19"/>
  <c r="J623" i="19"/>
  <c r="AN152" i="19"/>
  <c r="AQ152" i="19" s="1"/>
  <c r="AN196" i="19"/>
  <c r="AQ196" i="19" s="1"/>
  <c r="AG243" i="19"/>
  <c r="AN295" i="19"/>
  <c r="AQ295" i="19" s="1"/>
  <c r="T362" i="19"/>
  <c r="AM55" i="19"/>
  <c r="AP55" i="19" s="1"/>
  <c r="U22" i="19"/>
  <c r="U23" i="19" s="1"/>
  <c r="AK159" i="19"/>
  <c r="AA180" i="19"/>
  <c r="AM177" i="19"/>
  <c r="AP177" i="19" s="1"/>
  <c r="AD201" i="19"/>
  <c r="AN190" i="19"/>
  <c r="AQ190" i="19" s="1"/>
  <c r="AN230" i="19"/>
  <c r="AN241" i="19"/>
  <c r="AQ241" i="19" s="1"/>
  <c r="U327" i="19"/>
  <c r="AK348" i="19"/>
  <c r="K639" i="19"/>
  <c r="O484" i="19"/>
  <c r="M497" i="19"/>
  <c r="L518" i="19"/>
  <c r="AM15" i="19"/>
  <c r="AP15" i="19" s="1"/>
  <c r="U42" i="19"/>
  <c r="AM96" i="19"/>
  <c r="AC243" i="19"/>
  <c r="T264" i="19"/>
  <c r="AI285" i="19"/>
  <c r="T306" i="19"/>
  <c r="AN298" i="19"/>
  <c r="AQ298" i="19" s="1"/>
  <c r="AG360" i="19"/>
  <c r="T360" i="19"/>
  <c r="U366" i="19"/>
  <c r="K642" i="19"/>
  <c r="AK243" i="19"/>
  <c r="AM293" i="19"/>
  <c r="U361" i="19"/>
  <c r="L615" i="19"/>
  <c r="N615" i="19" s="1"/>
  <c r="AM60" i="19"/>
  <c r="AP60" i="19" s="1"/>
  <c r="AC138" i="19"/>
  <c r="AN132" i="19"/>
  <c r="AQ132" i="19" s="1"/>
  <c r="AI159" i="19"/>
  <c r="AM153" i="19"/>
  <c r="AP153" i="19" s="1"/>
  <c r="AI201" i="19"/>
  <c r="AN212" i="19"/>
  <c r="AQ212" i="19" s="1"/>
  <c r="AH264" i="19"/>
  <c r="AM262" i="19"/>
  <c r="AP262" i="19" s="1"/>
  <c r="AN316" i="19"/>
  <c r="AQ316" i="19" s="1"/>
  <c r="AM338" i="19"/>
  <c r="AP338" i="19" s="1"/>
  <c r="E370" i="19"/>
  <c r="AH366" i="19"/>
  <c r="M615" i="19"/>
  <c r="O615" i="19" s="1"/>
  <c r="G645" i="19"/>
  <c r="AJ201" i="19"/>
  <c r="AG222" i="19"/>
  <c r="AM211" i="19"/>
  <c r="AP211" i="19" s="1"/>
  <c r="AM261" i="19"/>
  <c r="AP261" i="19" s="1"/>
  <c r="AM276" i="19"/>
  <c r="AP276" i="19" s="1"/>
  <c r="AN323" i="19"/>
  <c r="AQ323" i="19" s="1"/>
  <c r="AF348" i="19"/>
  <c r="AN338" i="19"/>
  <c r="AQ338" i="19" s="1"/>
  <c r="F370" i="19"/>
  <c r="AI370" i="19"/>
  <c r="K634" i="19"/>
  <c r="D638" i="19"/>
  <c r="AA363" i="19"/>
  <c r="T368" i="19"/>
  <c r="J643" i="19"/>
  <c r="AN277" i="19"/>
  <c r="AQ277" i="19" s="1"/>
  <c r="AN294" i="19"/>
  <c r="AQ294" i="19" s="1"/>
  <c r="AM303" i="19"/>
  <c r="AP303" i="19" s="1"/>
  <c r="AM324" i="19"/>
  <c r="AP324" i="19" s="1"/>
  <c r="P370" i="19"/>
  <c r="L611" i="19"/>
  <c r="L613" i="19"/>
  <c r="N613" i="19" s="1"/>
  <c r="AN30" i="19"/>
  <c r="AQ30" i="19" s="1"/>
  <c r="AB138" i="19"/>
  <c r="AM132" i="19"/>
  <c r="AP132" i="19" s="1"/>
  <c r="AH201" i="19"/>
  <c r="AN189" i="19"/>
  <c r="AQ189" i="19" s="1"/>
  <c r="AN236" i="19"/>
  <c r="AQ236" i="19" s="1"/>
  <c r="AN262" i="19"/>
  <c r="AQ262" i="19" s="1"/>
  <c r="AI42" i="19"/>
  <c r="AM29" i="19"/>
  <c r="AN104" i="19"/>
  <c r="AK42" i="19"/>
  <c r="U43" i="19"/>
  <c r="U44" i="19" s="1"/>
  <c r="AM103" i="19"/>
  <c r="AM194" i="19"/>
  <c r="AP194" i="19" s="1"/>
  <c r="AM235" i="19"/>
  <c r="AP235" i="19" s="1"/>
  <c r="AJ264" i="19"/>
  <c r="AN251" i="19"/>
  <c r="U286" i="19"/>
  <c r="U287" i="19" s="1"/>
  <c r="AG306" i="19"/>
  <c r="AE327" i="19"/>
  <c r="AG348" i="19"/>
  <c r="AN345" i="19"/>
  <c r="AQ345" i="19" s="1"/>
  <c r="E635" i="19"/>
  <c r="I635" i="19" s="1"/>
  <c r="N589" i="19"/>
  <c r="L602" i="19"/>
  <c r="M581" i="19"/>
  <c r="AM134" i="19"/>
  <c r="AP134" i="19" s="1"/>
  <c r="AN195" i="19"/>
  <c r="AQ195" i="19" s="1"/>
  <c r="D636" i="19"/>
  <c r="H636" i="19" s="1"/>
  <c r="D643" i="19"/>
  <c r="H643" i="19" s="1"/>
  <c r="L476" i="19"/>
  <c r="O568" i="19"/>
  <c r="M610" i="19"/>
  <c r="K643" i="19"/>
  <c r="T363" i="19"/>
  <c r="AN61" i="19"/>
  <c r="AQ61" i="19" s="1"/>
  <c r="AH159" i="19"/>
  <c r="T180" i="19"/>
  <c r="AM192" i="19"/>
  <c r="AP192" i="19" s="1"/>
  <c r="AM273" i="19"/>
  <c r="AP273" i="19" s="1"/>
  <c r="AA327" i="19"/>
  <c r="AN343" i="19"/>
  <c r="AQ343" i="19" s="1"/>
  <c r="K370" i="19"/>
  <c r="AD357" i="19"/>
  <c r="AN193" i="19"/>
  <c r="AQ193" i="19" s="1"/>
  <c r="F623" i="19"/>
  <c r="AM234" i="19"/>
  <c r="AP234" i="19" s="1"/>
  <c r="AE285" i="19"/>
  <c r="AN274" i="19"/>
  <c r="AQ274" i="19" s="1"/>
  <c r="AA348" i="19"/>
  <c r="M434" i="19"/>
  <c r="T181" i="19"/>
  <c r="T182" i="19" s="1"/>
  <c r="T223" i="19"/>
  <c r="T224" i="19" s="1"/>
  <c r="T265" i="19"/>
  <c r="T266" i="19" s="1"/>
  <c r="T307" i="19"/>
  <c r="T308" i="19" s="1"/>
  <c r="AM188" i="19"/>
  <c r="AM230" i="19"/>
  <c r="AM272" i="19"/>
  <c r="AM314" i="19"/>
  <c r="M497" i="18"/>
  <c r="L497" i="18"/>
  <c r="L637" i="19" l="1"/>
  <c r="N637" i="19" s="1"/>
  <c r="X391" i="19"/>
  <c r="N616" i="19"/>
  <c r="L640" i="19"/>
  <c r="N640" i="19" s="1"/>
  <c r="F645" i="19"/>
  <c r="L635" i="19"/>
  <c r="N635" i="19" s="1"/>
  <c r="H638" i="19"/>
  <c r="L638" i="19" s="1"/>
  <c r="N638" i="19" s="1"/>
  <c r="AN361" i="19"/>
  <c r="AQ361" i="19" s="1"/>
  <c r="L636" i="19"/>
  <c r="N636" i="19" s="1"/>
  <c r="M329" i="19"/>
  <c r="M634" i="19"/>
  <c r="O634" i="19" s="1"/>
  <c r="AN364" i="19"/>
  <c r="AQ364" i="19" s="1"/>
  <c r="AM364" i="19"/>
  <c r="AP364" i="19" s="1"/>
  <c r="AQ363" i="19"/>
  <c r="AM367" i="19"/>
  <c r="AP367" i="19" s="1"/>
  <c r="AQ360" i="19"/>
  <c r="L633" i="19"/>
  <c r="N633" i="19" s="1"/>
  <c r="AM365" i="19"/>
  <c r="AP365" i="19" s="1"/>
  <c r="AN366" i="19"/>
  <c r="AQ366" i="19" s="1"/>
  <c r="M639" i="19"/>
  <c r="O639" i="19" s="1"/>
  <c r="AQ368" i="19"/>
  <c r="AN358" i="19"/>
  <c r="AT358" i="19" s="1"/>
  <c r="M641" i="19"/>
  <c r="O641" i="19" s="1"/>
  <c r="M640" i="19"/>
  <c r="O640" i="19" s="1"/>
  <c r="AN365" i="19"/>
  <c r="AQ365" i="19" s="1"/>
  <c r="AD370" i="19"/>
  <c r="L639" i="19"/>
  <c r="N639" i="19" s="1"/>
  <c r="AG370" i="19"/>
  <c r="M119" i="19"/>
  <c r="AM366" i="19"/>
  <c r="AP366" i="19" s="1"/>
  <c r="M44" i="19"/>
  <c r="M245" i="19"/>
  <c r="L641" i="19"/>
  <c r="N641" i="19" s="1"/>
  <c r="AN367" i="19"/>
  <c r="AQ367" i="19" s="1"/>
  <c r="AM362" i="19"/>
  <c r="AP362" i="19" s="1"/>
  <c r="M23" i="19"/>
  <c r="AC370" i="19"/>
  <c r="M182" i="19"/>
  <c r="M266" i="19"/>
  <c r="AM360" i="19"/>
  <c r="AP360" i="19" s="1"/>
  <c r="AN359" i="19"/>
  <c r="AQ359" i="19" s="1"/>
  <c r="L643" i="19"/>
  <c r="N643" i="19" s="1"/>
  <c r="L65" i="19"/>
  <c r="AM359" i="19"/>
  <c r="AP359" i="19" s="1"/>
  <c r="L161" i="19"/>
  <c r="L182" i="19"/>
  <c r="AM361" i="19"/>
  <c r="AP361" i="19" s="1"/>
  <c r="L86" i="19"/>
  <c r="M643" i="19"/>
  <c r="O643" i="19" s="1"/>
  <c r="M642" i="19"/>
  <c r="O642" i="19" s="1"/>
  <c r="AA370" i="19"/>
  <c r="M638" i="19"/>
  <c r="O638" i="19" s="1"/>
  <c r="M635" i="19"/>
  <c r="O635" i="19" s="1"/>
  <c r="K117" i="19"/>
  <c r="AD110" i="19"/>
  <c r="AD117" i="19" s="1"/>
  <c r="AF110" i="19"/>
  <c r="AF117" i="19" s="1"/>
  <c r="M117" i="19"/>
  <c r="AN42" i="19"/>
  <c r="AQ29" i="19"/>
  <c r="T370" i="19"/>
  <c r="AN327" i="19"/>
  <c r="AQ314" i="19"/>
  <c r="AN243" i="19"/>
  <c r="AQ230" i="19"/>
  <c r="AM42" i="19"/>
  <c r="AP29" i="19"/>
  <c r="AJ370" i="19"/>
  <c r="AN357" i="19"/>
  <c r="AM358" i="19"/>
  <c r="F372" i="19"/>
  <c r="AN138" i="19"/>
  <c r="AQ125" i="19"/>
  <c r="AM180" i="19"/>
  <c r="AP167" i="19"/>
  <c r="AQ362" i="19"/>
  <c r="L372" i="19"/>
  <c r="L308" i="19"/>
  <c r="L245" i="19"/>
  <c r="L23" i="19"/>
  <c r="L119" i="19"/>
  <c r="L203" i="19"/>
  <c r="L44" i="19"/>
  <c r="L140" i="19"/>
  <c r="L287" i="19"/>
  <c r="L224" i="19"/>
  <c r="AM138" i="19"/>
  <c r="AP125" i="19"/>
  <c r="AM222" i="19"/>
  <c r="L634" i="19"/>
  <c r="N634" i="19" s="1"/>
  <c r="AP50" i="19"/>
  <c r="AM63" i="19"/>
  <c r="AN201" i="19"/>
  <c r="AM264" i="19"/>
  <c r="N611" i="19"/>
  <c r="L623" i="19"/>
  <c r="AQ251" i="19"/>
  <c r="AN264" i="19"/>
  <c r="K647" i="19"/>
  <c r="K645" i="19"/>
  <c r="L350" i="19"/>
  <c r="AG110" i="19"/>
  <c r="AG117" i="19" s="1"/>
  <c r="N117" i="19"/>
  <c r="AN21" i="19"/>
  <c r="AB370" i="19"/>
  <c r="AQ50" i="19"/>
  <c r="AN63" i="19"/>
  <c r="AM357" i="19"/>
  <c r="U370" i="19"/>
  <c r="K373" i="19"/>
  <c r="M636" i="19"/>
  <c r="O636" i="19" s="1"/>
  <c r="AQ146" i="19"/>
  <c r="AN159" i="19"/>
  <c r="AM21" i="19"/>
  <c r="AP8" i="19"/>
  <c r="J647" i="19"/>
  <c r="J645" i="19"/>
  <c r="AM327" i="19"/>
  <c r="AP314" i="19"/>
  <c r="AM285" i="19"/>
  <c r="AP272" i="19"/>
  <c r="AM84" i="19"/>
  <c r="D645" i="19"/>
  <c r="H632" i="19"/>
  <c r="AE110" i="19"/>
  <c r="AE117" i="19" s="1"/>
  <c r="L117" i="19"/>
  <c r="AM306" i="19"/>
  <c r="AP293" i="19"/>
  <c r="O610" i="19"/>
  <c r="M623" i="19"/>
  <c r="E624" i="19" s="1"/>
  <c r="AF370" i="19"/>
  <c r="G372" i="19"/>
  <c r="AP146" i="19"/>
  <c r="AM159" i="19"/>
  <c r="L329" i="19"/>
  <c r="AI110" i="19"/>
  <c r="P117" i="19"/>
  <c r="AN348" i="19"/>
  <c r="AA110" i="19"/>
  <c r="AA117" i="19" s="1"/>
  <c r="D117" i="19"/>
  <c r="AM363" i="19"/>
  <c r="AP363" i="19" s="1"/>
  <c r="I633" i="19"/>
  <c r="M633" i="19" s="1"/>
  <c r="O633" i="19" s="1"/>
  <c r="E645" i="19"/>
  <c r="AN285" i="19"/>
  <c r="AE370" i="19"/>
  <c r="M632" i="19"/>
  <c r="AP368" i="19"/>
  <c r="AH370" i="19"/>
  <c r="AN180" i="19"/>
  <c r="AQ167" i="19"/>
  <c r="AN222" i="19"/>
  <c r="AM348" i="19"/>
  <c r="AQ71" i="19"/>
  <c r="AN84" i="19"/>
  <c r="M637" i="19"/>
  <c r="O637" i="19" s="1"/>
  <c r="J373" i="19"/>
  <c r="AB110" i="19"/>
  <c r="AB117" i="19" s="1"/>
  <c r="AM243" i="19"/>
  <c r="AP230" i="19"/>
  <c r="AM201" i="19"/>
  <c r="AP188" i="19"/>
  <c r="T120" i="19"/>
  <c r="L642" i="19"/>
  <c r="N642" i="19" s="1"/>
  <c r="M372" i="19"/>
  <c r="M65" i="19"/>
  <c r="M86" i="19"/>
  <c r="M308" i="19"/>
  <c r="M203" i="19"/>
  <c r="M287" i="19"/>
  <c r="M161" i="19"/>
  <c r="M350" i="19"/>
  <c r="M224" i="19"/>
  <c r="U120" i="19"/>
  <c r="AN306" i="19"/>
  <c r="W63" i="18"/>
  <c r="AQ358" i="19" l="1"/>
  <c r="AT359" i="19"/>
  <c r="AS359" i="19"/>
  <c r="I645" i="19"/>
  <c r="I647" i="19"/>
  <c r="M647" i="19"/>
  <c r="M645" i="19"/>
  <c r="O632" i="19"/>
  <c r="S117" i="19"/>
  <c r="AL110" i="19"/>
  <c r="AL117" i="19" s="1"/>
  <c r="AI117" i="19"/>
  <c r="K624" i="19"/>
  <c r="I624" i="19"/>
  <c r="G624" i="19"/>
  <c r="R117" i="19"/>
  <c r="AK110" i="19"/>
  <c r="AK117" i="19" s="1"/>
  <c r="H647" i="19"/>
  <c r="H645" i="19"/>
  <c r="L632" i="19"/>
  <c r="U117" i="19"/>
  <c r="AP357" i="19"/>
  <c r="AS357" i="19"/>
  <c r="AM370" i="19"/>
  <c r="AP358" i="19"/>
  <c r="AS358" i="19"/>
  <c r="AT357" i="19"/>
  <c r="AN370" i="19"/>
  <c r="AQ357" i="19"/>
  <c r="T117" i="19"/>
  <c r="D358" i="18"/>
  <c r="D357" i="18"/>
  <c r="L647" i="19" l="1"/>
  <c r="L645" i="19"/>
  <c r="N632" i="19"/>
  <c r="AN110" i="19"/>
  <c r="AN117" i="19" s="1"/>
  <c r="AM110" i="19"/>
  <c r="AM117" i="19" s="1"/>
  <c r="Y389" i="18"/>
  <c r="X389" i="18"/>
  <c r="Y388" i="18"/>
  <c r="X388" i="18"/>
  <c r="Y387" i="18"/>
  <c r="X387" i="18"/>
  <c r="Y386" i="18"/>
  <c r="X386" i="18"/>
  <c r="Y385" i="18"/>
  <c r="X385" i="18"/>
  <c r="Y384" i="18"/>
  <c r="Y383" i="18"/>
  <c r="X383" i="18"/>
  <c r="Y382" i="18"/>
  <c r="X382" i="18"/>
  <c r="Y381" i="18"/>
  <c r="X381" i="18"/>
  <c r="Y380" i="18"/>
  <c r="X380" i="18"/>
  <c r="Y379" i="18"/>
  <c r="X379" i="18"/>
  <c r="Y378" i="18"/>
  <c r="X378" i="18"/>
  <c r="F632" i="18" s="1"/>
  <c r="K455" i="18"/>
  <c r="J455" i="18"/>
  <c r="I455" i="18"/>
  <c r="H455" i="18"/>
  <c r="G455" i="18"/>
  <c r="F455" i="18"/>
  <c r="E455" i="18"/>
  <c r="D455" i="18"/>
  <c r="M453" i="18"/>
  <c r="O453" i="18" s="1"/>
  <c r="L453" i="18"/>
  <c r="N453" i="18" s="1"/>
  <c r="M452" i="18"/>
  <c r="O452" i="18" s="1"/>
  <c r="L452" i="18"/>
  <c r="N452" i="18" s="1"/>
  <c r="M451" i="18"/>
  <c r="O451" i="18" s="1"/>
  <c r="L451" i="18"/>
  <c r="N451" i="18" s="1"/>
  <c r="M450" i="18"/>
  <c r="O450" i="18" s="1"/>
  <c r="L450" i="18"/>
  <c r="N450" i="18" s="1"/>
  <c r="M449" i="18"/>
  <c r="O449" i="18" s="1"/>
  <c r="L449" i="18"/>
  <c r="N449" i="18" s="1"/>
  <c r="M448" i="18"/>
  <c r="O448" i="18" s="1"/>
  <c r="L448" i="18"/>
  <c r="N448" i="18" s="1"/>
  <c r="M447" i="18"/>
  <c r="O447" i="18" s="1"/>
  <c r="L447" i="18"/>
  <c r="N447" i="18" s="1"/>
  <c r="M446" i="18"/>
  <c r="O446" i="18" s="1"/>
  <c r="L446" i="18"/>
  <c r="N446" i="18" s="1"/>
  <c r="M445" i="18"/>
  <c r="O445" i="18" s="1"/>
  <c r="L445" i="18"/>
  <c r="N445" i="18" s="1"/>
  <c r="M444" i="18"/>
  <c r="O444" i="18" s="1"/>
  <c r="L444" i="18"/>
  <c r="N444" i="18" s="1"/>
  <c r="M443" i="18"/>
  <c r="O443" i="18" s="1"/>
  <c r="L443" i="18"/>
  <c r="N443" i="18" s="1"/>
  <c r="M442" i="18"/>
  <c r="O442" i="18" s="1"/>
  <c r="L442" i="18"/>
  <c r="N442" i="18" s="1"/>
  <c r="M391" i="18"/>
  <c r="L391" i="18"/>
  <c r="K391" i="18"/>
  <c r="J391" i="18"/>
  <c r="L455" i="18" l="1"/>
  <c r="M455" i="18"/>
  <c r="D364" i="18" l="1"/>
  <c r="D363" i="18"/>
  <c r="D360" i="18"/>
  <c r="D359" i="18"/>
  <c r="T384" i="18"/>
  <c r="X384" i="18" s="1"/>
  <c r="T76" i="18" l="1"/>
  <c r="U76" i="18"/>
  <c r="F359" i="18" l="1"/>
  <c r="E359" i="18"/>
  <c r="S359" i="18"/>
  <c r="AL359" i="18" s="1"/>
  <c r="AJ97" i="18"/>
  <c r="AI97" i="18"/>
  <c r="K359" i="18"/>
  <c r="AD359" i="18" s="1"/>
  <c r="K602" i="18"/>
  <c r="J602" i="18"/>
  <c r="I602" i="18"/>
  <c r="H602" i="18"/>
  <c r="G602" i="18"/>
  <c r="F602" i="18"/>
  <c r="E602" i="18"/>
  <c r="D602" i="18"/>
  <c r="M600" i="18"/>
  <c r="O600" i="18" s="1"/>
  <c r="L600" i="18"/>
  <c r="N600" i="18" s="1"/>
  <c r="M599" i="18"/>
  <c r="O599" i="18" s="1"/>
  <c r="L599" i="18"/>
  <c r="N599" i="18" s="1"/>
  <c r="M598" i="18"/>
  <c r="O598" i="18" s="1"/>
  <c r="L598" i="18"/>
  <c r="N598" i="18" s="1"/>
  <c r="M597" i="18"/>
  <c r="O597" i="18" s="1"/>
  <c r="L597" i="18"/>
  <c r="N597" i="18" s="1"/>
  <c r="M596" i="18"/>
  <c r="O596" i="18" s="1"/>
  <c r="L596" i="18"/>
  <c r="N596" i="18" s="1"/>
  <c r="M595" i="18"/>
  <c r="O595" i="18" s="1"/>
  <c r="L595" i="18"/>
  <c r="N595" i="18" s="1"/>
  <c r="M594" i="18"/>
  <c r="O594" i="18" s="1"/>
  <c r="L594" i="18"/>
  <c r="N594" i="18" s="1"/>
  <c r="M593" i="18"/>
  <c r="O593" i="18" s="1"/>
  <c r="L593" i="18"/>
  <c r="N593" i="18" s="1"/>
  <c r="M592" i="18"/>
  <c r="O592" i="18" s="1"/>
  <c r="L592" i="18"/>
  <c r="N592" i="18" s="1"/>
  <c r="M591" i="18"/>
  <c r="O591" i="18" s="1"/>
  <c r="L591" i="18"/>
  <c r="N591" i="18" s="1"/>
  <c r="M590" i="18"/>
  <c r="O590" i="18" s="1"/>
  <c r="L590" i="18"/>
  <c r="N590" i="18" s="1"/>
  <c r="M589" i="18"/>
  <c r="L589" i="18"/>
  <c r="N589" i="18" s="1"/>
  <c r="K581" i="18"/>
  <c r="J581" i="18"/>
  <c r="I581" i="18"/>
  <c r="H581" i="18"/>
  <c r="G581" i="18"/>
  <c r="F581" i="18"/>
  <c r="E581" i="18"/>
  <c r="D581" i="18"/>
  <c r="M579" i="18"/>
  <c r="O579" i="18" s="1"/>
  <c r="L579" i="18"/>
  <c r="N579" i="18" s="1"/>
  <c r="M578" i="18"/>
  <c r="O578" i="18" s="1"/>
  <c r="L578" i="18"/>
  <c r="N578" i="18" s="1"/>
  <c r="M577" i="18"/>
  <c r="O577" i="18" s="1"/>
  <c r="L577" i="18"/>
  <c r="N577" i="18" s="1"/>
  <c r="M576" i="18"/>
  <c r="O576" i="18" s="1"/>
  <c r="L576" i="18"/>
  <c r="N576" i="18" s="1"/>
  <c r="M575" i="18"/>
  <c r="O575" i="18" s="1"/>
  <c r="L575" i="18"/>
  <c r="N575" i="18" s="1"/>
  <c r="M574" i="18"/>
  <c r="O574" i="18" s="1"/>
  <c r="L574" i="18"/>
  <c r="N574" i="18" s="1"/>
  <c r="M573" i="18"/>
  <c r="O573" i="18" s="1"/>
  <c r="L573" i="18"/>
  <c r="N573" i="18" s="1"/>
  <c r="M572" i="18"/>
  <c r="O572" i="18" s="1"/>
  <c r="L572" i="18"/>
  <c r="N572" i="18" s="1"/>
  <c r="M571" i="18"/>
  <c r="O571" i="18" s="1"/>
  <c r="L571" i="18"/>
  <c r="M570" i="18"/>
  <c r="O570" i="18" s="1"/>
  <c r="L570" i="18"/>
  <c r="N570" i="18" s="1"/>
  <c r="M569" i="18"/>
  <c r="O569" i="18" s="1"/>
  <c r="L569" i="18"/>
  <c r="N569" i="18" s="1"/>
  <c r="M568" i="18"/>
  <c r="O568" i="18" s="1"/>
  <c r="L568" i="18"/>
  <c r="N568" i="18" s="1"/>
  <c r="K560" i="18"/>
  <c r="J560" i="18"/>
  <c r="I560" i="18"/>
  <c r="H560" i="18"/>
  <c r="G560" i="18"/>
  <c r="F560" i="18"/>
  <c r="E560" i="18"/>
  <c r="D560" i="18"/>
  <c r="M558" i="18"/>
  <c r="O558" i="18" s="1"/>
  <c r="L558" i="18"/>
  <c r="N558" i="18" s="1"/>
  <c r="M557" i="18"/>
  <c r="O557" i="18" s="1"/>
  <c r="L557" i="18"/>
  <c r="N557" i="18" s="1"/>
  <c r="M556" i="18"/>
  <c r="O556" i="18" s="1"/>
  <c r="L556" i="18"/>
  <c r="N556" i="18" s="1"/>
  <c r="M555" i="18"/>
  <c r="O555" i="18" s="1"/>
  <c r="L555" i="18"/>
  <c r="N555" i="18" s="1"/>
  <c r="M554" i="18"/>
  <c r="O554" i="18" s="1"/>
  <c r="L554" i="18"/>
  <c r="N554" i="18" s="1"/>
  <c r="M553" i="18"/>
  <c r="O553" i="18" s="1"/>
  <c r="L553" i="18"/>
  <c r="N553" i="18" s="1"/>
  <c r="M552" i="18"/>
  <c r="L552" i="18"/>
  <c r="N552" i="18" s="1"/>
  <c r="M551" i="18"/>
  <c r="O551" i="18" s="1"/>
  <c r="L551" i="18"/>
  <c r="N551" i="18" s="1"/>
  <c r="M550" i="18"/>
  <c r="O550" i="18" s="1"/>
  <c r="L550" i="18"/>
  <c r="N550" i="18" s="1"/>
  <c r="M549" i="18"/>
  <c r="O549" i="18" s="1"/>
  <c r="L549" i="18"/>
  <c r="N549" i="18" s="1"/>
  <c r="M548" i="18"/>
  <c r="O548" i="18" s="1"/>
  <c r="L548" i="18"/>
  <c r="N548" i="18" s="1"/>
  <c r="M547" i="18"/>
  <c r="O547" i="18" s="1"/>
  <c r="L547" i="18"/>
  <c r="K539" i="18"/>
  <c r="J539" i="18"/>
  <c r="I539" i="18"/>
  <c r="H539" i="18"/>
  <c r="G539" i="18"/>
  <c r="F539" i="18"/>
  <c r="E539" i="18"/>
  <c r="D539" i="18"/>
  <c r="M537" i="18"/>
  <c r="O537" i="18" s="1"/>
  <c r="L537" i="18"/>
  <c r="N537" i="18" s="1"/>
  <c r="M536" i="18"/>
  <c r="O536" i="18" s="1"/>
  <c r="L536" i="18"/>
  <c r="N536" i="18" s="1"/>
  <c r="M535" i="18"/>
  <c r="O535" i="18" s="1"/>
  <c r="L535" i="18"/>
  <c r="N535" i="18" s="1"/>
  <c r="M534" i="18"/>
  <c r="O534" i="18" s="1"/>
  <c r="L534" i="18"/>
  <c r="N534" i="18" s="1"/>
  <c r="M533" i="18"/>
  <c r="O533" i="18" s="1"/>
  <c r="L533" i="18"/>
  <c r="N533" i="18" s="1"/>
  <c r="M532" i="18"/>
  <c r="O532" i="18" s="1"/>
  <c r="L532" i="18"/>
  <c r="N532" i="18" s="1"/>
  <c r="M531" i="18"/>
  <c r="O531" i="18" s="1"/>
  <c r="L531" i="18"/>
  <c r="N531" i="18" s="1"/>
  <c r="M530" i="18"/>
  <c r="O530" i="18" s="1"/>
  <c r="L530" i="18"/>
  <c r="N530" i="18" s="1"/>
  <c r="M529" i="18"/>
  <c r="O529" i="18" s="1"/>
  <c r="L529" i="18"/>
  <c r="N529" i="18" s="1"/>
  <c r="M528" i="18"/>
  <c r="O528" i="18" s="1"/>
  <c r="L528" i="18"/>
  <c r="N528" i="18" s="1"/>
  <c r="M527" i="18"/>
  <c r="O527" i="18" s="1"/>
  <c r="L527" i="18"/>
  <c r="N527" i="18" s="1"/>
  <c r="M526" i="18"/>
  <c r="O526" i="18" s="1"/>
  <c r="L526" i="18"/>
  <c r="N526" i="18" s="1"/>
  <c r="K518" i="18"/>
  <c r="J518" i="18"/>
  <c r="I518" i="18"/>
  <c r="H518" i="18"/>
  <c r="G518" i="18"/>
  <c r="F518" i="18"/>
  <c r="E518" i="18"/>
  <c r="D518" i="18"/>
  <c r="M516" i="18"/>
  <c r="O516" i="18" s="1"/>
  <c r="L516" i="18"/>
  <c r="N516" i="18" s="1"/>
  <c r="M515" i="18"/>
  <c r="O515" i="18" s="1"/>
  <c r="L515" i="18"/>
  <c r="N515" i="18" s="1"/>
  <c r="M514" i="18"/>
  <c r="O514" i="18" s="1"/>
  <c r="L514" i="18"/>
  <c r="N514" i="18" s="1"/>
  <c r="M513" i="18"/>
  <c r="O513" i="18" s="1"/>
  <c r="L513" i="18"/>
  <c r="N513" i="18" s="1"/>
  <c r="M512" i="18"/>
  <c r="L512" i="18"/>
  <c r="N512" i="18" s="1"/>
  <c r="M511" i="18"/>
  <c r="O511" i="18" s="1"/>
  <c r="L511" i="18"/>
  <c r="N511" i="18" s="1"/>
  <c r="M510" i="18"/>
  <c r="O510" i="18" s="1"/>
  <c r="L510" i="18"/>
  <c r="N510" i="18" s="1"/>
  <c r="M509" i="18"/>
  <c r="O509" i="18" s="1"/>
  <c r="L509" i="18"/>
  <c r="N509" i="18" s="1"/>
  <c r="M508" i="18"/>
  <c r="O508" i="18" s="1"/>
  <c r="L508" i="18"/>
  <c r="N508" i="18" s="1"/>
  <c r="M507" i="18"/>
  <c r="O507" i="18" s="1"/>
  <c r="L507" i="18"/>
  <c r="N507" i="18" s="1"/>
  <c r="M506" i="18"/>
  <c r="O506" i="18" s="1"/>
  <c r="L506" i="18"/>
  <c r="N506" i="18" s="1"/>
  <c r="M505" i="18"/>
  <c r="O505" i="18" s="1"/>
  <c r="L505" i="18"/>
  <c r="K476" i="18"/>
  <c r="J476" i="18"/>
  <c r="I476" i="18"/>
  <c r="H476" i="18"/>
  <c r="G476" i="18"/>
  <c r="F476" i="18"/>
  <c r="E476" i="18"/>
  <c r="D476" i="18"/>
  <c r="M474" i="18"/>
  <c r="O474" i="18" s="1"/>
  <c r="L474" i="18"/>
  <c r="N474" i="18" s="1"/>
  <c r="M473" i="18"/>
  <c r="O473" i="18" s="1"/>
  <c r="L473" i="18"/>
  <c r="N473" i="18" s="1"/>
  <c r="M472" i="18"/>
  <c r="O472" i="18" s="1"/>
  <c r="L472" i="18"/>
  <c r="N472" i="18" s="1"/>
  <c r="M471" i="18"/>
  <c r="O471" i="18" s="1"/>
  <c r="L471" i="18"/>
  <c r="N471" i="18" s="1"/>
  <c r="M470" i="18"/>
  <c r="O470" i="18" s="1"/>
  <c r="L470" i="18"/>
  <c r="N470" i="18" s="1"/>
  <c r="M469" i="18"/>
  <c r="O469" i="18" s="1"/>
  <c r="L469" i="18"/>
  <c r="N469" i="18" s="1"/>
  <c r="M468" i="18"/>
  <c r="O468" i="18" s="1"/>
  <c r="L468" i="18"/>
  <c r="N468" i="18" s="1"/>
  <c r="M467" i="18"/>
  <c r="O467" i="18" s="1"/>
  <c r="L467" i="18"/>
  <c r="N467" i="18" s="1"/>
  <c r="M466" i="18"/>
  <c r="O466" i="18" s="1"/>
  <c r="L466" i="18"/>
  <c r="N466" i="18" s="1"/>
  <c r="M465" i="18"/>
  <c r="O465" i="18" s="1"/>
  <c r="L465" i="18"/>
  <c r="N465" i="18" s="1"/>
  <c r="M464" i="18"/>
  <c r="O464" i="18" s="1"/>
  <c r="L464" i="18"/>
  <c r="N464" i="18" s="1"/>
  <c r="M463" i="18"/>
  <c r="O463" i="18" s="1"/>
  <c r="L463" i="18"/>
  <c r="N463" i="18" s="1"/>
  <c r="K434" i="18"/>
  <c r="J434" i="18"/>
  <c r="I434" i="18"/>
  <c r="H434" i="18"/>
  <c r="G434" i="18"/>
  <c r="F434" i="18"/>
  <c r="E434" i="18"/>
  <c r="D434" i="18"/>
  <c r="M432" i="18"/>
  <c r="O432" i="18" s="1"/>
  <c r="L432" i="18"/>
  <c r="N432" i="18" s="1"/>
  <c r="M431" i="18"/>
  <c r="O431" i="18" s="1"/>
  <c r="L431" i="18"/>
  <c r="N431" i="18" s="1"/>
  <c r="M430" i="18"/>
  <c r="O430" i="18" s="1"/>
  <c r="L430" i="18"/>
  <c r="N430" i="18" s="1"/>
  <c r="M429" i="18"/>
  <c r="O429" i="18" s="1"/>
  <c r="L429" i="18"/>
  <c r="N429" i="18" s="1"/>
  <c r="M428" i="18"/>
  <c r="O428" i="18" s="1"/>
  <c r="L428" i="18"/>
  <c r="N428" i="18" s="1"/>
  <c r="M427" i="18"/>
  <c r="O427" i="18" s="1"/>
  <c r="L427" i="18"/>
  <c r="N427" i="18" s="1"/>
  <c r="M426" i="18"/>
  <c r="O426" i="18" s="1"/>
  <c r="L426" i="18"/>
  <c r="N426" i="18" s="1"/>
  <c r="M425" i="18"/>
  <c r="O425" i="18" s="1"/>
  <c r="L425" i="18"/>
  <c r="N425" i="18" s="1"/>
  <c r="M424" i="18"/>
  <c r="O424" i="18" s="1"/>
  <c r="L424" i="18"/>
  <c r="N424" i="18" s="1"/>
  <c r="M423" i="18"/>
  <c r="O423" i="18" s="1"/>
  <c r="L423" i="18"/>
  <c r="N423" i="18" s="1"/>
  <c r="M422" i="18"/>
  <c r="L422" i="18"/>
  <c r="N422" i="18" s="1"/>
  <c r="M421" i="18"/>
  <c r="O421" i="18" s="1"/>
  <c r="L421" i="18"/>
  <c r="K413" i="18"/>
  <c r="J413" i="18"/>
  <c r="I413" i="18"/>
  <c r="H413" i="18"/>
  <c r="G413" i="18"/>
  <c r="F413" i="18"/>
  <c r="E413" i="18"/>
  <c r="D413" i="18"/>
  <c r="M411" i="18"/>
  <c r="O411" i="18" s="1"/>
  <c r="L411" i="18"/>
  <c r="N411" i="18" s="1"/>
  <c r="M410" i="18"/>
  <c r="O410" i="18" s="1"/>
  <c r="L410" i="18"/>
  <c r="N410" i="18" s="1"/>
  <c r="M409" i="18"/>
  <c r="O409" i="18" s="1"/>
  <c r="L409" i="18"/>
  <c r="N409" i="18" s="1"/>
  <c r="M408" i="18"/>
  <c r="O408" i="18" s="1"/>
  <c r="L408" i="18"/>
  <c r="N408" i="18" s="1"/>
  <c r="M407" i="18"/>
  <c r="O407" i="18" s="1"/>
  <c r="L407" i="18"/>
  <c r="N407" i="18" s="1"/>
  <c r="M406" i="18"/>
  <c r="O406" i="18" s="1"/>
  <c r="L406" i="18"/>
  <c r="N406" i="18" s="1"/>
  <c r="M405" i="18"/>
  <c r="O405" i="18" s="1"/>
  <c r="L405" i="18"/>
  <c r="N405" i="18" s="1"/>
  <c r="M404" i="18"/>
  <c r="O404" i="18" s="1"/>
  <c r="L404" i="18"/>
  <c r="N404" i="18" s="1"/>
  <c r="M403" i="18"/>
  <c r="O403" i="18" s="1"/>
  <c r="L403" i="18"/>
  <c r="N403" i="18" s="1"/>
  <c r="M402" i="18"/>
  <c r="O402" i="18" s="1"/>
  <c r="L402" i="18"/>
  <c r="N402" i="18" s="1"/>
  <c r="M401" i="18"/>
  <c r="O401" i="18" s="1"/>
  <c r="L401" i="18"/>
  <c r="N401" i="18" s="1"/>
  <c r="M400" i="18"/>
  <c r="L400" i="18"/>
  <c r="G392" i="18"/>
  <c r="F392" i="18"/>
  <c r="W391" i="18"/>
  <c r="V391" i="18"/>
  <c r="U391" i="18"/>
  <c r="T391" i="18"/>
  <c r="S391" i="18"/>
  <c r="R391" i="18"/>
  <c r="Q391" i="18"/>
  <c r="P391" i="18"/>
  <c r="O391" i="18"/>
  <c r="N391" i="18"/>
  <c r="I391" i="18"/>
  <c r="H391" i="18"/>
  <c r="G391" i="18"/>
  <c r="F391" i="18"/>
  <c r="E391" i="18"/>
  <c r="D391" i="18"/>
  <c r="G643" i="18"/>
  <c r="F643" i="18"/>
  <c r="G642" i="18"/>
  <c r="F642" i="18"/>
  <c r="G641" i="18"/>
  <c r="F641" i="18"/>
  <c r="G640" i="18"/>
  <c r="F640" i="18"/>
  <c r="G639" i="18"/>
  <c r="F639" i="18"/>
  <c r="G638" i="18"/>
  <c r="F638" i="18"/>
  <c r="G637" i="18"/>
  <c r="F637" i="18"/>
  <c r="G636" i="18"/>
  <c r="F636" i="18"/>
  <c r="G635" i="18"/>
  <c r="F635" i="18"/>
  <c r="G634" i="18"/>
  <c r="F634" i="18"/>
  <c r="G633" i="18"/>
  <c r="F633" i="18"/>
  <c r="G632" i="18"/>
  <c r="J372" i="18"/>
  <c r="J371" i="18"/>
  <c r="J368" i="18"/>
  <c r="F368" i="18"/>
  <c r="S367" i="18"/>
  <c r="AL367" i="18" s="1"/>
  <c r="R367" i="18"/>
  <c r="AK367" i="18" s="1"/>
  <c r="Q367" i="18"/>
  <c r="AJ367" i="18" s="1"/>
  <c r="P367" i="18"/>
  <c r="AI367" i="18" s="1"/>
  <c r="O367" i="18"/>
  <c r="AH367" i="18" s="1"/>
  <c r="N367" i="18"/>
  <c r="AG367" i="18" s="1"/>
  <c r="M367" i="18"/>
  <c r="L367" i="18"/>
  <c r="AE367" i="18" s="1"/>
  <c r="K367" i="18"/>
  <c r="J367" i="18"/>
  <c r="I367" i="18"/>
  <c r="H367" i="18"/>
  <c r="G367" i="18"/>
  <c r="F367" i="18"/>
  <c r="E367" i="18"/>
  <c r="D367" i="18"/>
  <c r="S366" i="18"/>
  <c r="AL366" i="18" s="1"/>
  <c r="R366" i="18"/>
  <c r="AK366" i="18" s="1"/>
  <c r="Q366" i="18"/>
  <c r="AJ366" i="18" s="1"/>
  <c r="P366" i="18"/>
  <c r="AI366" i="18" s="1"/>
  <c r="O366" i="18"/>
  <c r="N366" i="18"/>
  <c r="AG366" i="18" s="1"/>
  <c r="M366" i="18"/>
  <c r="AF366" i="18" s="1"/>
  <c r="L366" i="18"/>
  <c r="AE366" i="18" s="1"/>
  <c r="K366" i="18"/>
  <c r="AD366" i="18" s="1"/>
  <c r="J366" i="18"/>
  <c r="AC366" i="18" s="1"/>
  <c r="I366" i="18"/>
  <c r="H366" i="18"/>
  <c r="G366" i="18"/>
  <c r="F366" i="18"/>
  <c r="E366" i="18"/>
  <c r="D366" i="18"/>
  <c r="S365" i="18"/>
  <c r="AL365" i="18" s="1"/>
  <c r="R365" i="18"/>
  <c r="AK365" i="18" s="1"/>
  <c r="Q365" i="18"/>
  <c r="AJ365" i="18" s="1"/>
  <c r="P365" i="18"/>
  <c r="AI365" i="18" s="1"/>
  <c r="O365" i="18"/>
  <c r="N365" i="18"/>
  <c r="AG365" i="18" s="1"/>
  <c r="M365" i="18"/>
  <c r="AF365" i="18" s="1"/>
  <c r="L365" i="18"/>
  <c r="K365" i="18"/>
  <c r="AD365" i="18" s="1"/>
  <c r="J365" i="18"/>
  <c r="AC365" i="18" s="1"/>
  <c r="I365" i="18"/>
  <c r="H365" i="18"/>
  <c r="G365" i="18"/>
  <c r="F365" i="18"/>
  <c r="E365" i="18"/>
  <c r="D365" i="18"/>
  <c r="S364" i="18"/>
  <c r="R364" i="18"/>
  <c r="AK364" i="18" s="1"/>
  <c r="Q364" i="18"/>
  <c r="AJ364" i="18" s="1"/>
  <c r="P364" i="18"/>
  <c r="AI364" i="18" s="1"/>
  <c r="O364" i="18"/>
  <c r="AH364" i="18" s="1"/>
  <c r="N364" i="18"/>
  <c r="AG364" i="18" s="1"/>
  <c r="M364" i="18"/>
  <c r="AF364" i="18" s="1"/>
  <c r="L364" i="18"/>
  <c r="K364" i="18"/>
  <c r="AD364" i="18" s="1"/>
  <c r="J364" i="18"/>
  <c r="AC364" i="18" s="1"/>
  <c r="I364" i="18"/>
  <c r="H364" i="18"/>
  <c r="G364" i="18"/>
  <c r="F364" i="18"/>
  <c r="E364" i="18"/>
  <c r="S363" i="18"/>
  <c r="AL363" i="18" s="1"/>
  <c r="R363" i="18"/>
  <c r="AK363" i="18" s="1"/>
  <c r="Q363" i="18"/>
  <c r="AJ363" i="18" s="1"/>
  <c r="P363" i="18"/>
  <c r="AI363" i="18" s="1"/>
  <c r="O363" i="18"/>
  <c r="AH363" i="18" s="1"/>
  <c r="N363" i="18"/>
  <c r="AG363" i="18" s="1"/>
  <c r="M363" i="18"/>
  <c r="L363" i="18"/>
  <c r="K363" i="18"/>
  <c r="AD363" i="18" s="1"/>
  <c r="J363" i="18"/>
  <c r="AC363" i="18" s="1"/>
  <c r="I363" i="18"/>
  <c r="H363" i="18"/>
  <c r="G363" i="18"/>
  <c r="F363" i="18"/>
  <c r="E363" i="18"/>
  <c r="S362" i="18"/>
  <c r="AL362" i="18" s="1"/>
  <c r="R362" i="18"/>
  <c r="AK362" i="18" s="1"/>
  <c r="Q362" i="18"/>
  <c r="AJ362" i="18" s="1"/>
  <c r="P362" i="18"/>
  <c r="AI362" i="18" s="1"/>
  <c r="O362" i="18"/>
  <c r="AH362" i="18" s="1"/>
  <c r="N362" i="18"/>
  <c r="AG362" i="18" s="1"/>
  <c r="M362" i="18"/>
  <c r="AF362" i="18" s="1"/>
  <c r="L362" i="18"/>
  <c r="AE362" i="18" s="1"/>
  <c r="K362" i="18"/>
  <c r="J362" i="18"/>
  <c r="I362" i="18"/>
  <c r="H362" i="18"/>
  <c r="G362" i="18"/>
  <c r="F362" i="18"/>
  <c r="E362" i="18"/>
  <c r="D362" i="18"/>
  <c r="R359" i="18"/>
  <c r="AK359" i="18" s="1"/>
  <c r="Q359" i="18"/>
  <c r="AJ359" i="18" s="1"/>
  <c r="J359" i="18"/>
  <c r="AC359" i="18" s="1"/>
  <c r="J350" i="18"/>
  <c r="M349" i="18"/>
  <c r="L349" i="18"/>
  <c r="J349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D348" i="18"/>
  <c r="AO346" i="18"/>
  <c r="AL346" i="18"/>
  <c r="AK346" i="18"/>
  <c r="AJ346" i="18"/>
  <c r="AI346" i="18"/>
  <c r="AH346" i="18"/>
  <c r="AG346" i="18"/>
  <c r="AF346" i="18"/>
  <c r="AE346" i="18"/>
  <c r="AD346" i="18"/>
  <c r="AC346" i="18"/>
  <c r="AB346" i="18"/>
  <c r="AA346" i="18"/>
  <c r="U346" i="18"/>
  <c r="T346" i="18"/>
  <c r="AO345" i="18"/>
  <c r="AL345" i="18"/>
  <c r="AK345" i="18"/>
  <c r="AJ345" i="18"/>
  <c r="AI345" i="18"/>
  <c r="AH345" i="18"/>
  <c r="AG345" i="18"/>
  <c r="AF345" i="18"/>
  <c r="AE345" i="18"/>
  <c r="AD345" i="18"/>
  <c r="AC345" i="18"/>
  <c r="AB345" i="18"/>
  <c r="AA345" i="18"/>
  <c r="U345" i="18"/>
  <c r="T345" i="18"/>
  <c r="AO344" i="18"/>
  <c r="AL344" i="18"/>
  <c r="AK344" i="18"/>
  <c r="AJ344" i="18"/>
  <c r="AI344" i="18"/>
  <c r="AH344" i="18"/>
  <c r="AG344" i="18"/>
  <c r="AF344" i="18"/>
  <c r="AE344" i="18"/>
  <c r="AD344" i="18"/>
  <c r="AC344" i="18"/>
  <c r="AB344" i="18"/>
  <c r="AA344" i="18"/>
  <c r="U344" i="18"/>
  <c r="T344" i="18"/>
  <c r="AO343" i="18"/>
  <c r="AL343" i="18"/>
  <c r="AK343" i="18"/>
  <c r="AJ343" i="18"/>
  <c r="AI343" i="18"/>
  <c r="AH343" i="18"/>
  <c r="AG343" i="18"/>
  <c r="AF343" i="18"/>
  <c r="AE343" i="18"/>
  <c r="AD343" i="18"/>
  <c r="AC343" i="18"/>
  <c r="AB343" i="18"/>
  <c r="AA343" i="18"/>
  <c r="U343" i="18"/>
  <c r="T343" i="18"/>
  <c r="AO342" i="18"/>
  <c r="AL342" i="18"/>
  <c r="AK342" i="18"/>
  <c r="AJ342" i="18"/>
  <c r="AI342" i="18"/>
  <c r="AH342" i="18"/>
  <c r="AG342" i="18"/>
  <c r="AF342" i="18"/>
  <c r="AE342" i="18"/>
  <c r="AD342" i="18"/>
  <c r="AC342" i="18"/>
  <c r="AB342" i="18"/>
  <c r="AA342" i="18"/>
  <c r="U342" i="18"/>
  <c r="T342" i="18"/>
  <c r="AO341" i="18"/>
  <c r="AL341" i="18"/>
  <c r="AK341" i="18"/>
  <c r="AJ341" i="18"/>
  <c r="AI341" i="18"/>
  <c r="AH341" i="18"/>
  <c r="AG341" i="18"/>
  <c r="AF341" i="18"/>
  <c r="AE341" i="18"/>
  <c r="AD341" i="18"/>
  <c r="AC341" i="18"/>
  <c r="AB341" i="18"/>
  <c r="AA341" i="18"/>
  <c r="U341" i="18"/>
  <c r="T341" i="18"/>
  <c r="AO340" i="18"/>
  <c r="AL340" i="18"/>
  <c r="AK340" i="18"/>
  <c r="AJ340" i="18"/>
  <c r="AI340" i="18"/>
  <c r="AH340" i="18"/>
  <c r="AG340" i="18"/>
  <c r="AF340" i="18"/>
  <c r="AE340" i="18"/>
  <c r="AD340" i="18"/>
  <c r="AC340" i="18"/>
  <c r="AB340" i="18"/>
  <c r="AA340" i="18"/>
  <c r="U340" i="18"/>
  <c r="T340" i="18"/>
  <c r="AO339" i="18"/>
  <c r="AL339" i="18"/>
  <c r="AK339" i="18"/>
  <c r="AJ339" i="18"/>
  <c r="AI339" i="18"/>
  <c r="AH339" i="18"/>
  <c r="AG339" i="18"/>
  <c r="AF339" i="18"/>
  <c r="AE339" i="18"/>
  <c r="AD339" i="18"/>
  <c r="AC339" i="18"/>
  <c r="AB339" i="18"/>
  <c r="AA339" i="18"/>
  <c r="U339" i="18"/>
  <c r="T339" i="18"/>
  <c r="AO338" i="18"/>
  <c r="AL338" i="18"/>
  <c r="AK338" i="18"/>
  <c r="AJ338" i="18"/>
  <c r="AI338" i="18"/>
  <c r="AH338" i="18"/>
  <c r="AG338" i="18"/>
  <c r="AF338" i="18"/>
  <c r="AE338" i="18"/>
  <c r="AD338" i="18"/>
  <c r="AC338" i="18"/>
  <c r="AB338" i="18"/>
  <c r="AA338" i="18"/>
  <c r="U338" i="18"/>
  <c r="T338" i="18"/>
  <c r="AO337" i="18"/>
  <c r="AL337" i="18"/>
  <c r="AK337" i="18"/>
  <c r="AJ337" i="18"/>
  <c r="AI337" i="18"/>
  <c r="AH337" i="18"/>
  <c r="AG337" i="18"/>
  <c r="AF337" i="18"/>
  <c r="AE337" i="18"/>
  <c r="AD337" i="18"/>
  <c r="AC337" i="18"/>
  <c r="AB337" i="18"/>
  <c r="AA337" i="18"/>
  <c r="U337" i="18"/>
  <c r="T337" i="18"/>
  <c r="AO336" i="18"/>
  <c r="AL336" i="18"/>
  <c r="AK336" i="18"/>
  <c r="AJ336" i="18"/>
  <c r="AI336" i="18"/>
  <c r="AH336" i="18"/>
  <c r="AG336" i="18"/>
  <c r="AF336" i="18"/>
  <c r="AE336" i="18"/>
  <c r="AD336" i="18"/>
  <c r="AC336" i="18"/>
  <c r="AB336" i="18"/>
  <c r="AA336" i="18"/>
  <c r="U336" i="18"/>
  <c r="T336" i="18"/>
  <c r="AO335" i="18"/>
  <c r="AL335" i="18"/>
  <c r="AK335" i="18"/>
  <c r="AJ335" i="18"/>
  <c r="AI335" i="18"/>
  <c r="AH335" i="18"/>
  <c r="AG335" i="18"/>
  <c r="AF335" i="18"/>
  <c r="AE335" i="18"/>
  <c r="AD335" i="18"/>
  <c r="AC335" i="18"/>
  <c r="AB335" i="18"/>
  <c r="AA335" i="18"/>
  <c r="U335" i="18"/>
  <c r="T335" i="18"/>
  <c r="J329" i="18"/>
  <c r="M328" i="18"/>
  <c r="L328" i="18"/>
  <c r="J328" i="18"/>
  <c r="S327" i="18"/>
  <c r="R327" i="18"/>
  <c r="Q327" i="18"/>
  <c r="P327" i="18"/>
  <c r="O327" i="18"/>
  <c r="N327" i="18"/>
  <c r="M327" i="18"/>
  <c r="L327" i="18"/>
  <c r="K327" i="18"/>
  <c r="J327" i="18"/>
  <c r="I327" i="18"/>
  <c r="H327" i="18"/>
  <c r="G327" i="18"/>
  <c r="F327" i="18"/>
  <c r="E327" i="18"/>
  <c r="D327" i="18"/>
  <c r="AO325" i="18"/>
  <c r="AL325" i="18"/>
  <c r="AK325" i="18"/>
  <c r="AJ325" i="18"/>
  <c r="AI325" i="18"/>
  <c r="AH325" i="18"/>
  <c r="AG325" i="18"/>
  <c r="AF325" i="18"/>
  <c r="AE325" i="18"/>
  <c r="AD325" i="18"/>
  <c r="AC325" i="18"/>
  <c r="AB325" i="18"/>
  <c r="AA325" i="18"/>
  <c r="U325" i="18"/>
  <c r="T325" i="18"/>
  <c r="AO324" i="18"/>
  <c r="AL324" i="18"/>
  <c r="AK324" i="18"/>
  <c r="AJ324" i="18"/>
  <c r="AI324" i="18"/>
  <c r="AH324" i="18"/>
  <c r="AG324" i="18"/>
  <c r="AF324" i="18"/>
  <c r="AE324" i="18"/>
  <c r="AD324" i="18"/>
  <c r="AC324" i="18"/>
  <c r="AB324" i="18"/>
  <c r="AA324" i="18"/>
  <c r="U324" i="18"/>
  <c r="T324" i="18"/>
  <c r="AO323" i="18"/>
  <c r="AL323" i="18"/>
  <c r="AK323" i="18"/>
  <c r="AJ323" i="18"/>
  <c r="AI323" i="18"/>
  <c r="AH323" i="18"/>
  <c r="AG323" i="18"/>
  <c r="AF323" i="18"/>
  <c r="AE323" i="18"/>
  <c r="AD323" i="18"/>
  <c r="AC323" i="18"/>
  <c r="AB323" i="18"/>
  <c r="AA323" i="18"/>
  <c r="U323" i="18"/>
  <c r="T323" i="18"/>
  <c r="AO322" i="18"/>
  <c r="AL322" i="18"/>
  <c r="AK322" i="18"/>
  <c r="AJ322" i="18"/>
  <c r="AI322" i="18"/>
  <c r="AH322" i="18"/>
  <c r="AG322" i="18"/>
  <c r="AF322" i="18"/>
  <c r="AE322" i="18"/>
  <c r="AD322" i="18"/>
  <c r="AC322" i="18"/>
  <c r="AB322" i="18"/>
  <c r="AA322" i="18"/>
  <c r="U322" i="18"/>
  <c r="T322" i="18"/>
  <c r="AO321" i="18"/>
  <c r="AL321" i="18"/>
  <c r="AK321" i="18"/>
  <c r="AJ321" i="18"/>
  <c r="AI321" i="18"/>
  <c r="AH321" i="18"/>
  <c r="AG321" i="18"/>
  <c r="AF321" i="18"/>
  <c r="AE321" i="18"/>
  <c r="AD321" i="18"/>
  <c r="AC321" i="18"/>
  <c r="AB321" i="18"/>
  <c r="AA321" i="18"/>
  <c r="U321" i="18"/>
  <c r="T321" i="18"/>
  <c r="AO320" i="18"/>
  <c r="AL320" i="18"/>
  <c r="AK320" i="18"/>
  <c r="AJ320" i="18"/>
  <c r="AI320" i="18"/>
  <c r="AH320" i="18"/>
  <c r="AG320" i="18"/>
  <c r="AF320" i="18"/>
  <c r="AE320" i="18"/>
  <c r="AD320" i="18"/>
  <c r="AC320" i="18"/>
  <c r="AB320" i="18"/>
  <c r="AA320" i="18"/>
  <c r="U320" i="18"/>
  <c r="T320" i="18"/>
  <c r="AO319" i="18"/>
  <c r="AL319" i="18"/>
  <c r="AK319" i="18"/>
  <c r="AJ319" i="18"/>
  <c r="AI319" i="18"/>
  <c r="AH319" i="18"/>
  <c r="AG319" i="18"/>
  <c r="AF319" i="18"/>
  <c r="AE319" i="18"/>
  <c r="AD319" i="18"/>
  <c r="AC319" i="18"/>
  <c r="AB319" i="18"/>
  <c r="AA319" i="18"/>
  <c r="U319" i="18"/>
  <c r="T319" i="18"/>
  <c r="AO318" i="18"/>
  <c r="AL318" i="18"/>
  <c r="AK318" i="18"/>
  <c r="AJ318" i="18"/>
  <c r="AI318" i="18"/>
  <c r="AH318" i="18"/>
  <c r="AG318" i="18"/>
  <c r="AF318" i="18"/>
  <c r="AE318" i="18"/>
  <c r="AD318" i="18"/>
  <c r="AC318" i="18"/>
  <c r="AB318" i="18"/>
  <c r="AA318" i="18"/>
  <c r="U318" i="18"/>
  <c r="T318" i="18"/>
  <c r="AO317" i="18"/>
  <c r="AL317" i="18"/>
  <c r="AK317" i="18"/>
  <c r="AJ317" i="18"/>
  <c r="AI317" i="18"/>
  <c r="AH317" i="18"/>
  <c r="AG317" i="18"/>
  <c r="AF317" i="18"/>
  <c r="AE317" i="18"/>
  <c r="AD317" i="18"/>
  <c r="AC317" i="18"/>
  <c r="AB317" i="18"/>
  <c r="AA317" i="18"/>
  <c r="U317" i="18"/>
  <c r="T317" i="18"/>
  <c r="AO316" i="18"/>
  <c r="AL316" i="18"/>
  <c r="AK316" i="18"/>
  <c r="AJ316" i="18"/>
  <c r="AI316" i="18"/>
  <c r="AH316" i="18"/>
  <c r="AG316" i="18"/>
  <c r="AF316" i="18"/>
  <c r="AE316" i="18"/>
  <c r="AD316" i="18"/>
  <c r="AC316" i="18"/>
  <c r="AB316" i="18"/>
  <c r="AA316" i="18"/>
  <c r="U316" i="18"/>
  <c r="T316" i="18"/>
  <c r="AO315" i="18"/>
  <c r="AL315" i="18"/>
  <c r="AK315" i="18"/>
  <c r="AJ315" i="18"/>
  <c r="AI315" i="18"/>
  <c r="AH315" i="18"/>
  <c r="AG315" i="18"/>
  <c r="AF315" i="18"/>
  <c r="AE315" i="18"/>
  <c r="AD315" i="18"/>
  <c r="AC315" i="18"/>
  <c r="AB315" i="18"/>
  <c r="AA315" i="18"/>
  <c r="U315" i="18"/>
  <c r="T315" i="18"/>
  <c r="AO314" i="18"/>
  <c r="AL314" i="18"/>
  <c r="AK314" i="18"/>
  <c r="AJ314" i="18"/>
  <c r="AI314" i="18"/>
  <c r="AH314" i="18"/>
  <c r="AG314" i="18"/>
  <c r="AF314" i="18"/>
  <c r="AE314" i="18"/>
  <c r="AD314" i="18"/>
  <c r="AC314" i="18"/>
  <c r="AB314" i="18"/>
  <c r="AA314" i="18"/>
  <c r="U314" i="18"/>
  <c r="T314" i="18"/>
  <c r="J308" i="18"/>
  <c r="M307" i="18"/>
  <c r="L307" i="18"/>
  <c r="J307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6" i="18"/>
  <c r="AO304" i="18"/>
  <c r="AL304" i="18"/>
  <c r="AK304" i="18"/>
  <c r="AJ304" i="18"/>
  <c r="AI304" i="18"/>
  <c r="AH304" i="18"/>
  <c r="AG304" i="18"/>
  <c r="AF304" i="18"/>
  <c r="AE304" i="18"/>
  <c r="AD304" i="18"/>
  <c r="AC304" i="18"/>
  <c r="AB304" i="18"/>
  <c r="AA304" i="18"/>
  <c r="U304" i="18"/>
  <c r="T304" i="18"/>
  <c r="AO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U303" i="18"/>
  <c r="T303" i="18"/>
  <c r="AO302" i="18"/>
  <c r="AL302" i="18"/>
  <c r="AK302" i="18"/>
  <c r="AJ302" i="18"/>
  <c r="AI302" i="18"/>
  <c r="AH302" i="18"/>
  <c r="AG302" i="18"/>
  <c r="AF302" i="18"/>
  <c r="AE302" i="18"/>
  <c r="AD302" i="18"/>
  <c r="AC302" i="18"/>
  <c r="AB302" i="18"/>
  <c r="AA302" i="18"/>
  <c r="U302" i="18"/>
  <c r="T302" i="18"/>
  <c r="AO301" i="18"/>
  <c r="AL301" i="18"/>
  <c r="AK301" i="18"/>
  <c r="AJ301" i="18"/>
  <c r="AI301" i="18"/>
  <c r="AH301" i="18"/>
  <c r="AG301" i="18"/>
  <c r="AF301" i="18"/>
  <c r="AE301" i="18"/>
  <c r="AD301" i="18"/>
  <c r="AC301" i="18"/>
  <c r="AB301" i="18"/>
  <c r="AA301" i="18"/>
  <c r="U301" i="18"/>
  <c r="T301" i="18"/>
  <c r="AO300" i="18"/>
  <c r="AL300" i="18"/>
  <c r="AK300" i="18"/>
  <c r="AJ300" i="18"/>
  <c r="AI300" i="18"/>
  <c r="AH300" i="18"/>
  <c r="AG300" i="18"/>
  <c r="AF300" i="18"/>
  <c r="AE300" i="18"/>
  <c r="AD300" i="18"/>
  <c r="AC300" i="18"/>
  <c r="AB300" i="18"/>
  <c r="AA300" i="18"/>
  <c r="U300" i="18"/>
  <c r="T300" i="18"/>
  <c r="AO299" i="18"/>
  <c r="AL299" i="18"/>
  <c r="AK299" i="18"/>
  <c r="AJ299" i="18"/>
  <c r="AI299" i="18"/>
  <c r="AH299" i="18"/>
  <c r="AG299" i="18"/>
  <c r="AF299" i="18"/>
  <c r="AE299" i="18"/>
  <c r="AD299" i="18"/>
  <c r="AC299" i="18"/>
  <c r="AB299" i="18"/>
  <c r="AA299" i="18"/>
  <c r="U299" i="18"/>
  <c r="T299" i="18"/>
  <c r="AO298" i="18"/>
  <c r="AL298" i="18"/>
  <c r="AK298" i="18"/>
  <c r="AJ298" i="18"/>
  <c r="AI298" i="18"/>
  <c r="AH298" i="18"/>
  <c r="AG298" i="18"/>
  <c r="AF298" i="18"/>
  <c r="AE298" i="18"/>
  <c r="AD298" i="18"/>
  <c r="AC298" i="18"/>
  <c r="AB298" i="18"/>
  <c r="AA298" i="18"/>
  <c r="U298" i="18"/>
  <c r="T298" i="18"/>
  <c r="AO297" i="18"/>
  <c r="AL297" i="18"/>
  <c r="AK297" i="18"/>
  <c r="AJ297" i="18"/>
  <c r="AI297" i="18"/>
  <c r="AH297" i="18"/>
  <c r="AG297" i="18"/>
  <c r="AF297" i="18"/>
  <c r="AE297" i="18"/>
  <c r="AD297" i="18"/>
  <c r="AC297" i="18"/>
  <c r="AB297" i="18"/>
  <c r="AA297" i="18"/>
  <c r="U297" i="18"/>
  <c r="T297" i="18"/>
  <c r="AO296" i="18"/>
  <c r="AL296" i="18"/>
  <c r="AK296" i="18"/>
  <c r="AJ296" i="18"/>
  <c r="AI296" i="18"/>
  <c r="AH296" i="18"/>
  <c r="AG296" i="18"/>
  <c r="AF296" i="18"/>
  <c r="AE296" i="18"/>
  <c r="AD296" i="18"/>
  <c r="AC296" i="18"/>
  <c r="AB296" i="18"/>
  <c r="AA296" i="18"/>
  <c r="U296" i="18"/>
  <c r="T296" i="18"/>
  <c r="AO295" i="18"/>
  <c r="AL295" i="18"/>
  <c r="AK295" i="18"/>
  <c r="AJ295" i="18"/>
  <c r="AI295" i="18"/>
  <c r="AH295" i="18"/>
  <c r="AG295" i="18"/>
  <c r="AF295" i="18"/>
  <c r="AE295" i="18"/>
  <c r="AD295" i="18"/>
  <c r="AC295" i="18"/>
  <c r="AB295" i="18"/>
  <c r="AA295" i="18"/>
  <c r="U295" i="18"/>
  <c r="T295" i="18"/>
  <c r="AO294" i="18"/>
  <c r="AL294" i="18"/>
  <c r="AK294" i="18"/>
  <c r="AJ294" i="18"/>
  <c r="AI294" i="18"/>
  <c r="AH294" i="18"/>
  <c r="AG294" i="18"/>
  <c r="AF294" i="18"/>
  <c r="AE294" i="18"/>
  <c r="AD294" i="18"/>
  <c r="AC294" i="18"/>
  <c r="AB294" i="18"/>
  <c r="AA294" i="18"/>
  <c r="U294" i="18"/>
  <c r="T294" i="18"/>
  <c r="AO293" i="18"/>
  <c r="AL293" i="18"/>
  <c r="AK293" i="18"/>
  <c r="AJ293" i="18"/>
  <c r="AI293" i="18"/>
  <c r="AH293" i="18"/>
  <c r="AG293" i="18"/>
  <c r="AF293" i="18"/>
  <c r="AE293" i="18"/>
  <c r="AD293" i="18"/>
  <c r="AC293" i="18"/>
  <c r="AB293" i="18"/>
  <c r="AA293" i="18"/>
  <c r="U293" i="18"/>
  <c r="T293" i="18"/>
  <c r="J287" i="18"/>
  <c r="M286" i="18"/>
  <c r="L286" i="18"/>
  <c r="J286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G285" i="18"/>
  <c r="F285" i="18"/>
  <c r="E285" i="18"/>
  <c r="D285" i="18"/>
  <c r="AO283" i="18"/>
  <c r="AL283" i="18"/>
  <c r="AK283" i="18"/>
  <c r="AJ283" i="18"/>
  <c r="AI283" i="18"/>
  <c r="AH283" i="18"/>
  <c r="AG283" i="18"/>
  <c r="AF283" i="18"/>
  <c r="AE283" i="18"/>
  <c r="AD283" i="18"/>
  <c r="AC283" i="18"/>
  <c r="AB283" i="18"/>
  <c r="AA283" i="18"/>
  <c r="U283" i="18"/>
  <c r="T283" i="18"/>
  <c r="AO282" i="18"/>
  <c r="AL282" i="18"/>
  <c r="AK282" i="18"/>
  <c r="AJ282" i="18"/>
  <c r="AI282" i="18"/>
  <c r="AH282" i="18"/>
  <c r="AG282" i="18"/>
  <c r="AF282" i="18"/>
  <c r="AE282" i="18"/>
  <c r="AD282" i="18"/>
  <c r="AC282" i="18"/>
  <c r="AB282" i="18"/>
  <c r="AA282" i="18"/>
  <c r="U282" i="18"/>
  <c r="T282" i="18"/>
  <c r="AO281" i="18"/>
  <c r="AL281" i="18"/>
  <c r="AK281" i="18"/>
  <c r="AJ281" i="18"/>
  <c r="AI281" i="18"/>
  <c r="AH281" i="18"/>
  <c r="AG281" i="18"/>
  <c r="AF281" i="18"/>
  <c r="AE281" i="18"/>
  <c r="AD281" i="18"/>
  <c r="AC281" i="18"/>
  <c r="AB281" i="18"/>
  <c r="AA281" i="18"/>
  <c r="U281" i="18"/>
  <c r="T281" i="18"/>
  <c r="AO280" i="18"/>
  <c r="AL280" i="18"/>
  <c r="AK280" i="18"/>
  <c r="AJ280" i="18"/>
  <c r="AI280" i="18"/>
  <c r="AH280" i="18"/>
  <c r="AG280" i="18"/>
  <c r="AF280" i="18"/>
  <c r="AE280" i="18"/>
  <c r="AD280" i="18"/>
  <c r="AC280" i="18"/>
  <c r="AB280" i="18"/>
  <c r="AA280" i="18"/>
  <c r="U280" i="18"/>
  <c r="T280" i="18"/>
  <c r="AO279" i="18"/>
  <c r="AL279" i="18"/>
  <c r="AK279" i="18"/>
  <c r="AJ279" i="18"/>
  <c r="AI279" i="18"/>
  <c r="AH279" i="18"/>
  <c r="AG279" i="18"/>
  <c r="AF279" i="18"/>
  <c r="AE279" i="18"/>
  <c r="AD279" i="18"/>
  <c r="AC279" i="18"/>
  <c r="AB279" i="18"/>
  <c r="AA279" i="18"/>
  <c r="U279" i="18"/>
  <c r="T279" i="18"/>
  <c r="AO278" i="18"/>
  <c r="AL278" i="18"/>
  <c r="AK278" i="18"/>
  <c r="AJ278" i="18"/>
  <c r="AI278" i="18"/>
  <c r="AH278" i="18"/>
  <c r="AG278" i="18"/>
  <c r="AF278" i="18"/>
  <c r="AE278" i="18"/>
  <c r="AD278" i="18"/>
  <c r="AC278" i="18"/>
  <c r="AB278" i="18"/>
  <c r="AA278" i="18"/>
  <c r="U278" i="18"/>
  <c r="T278" i="18"/>
  <c r="AO277" i="18"/>
  <c r="AL277" i="18"/>
  <c r="AK277" i="18"/>
  <c r="AJ277" i="18"/>
  <c r="AI277" i="18"/>
  <c r="AH277" i="18"/>
  <c r="AG277" i="18"/>
  <c r="AF277" i="18"/>
  <c r="AE277" i="18"/>
  <c r="AD277" i="18"/>
  <c r="AC277" i="18"/>
  <c r="AB277" i="18"/>
  <c r="AA277" i="18"/>
  <c r="U277" i="18"/>
  <c r="T277" i="18"/>
  <c r="AO276" i="18"/>
  <c r="AL276" i="18"/>
  <c r="AK276" i="18"/>
  <c r="AJ276" i="18"/>
  <c r="AI276" i="18"/>
  <c r="AH276" i="18"/>
  <c r="AG276" i="18"/>
  <c r="AF276" i="18"/>
  <c r="AE276" i="18"/>
  <c r="AD276" i="18"/>
  <c r="AC276" i="18"/>
  <c r="AB276" i="18"/>
  <c r="AA276" i="18"/>
  <c r="U276" i="18"/>
  <c r="T276" i="18"/>
  <c r="AO275" i="18"/>
  <c r="AL275" i="18"/>
  <c r="AK275" i="18"/>
  <c r="AJ275" i="18"/>
  <c r="AI275" i="18"/>
  <c r="AH275" i="18"/>
  <c r="AG275" i="18"/>
  <c r="AF275" i="18"/>
  <c r="AE275" i="18"/>
  <c r="AD275" i="18"/>
  <c r="AC275" i="18"/>
  <c r="AB275" i="18"/>
  <c r="AA275" i="18"/>
  <c r="U275" i="18"/>
  <c r="T275" i="18"/>
  <c r="AO274" i="18"/>
  <c r="AL274" i="18"/>
  <c r="AK274" i="18"/>
  <c r="AJ274" i="18"/>
  <c r="AI274" i="18"/>
  <c r="AH274" i="18"/>
  <c r="AG274" i="18"/>
  <c r="AF274" i="18"/>
  <c r="AE274" i="18"/>
  <c r="AD274" i="18"/>
  <c r="AC274" i="18"/>
  <c r="AB274" i="18"/>
  <c r="AA274" i="18"/>
  <c r="U274" i="18"/>
  <c r="T274" i="18"/>
  <c r="AO273" i="18"/>
  <c r="AL273" i="18"/>
  <c r="AK273" i="18"/>
  <c r="AJ273" i="18"/>
  <c r="AI273" i="18"/>
  <c r="AH273" i="18"/>
  <c r="AG273" i="18"/>
  <c r="AF273" i="18"/>
  <c r="AE273" i="18"/>
  <c r="AD273" i="18"/>
  <c r="AC273" i="18"/>
  <c r="AB273" i="18"/>
  <c r="AA273" i="18"/>
  <c r="U273" i="18"/>
  <c r="T273" i="18"/>
  <c r="AO272" i="18"/>
  <c r="AL272" i="18"/>
  <c r="AK272" i="18"/>
  <c r="AJ272" i="18"/>
  <c r="AI272" i="18"/>
  <c r="AH272" i="18"/>
  <c r="AG272" i="18"/>
  <c r="AF272" i="18"/>
  <c r="AE272" i="18"/>
  <c r="AD272" i="18"/>
  <c r="AC272" i="18"/>
  <c r="AB272" i="18"/>
  <c r="AA272" i="18"/>
  <c r="U272" i="18"/>
  <c r="T272" i="18"/>
  <c r="J266" i="18"/>
  <c r="M265" i="18"/>
  <c r="L265" i="18"/>
  <c r="J265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AO262" i="18"/>
  <c r="AL262" i="18"/>
  <c r="AK262" i="18"/>
  <c r="AJ262" i="18"/>
  <c r="AI262" i="18"/>
  <c r="AH262" i="18"/>
  <c r="AG262" i="18"/>
  <c r="AF262" i="18"/>
  <c r="AE262" i="18"/>
  <c r="AD262" i="18"/>
  <c r="AC262" i="18"/>
  <c r="AB262" i="18"/>
  <c r="AA262" i="18"/>
  <c r="U262" i="18"/>
  <c r="T262" i="18"/>
  <c r="AO261" i="18"/>
  <c r="AL261" i="18"/>
  <c r="AK261" i="18"/>
  <c r="AJ261" i="18"/>
  <c r="AI261" i="18"/>
  <c r="AH261" i="18"/>
  <c r="AG261" i="18"/>
  <c r="AF261" i="18"/>
  <c r="AE261" i="18"/>
  <c r="AD261" i="18"/>
  <c r="AC261" i="18"/>
  <c r="AB261" i="18"/>
  <c r="AA261" i="18"/>
  <c r="U261" i="18"/>
  <c r="T261" i="18"/>
  <c r="AO260" i="18"/>
  <c r="AL260" i="18"/>
  <c r="AK260" i="18"/>
  <c r="AJ260" i="18"/>
  <c r="AI260" i="18"/>
  <c r="AH260" i="18"/>
  <c r="AG260" i="18"/>
  <c r="AF260" i="18"/>
  <c r="AE260" i="18"/>
  <c r="AD260" i="18"/>
  <c r="AC260" i="18"/>
  <c r="AB260" i="18"/>
  <c r="AA260" i="18"/>
  <c r="U260" i="18"/>
  <c r="T260" i="18"/>
  <c r="AO259" i="18"/>
  <c r="AL259" i="18"/>
  <c r="AK259" i="18"/>
  <c r="AJ259" i="18"/>
  <c r="AI259" i="18"/>
  <c r="AH259" i="18"/>
  <c r="AG259" i="18"/>
  <c r="AF259" i="18"/>
  <c r="AE259" i="18"/>
  <c r="AD259" i="18"/>
  <c r="AC259" i="18"/>
  <c r="AB259" i="18"/>
  <c r="AA259" i="18"/>
  <c r="U259" i="18"/>
  <c r="T259" i="18"/>
  <c r="AO258" i="18"/>
  <c r="AL258" i="18"/>
  <c r="AK258" i="18"/>
  <c r="AJ258" i="18"/>
  <c r="AI258" i="18"/>
  <c r="AH258" i="18"/>
  <c r="AG258" i="18"/>
  <c r="AF258" i="18"/>
  <c r="AE258" i="18"/>
  <c r="AD258" i="18"/>
  <c r="AC258" i="18"/>
  <c r="AB258" i="18"/>
  <c r="AA258" i="18"/>
  <c r="U258" i="18"/>
  <c r="T258" i="18"/>
  <c r="AO257" i="18"/>
  <c r="AL257" i="18"/>
  <c r="AK257" i="18"/>
  <c r="AJ257" i="18"/>
  <c r="AI257" i="18"/>
  <c r="AH257" i="18"/>
  <c r="AG257" i="18"/>
  <c r="AF257" i="18"/>
  <c r="AE257" i="18"/>
  <c r="AD257" i="18"/>
  <c r="AC257" i="18"/>
  <c r="AB257" i="18"/>
  <c r="AA257" i="18"/>
  <c r="U257" i="18"/>
  <c r="T257" i="18"/>
  <c r="AO256" i="18"/>
  <c r="AL256" i="18"/>
  <c r="AK256" i="18"/>
  <c r="AJ256" i="18"/>
  <c r="AI256" i="18"/>
  <c r="AH256" i="18"/>
  <c r="AG256" i="18"/>
  <c r="AF256" i="18"/>
  <c r="AE256" i="18"/>
  <c r="AD256" i="18"/>
  <c r="AC256" i="18"/>
  <c r="AB256" i="18"/>
  <c r="AA256" i="18"/>
  <c r="U256" i="18"/>
  <c r="T256" i="18"/>
  <c r="AO255" i="18"/>
  <c r="AL255" i="18"/>
  <c r="AK255" i="18"/>
  <c r="AJ255" i="18"/>
  <c r="AI255" i="18"/>
  <c r="AH255" i="18"/>
  <c r="AG255" i="18"/>
  <c r="AF255" i="18"/>
  <c r="AE255" i="18"/>
  <c r="AD255" i="18"/>
  <c r="AC255" i="18"/>
  <c r="AB255" i="18"/>
  <c r="AA255" i="18"/>
  <c r="U255" i="18"/>
  <c r="T255" i="18"/>
  <c r="AO254" i="18"/>
  <c r="AL254" i="18"/>
  <c r="AK254" i="18"/>
  <c r="AJ254" i="18"/>
  <c r="AI254" i="18"/>
  <c r="AH254" i="18"/>
  <c r="AG254" i="18"/>
  <c r="AF254" i="18"/>
  <c r="AE254" i="18"/>
  <c r="AD254" i="18"/>
  <c r="AC254" i="18"/>
  <c r="AB254" i="18"/>
  <c r="AA254" i="18"/>
  <c r="U254" i="18"/>
  <c r="T254" i="18"/>
  <c r="AO253" i="18"/>
  <c r="AL253" i="18"/>
  <c r="AK253" i="18"/>
  <c r="AJ253" i="18"/>
  <c r="AI253" i="18"/>
  <c r="AH253" i="18"/>
  <c r="AG253" i="18"/>
  <c r="AF253" i="18"/>
  <c r="AE253" i="18"/>
  <c r="AD253" i="18"/>
  <c r="AC253" i="18"/>
  <c r="AB253" i="18"/>
  <c r="AA253" i="18"/>
  <c r="U253" i="18"/>
  <c r="T253" i="18"/>
  <c r="AO252" i="18"/>
  <c r="AL252" i="18"/>
  <c r="AK252" i="18"/>
  <c r="AJ252" i="18"/>
  <c r="AI252" i="18"/>
  <c r="AH252" i="18"/>
  <c r="AG252" i="18"/>
  <c r="AF252" i="18"/>
  <c r="AE252" i="18"/>
  <c r="AD252" i="18"/>
  <c r="AC252" i="18"/>
  <c r="AB252" i="18"/>
  <c r="AA252" i="18"/>
  <c r="U252" i="18"/>
  <c r="T252" i="18"/>
  <c r="AO251" i="18"/>
  <c r="AL251" i="18"/>
  <c r="AK251" i="18"/>
  <c r="AJ251" i="18"/>
  <c r="AI251" i="18"/>
  <c r="AH251" i="18"/>
  <c r="AG251" i="18"/>
  <c r="AF251" i="18"/>
  <c r="AE251" i="18"/>
  <c r="AD251" i="18"/>
  <c r="AC251" i="18"/>
  <c r="AB251" i="18"/>
  <c r="AA251" i="18"/>
  <c r="U251" i="18"/>
  <c r="T251" i="18"/>
  <c r="J245" i="18"/>
  <c r="M244" i="18"/>
  <c r="L244" i="18"/>
  <c r="J244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AO241" i="18"/>
  <c r="AL241" i="18"/>
  <c r="AK241" i="18"/>
  <c r="AJ241" i="18"/>
  <c r="AI241" i="18"/>
  <c r="AH241" i="18"/>
  <c r="AG241" i="18"/>
  <c r="AF241" i="18"/>
  <c r="AE241" i="18"/>
  <c r="AD241" i="18"/>
  <c r="AC241" i="18"/>
  <c r="AB241" i="18"/>
  <c r="AA241" i="18"/>
  <c r="U241" i="18"/>
  <c r="T241" i="18"/>
  <c r="AO240" i="18"/>
  <c r="AL240" i="18"/>
  <c r="AK240" i="18"/>
  <c r="AJ240" i="18"/>
  <c r="AI240" i="18"/>
  <c r="AH240" i="18"/>
  <c r="AG240" i="18"/>
  <c r="AF240" i="18"/>
  <c r="AE240" i="18"/>
  <c r="AD240" i="18"/>
  <c r="AC240" i="18"/>
  <c r="AB240" i="18"/>
  <c r="AA240" i="18"/>
  <c r="U240" i="18"/>
  <c r="T240" i="18"/>
  <c r="AO239" i="18"/>
  <c r="AL239" i="18"/>
  <c r="AK239" i="18"/>
  <c r="AJ239" i="18"/>
  <c r="AI239" i="18"/>
  <c r="AH239" i="18"/>
  <c r="AG239" i="18"/>
  <c r="AF239" i="18"/>
  <c r="AE239" i="18"/>
  <c r="AD239" i="18"/>
  <c r="AC239" i="18"/>
  <c r="AB239" i="18"/>
  <c r="AA239" i="18"/>
  <c r="U239" i="18"/>
  <c r="T239" i="18"/>
  <c r="AO238" i="18"/>
  <c r="AL238" i="18"/>
  <c r="AK238" i="18"/>
  <c r="AJ238" i="18"/>
  <c r="AI238" i="18"/>
  <c r="AH238" i="18"/>
  <c r="AG238" i="18"/>
  <c r="AF238" i="18"/>
  <c r="AE238" i="18"/>
  <c r="AD238" i="18"/>
  <c r="AC238" i="18"/>
  <c r="AB238" i="18"/>
  <c r="AA238" i="18"/>
  <c r="U238" i="18"/>
  <c r="T238" i="18"/>
  <c r="AO237" i="18"/>
  <c r="AL237" i="18"/>
  <c r="AK237" i="18"/>
  <c r="AJ237" i="18"/>
  <c r="AI237" i="18"/>
  <c r="AH237" i="18"/>
  <c r="AG237" i="18"/>
  <c r="AF237" i="18"/>
  <c r="AE237" i="18"/>
  <c r="AD237" i="18"/>
  <c r="AC237" i="18"/>
  <c r="AB237" i="18"/>
  <c r="AA237" i="18"/>
  <c r="U237" i="18"/>
  <c r="T237" i="18"/>
  <c r="AO236" i="18"/>
  <c r="AL236" i="18"/>
  <c r="AK236" i="18"/>
  <c r="AJ236" i="18"/>
  <c r="AI236" i="18"/>
  <c r="AH236" i="18"/>
  <c r="AG236" i="18"/>
  <c r="AF236" i="18"/>
  <c r="AE236" i="18"/>
  <c r="AD236" i="18"/>
  <c r="AC236" i="18"/>
  <c r="AB236" i="18"/>
  <c r="AA236" i="18"/>
  <c r="U236" i="18"/>
  <c r="T236" i="18"/>
  <c r="AO235" i="18"/>
  <c r="AL235" i="18"/>
  <c r="AK235" i="18"/>
  <c r="AJ235" i="18"/>
  <c r="AI235" i="18"/>
  <c r="AH235" i="18"/>
  <c r="AG235" i="18"/>
  <c r="AF235" i="18"/>
  <c r="AE235" i="18"/>
  <c r="AD235" i="18"/>
  <c r="AC235" i="18"/>
  <c r="AB235" i="18"/>
  <c r="AA235" i="18"/>
  <c r="U235" i="18"/>
  <c r="T235" i="18"/>
  <c r="AO234" i="18"/>
  <c r="AL234" i="18"/>
  <c r="AK234" i="18"/>
  <c r="AJ234" i="18"/>
  <c r="AI234" i="18"/>
  <c r="AH234" i="18"/>
  <c r="AG234" i="18"/>
  <c r="AF234" i="18"/>
  <c r="AE234" i="18"/>
  <c r="AD234" i="18"/>
  <c r="AC234" i="18"/>
  <c r="AB234" i="18"/>
  <c r="AA234" i="18"/>
  <c r="U234" i="18"/>
  <c r="T234" i="18"/>
  <c r="AO233" i="18"/>
  <c r="AL233" i="18"/>
  <c r="AK233" i="18"/>
  <c r="AJ233" i="18"/>
  <c r="AI233" i="18"/>
  <c r="AH233" i="18"/>
  <c r="AG233" i="18"/>
  <c r="AF233" i="18"/>
  <c r="AE233" i="18"/>
  <c r="AD233" i="18"/>
  <c r="AC233" i="18"/>
  <c r="AB233" i="18"/>
  <c r="AA233" i="18"/>
  <c r="U233" i="18"/>
  <c r="T233" i="18"/>
  <c r="AO232" i="18"/>
  <c r="AL232" i="18"/>
  <c r="AK232" i="18"/>
  <c r="AJ232" i="18"/>
  <c r="AI232" i="18"/>
  <c r="AH232" i="18"/>
  <c r="AG232" i="18"/>
  <c r="AF232" i="18"/>
  <c r="AE232" i="18"/>
  <c r="AD232" i="18"/>
  <c r="AC232" i="18"/>
  <c r="AB232" i="18"/>
  <c r="AA232" i="18"/>
  <c r="U232" i="18"/>
  <c r="T232" i="18"/>
  <c r="AO231" i="18"/>
  <c r="AL231" i="18"/>
  <c r="AK231" i="18"/>
  <c r="AJ231" i="18"/>
  <c r="AI231" i="18"/>
  <c r="AH231" i="18"/>
  <c r="AG231" i="18"/>
  <c r="AF231" i="18"/>
  <c r="AE231" i="18"/>
  <c r="AD231" i="18"/>
  <c r="AC231" i="18"/>
  <c r="AB231" i="18"/>
  <c r="AA231" i="18"/>
  <c r="U231" i="18"/>
  <c r="T231" i="18"/>
  <c r="AO230" i="18"/>
  <c r="AL230" i="18"/>
  <c r="AK230" i="18"/>
  <c r="AJ230" i="18"/>
  <c r="AI230" i="18"/>
  <c r="AH230" i="18"/>
  <c r="AG230" i="18"/>
  <c r="AF230" i="18"/>
  <c r="AE230" i="18"/>
  <c r="AD230" i="18"/>
  <c r="AC230" i="18"/>
  <c r="AB230" i="18"/>
  <c r="AA230" i="18"/>
  <c r="U230" i="18"/>
  <c r="T230" i="18"/>
  <c r="J224" i="18"/>
  <c r="M223" i="18"/>
  <c r="L223" i="18"/>
  <c r="J223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AO220" i="18"/>
  <c r="AL220" i="18"/>
  <c r="AK220" i="18"/>
  <c r="AJ220" i="18"/>
  <c r="AI220" i="18"/>
  <c r="AH220" i="18"/>
  <c r="AG220" i="18"/>
  <c r="AF220" i="18"/>
  <c r="AE220" i="18"/>
  <c r="AD220" i="18"/>
  <c r="AC220" i="18"/>
  <c r="AB220" i="18"/>
  <c r="AA220" i="18"/>
  <c r="U220" i="18"/>
  <c r="T220" i="18"/>
  <c r="AO219" i="18"/>
  <c r="AL219" i="18"/>
  <c r="AK219" i="18"/>
  <c r="AJ219" i="18"/>
  <c r="AI219" i="18"/>
  <c r="AH219" i="18"/>
  <c r="AG219" i="18"/>
  <c r="AF219" i="18"/>
  <c r="AE219" i="18"/>
  <c r="AD219" i="18"/>
  <c r="AC219" i="18"/>
  <c r="AB219" i="18"/>
  <c r="AA219" i="18"/>
  <c r="U219" i="18"/>
  <c r="T219" i="18"/>
  <c r="AO218" i="18"/>
  <c r="AL218" i="18"/>
  <c r="AK218" i="18"/>
  <c r="AJ218" i="18"/>
  <c r="AI218" i="18"/>
  <c r="AH218" i="18"/>
  <c r="AG218" i="18"/>
  <c r="AF218" i="18"/>
  <c r="AE218" i="18"/>
  <c r="AD218" i="18"/>
  <c r="AC218" i="18"/>
  <c r="AB218" i="18"/>
  <c r="AA218" i="18"/>
  <c r="U218" i="18"/>
  <c r="T218" i="18"/>
  <c r="AO217" i="18"/>
  <c r="AL217" i="18"/>
  <c r="AK217" i="18"/>
  <c r="AJ217" i="18"/>
  <c r="AI217" i="18"/>
  <c r="AH217" i="18"/>
  <c r="AG217" i="18"/>
  <c r="AF217" i="18"/>
  <c r="AE217" i="18"/>
  <c r="AD217" i="18"/>
  <c r="AC217" i="18"/>
  <c r="AB217" i="18"/>
  <c r="AA217" i="18"/>
  <c r="U217" i="18"/>
  <c r="T217" i="18"/>
  <c r="AO216" i="18"/>
  <c r="AL216" i="18"/>
  <c r="AK216" i="18"/>
  <c r="AJ216" i="18"/>
  <c r="AI216" i="18"/>
  <c r="AH216" i="18"/>
  <c r="AG216" i="18"/>
  <c r="AF216" i="18"/>
  <c r="AE216" i="18"/>
  <c r="AD216" i="18"/>
  <c r="AC216" i="18"/>
  <c r="AB216" i="18"/>
  <c r="AA216" i="18"/>
  <c r="U216" i="18"/>
  <c r="T216" i="18"/>
  <c r="AO215" i="18"/>
  <c r="AL215" i="18"/>
  <c r="AK215" i="18"/>
  <c r="AJ215" i="18"/>
  <c r="AI215" i="18"/>
  <c r="AH215" i="18"/>
  <c r="AG215" i="18"/>
  <c r="AF215" i="18"/>
  <c r="AE215" i="18"/>
  <c r="AD215" i="18"/>
  <c r="AC215" i="18"/>
  <c r="AB215" i="18"/>
  <c r="AA215" i="18"/>
  <c r="U215" i="18"/>
  <c r="T215" i="18"/>
  <c r="AO214" i="18"/>
  <c r="AL214" i="18"/>
  <c r="AK214" i="18"/>
  <c r="AJ214" i="18"/>
  <c r="AI214" i="18"/>
  <c r="AH214" i="18"/>
  <c r="AG214" i="18"/>
  <c r="AF214" i="18"/>
  <c r="AE214" i="18"/>
  <c r="AD214" i="18"/>
  <c r="AC214" i="18"/>
  <c r="AB214" i="18"/>
  <c r="AA214" i="18"/>
  <c r="U214" i="18"/>
  <c r="T214" i="18"/>
  <c r="AO213" i="18"/>
  <c r="AL213" i="18"/>
  <c r="AK213" i="18"/>
  <c r="AJ213" i="18"/>
  <c r="AI213" i="18"/>
  <c r="AH213" i="18"/>
  <c r="AG213" i="18"/>
  <c r="AF213" i="18"/>
  <c r="AE213" i="18"/>
  <c r="AD213" i="18"/>
  <c r="AC213" i="18"/>
  <c r="AB213" i="18"/>
  <c r="AA213" i="18"/>
  <c r="U213" i="18"/>
  <c r="T213" i="18"/>
  <c r="AO212" i="18"/>
  <c r="AL212" i="18"/>
  <c r="AK212" i="18"/>
  <c r="AJ212" i="18"/>
  <c r="AI212" i="18"/>
  <c r="AH212" i="18"/>
  <c r="AG212" i="18"/>
  <c r="AF212" i="18"/>
  <c r="AE212" i="18"/>
  <c r="AD212" i="18"/>
  <c r="AC212" i="18"/>
  <c r="AB212" i="18"/>
  <c r="AA212" i="18"/>
  <c r="U212" i="18"/>
  <c r="T212" i="18"/>
  <c r="AO211" i="18"/>
  <c r="AL211" i="18"/>
  <c r="AK211" i="18"/>
  <c r="AJ211" i="18"/>
  <c r="AI211" i="18"/>
  <c r="AH211" i="18"/>
  <c r="AG211" i="18"/>
  <c r="AF211" i="18"/>
  <c r="AE211" i="18"/>
  <c r="AD211" i="18"/>
  <c r="AC211" i="18"/>
  <c r="AB211" i="18"/>
  <c r="AA211" i="18"/>
  <c r="U211" i="18"/>
  <c r="T211" i="18"/>
  <c r="AO210" i="18"/>
  <c r="AL210" i="18"/>
  <c r="AK210" i="18"/>
  <c r="AJ210" i="18"/>
  <c r="AI210" i="18"/>
  <c r="AH210" i="18"/>
  <c r="AG210" i="18"/>
  <c r="AF210" i="18"/>
  <c r="AE210" i="18"/>
  <c r="AD210" i="18"/>
  <c r="AC210" i="18"/>
  <c r="AB210" i="18"/>
  <c r="AA210" i="18"/>
  <c r="U210" i="18"/>
  <c r="T210" i="18"/>
  <c r="AO209" i="18"/>
  <c r="AL209" i="18"/>
  <c r="AK209" i="18"/>
  <c r="AJ209" i="18"/>
  <c r="AI209" i="18"/>
  <c r="AH209" i="18"/>
  <c r="AG209" i="18"/>
  <c r="AF209" i="18"/>
  <c r="AE209" i="18"/>
  <c r="AD209" i="18"/>
  <c r="AC209" i="18"/>
  <c r="AB209" i="18"/>
  <c r="AA209" i="18"/>
  <c r="U209" i="18"/>
  <c r="T209" i="18"/>
  <c r="J203" i="18"/>
  <c r="M202" i="18"/>
  <c r="L202" i="18"/>
  <c r="J202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AO199" i="18"/>
  <c r="AL199" i="18"/>
  <c r="AK199" i="18"/>
  <c r="AJ199" i="18"/>
  <c r="AI199" i="18"/>
  <c r="AH199" i="18"/>
  <c r="AG199" i="18"/>
  <c r="AF199" i="18"/>
  <c r="AE199" i="18"/>
  <c r="AD199" i="18"/>
  <c r="AC199" i="18"/>
  <c r="AB199" i="18"/>
  <c r="AA199" i="18"/>
  <c r="U199" i="18"/>
  <c r="T199" i="18"/>
  <c r="AO198" i="18"/>
  <c r="AL198" i="18"/>
  <c r="AK198" i="18"/>
  <c r="AJ198" i="18"/>
  <c r="AI198" i="18"/>
  <c r="AH198" i="18"/>
  <c r="AG198" i="18"/>
  <c r="AF198" i="18"/>
  <c r="AE198" i="18"/>
  <c r="AD198" i="18"/>
  <c r="AC198" i="18"/>
  <c r="AB198" i="18"/>
  <c r="AA198" i="18"/>
  <c r="U198" i="18"/>
  <c r="T198" i="18"/>
  <c r="AO197" i="18"/>
  <c r="AL197" i="18"/>
  <c r="AK197" i="18"/>
  <c r="AJ197" i="18"/>
  <c r="AI197" i="18"/>
  <c r="AH197" i="18"/>
  <c r="AG197" i="18"/>
  <c r="AF197" i="18"/>
  <c r="AE197" i="18"/>
  <c r="AD197" i="18"/>
  <c r="AC197" i="18"/>
  <c r="AB197" i="18"/>
  <c r="AA197" i="18"/>
  <c r="U197" i="18"/>
  <c r="T197" i="18"/>
  <c r="AO196" i="18"/>
  <c r="AL196" i="18"/>
  <c r="AK196" i="18"/>
  <c r="AJ196" i="18"/>
  <c r="AI196" i="18"/>
  <c r="AH196" i="18"/>
  <c r="AG196" i="18"/>
  <c r="AF196" i="18"/>
  <c r="AE196" i="18"/>
  <c r="AD196" i="18"/>
  <c r="AC196" i="18"/>
  <c r="AB196" i="18"/>
  <c r="AA196" i="18"/>
  <c r="U196" i="18"/>
  <c r="T196" i="18"/>
  <c r="AO195" i="18"/>
  <c r="AL195" i="18"/>
  <c r="AK195" i="18"/>
  <c r="AJ195" i="18"/>
  <c r="AI195" i="18"/>
  <c r="AH195" i="18"/>
  <c r="AG195" i="18"/>
  <c r="AF195" i="18"/>
  <c r="AE195" i="18"/>
  <c r="AD195" i="18"/>
  <c r="AC195" i="18"/>
  <c r="AB195" i="18"/>
  <c r="AA195" i="18"/>
  <c r="U195" i="18"/>
  <c r="T195" i="18"/>
  <c r="AO194" i="18"/>
  <c r="AL194" i="18"/>
  <c r="AK194" i="18"/>
  <c r="AJ194" i="18"/>
  <c r="AI194" i="18"/>
  <c r="AH194" i="18"/>
  <c r="AG194" i="18"/>
  <c r="AF194" i="18"/>
  <c r="AE194" i="18"/>
  <c r="AD194" i="18"/>
  <c r="AC194" i="18"/>
  <c r="AB194" i="18"/>
  <c r="AA194" i="18"/>
  <c r="U194" i="18"/>
  <c r="T194" i="18"/>
  <c r="AO193" i="18"/>
  <c r="AL193" i="18"/>
  <c r="AK193" i="18"/>
  <c r="AJ193" i="18"/>
  <c r="AI193" i="18"/>
  <c r="AH193" i="18"/>
  <c r="AG193" i="18"/>
  <c r="AF193" i="18"/>
  <c r="AE193" i="18"/>
  <c r="AD193" i="18"/>
  <c r="AC193" i="18"/>
  <c r="AB193" i="18"/>
  <c r="AA193" i="18"/>
  <c r="U193" i="18"/>
  <c r="T193" i="18"/>
  <c r="AO192" i="18"/>
  <c r="AL192" i="18"/>
  <c r="AK192" i="18"/>
  <c r="AJ192" i="18"/>
  <c r="AI192" i="18"/>
  <c r="AH192" i="18"/>
  <c r="AG192" i="18"/>
  <c r="AF192" i="18"/>
  <c r="AE192" i="18"/>
  <c r="AD192" i="18"/>
  <c r="AC192" i="18"/>
  <c r="AB192" i="18"/>
  <c r="AA192" i="18"/>
  <c r="U192" i="18"/>
  <c r="T192" i="18"/>
  <c r="AO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U191" i="18"/>
  <c r="T191" i="18"/>
  <c r="AO190" i="18"/>
  <c r="AL190" i="18"/>
  <c r="AK190" i="18"/>
  <c r="AJ190" i="18"/>
  <c r="AI190" i="18"/>
  <c r="AH190" i="18"/>
  <c r="AG190" i="18"/>
  <c r="AF190" i="18"/>
  <c r="AE190" i="18"/>
  <c r="AD190" i="18"/>
  <c r="AC190" i="18"/>
  <c r="AB190" i="18"/>
  <c r="AA190" i="18"/>
  <c r="U190" i="18"/>
  <c r="T190" i="18"/>
  <c r="AO189" i="18"/>
  <c r="AL189" i="18"/>
  <c r="AK189" i="18"/>
  <c r="AJ189" i="18"/>
  <c r="AI189" i="18"/>
  <c r="AH189" i="18"/>
  <c r="AG189" i="18"/>
  <c r="AF189" i="18"/>
  <c r="AE189" i="18"/>
  <c r="AD189" i="18"/>
  <c r="AC189" i="18"/>
  <c r="AB189" i="18"/>
  <c r="AA189" i="18"/>
  <c r="U189" i="18"/>
  <c r="T189" i="18"/>
  <c r="AO188" i="18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U188" i="18"/>
  <c r="T188" i="18"/>
  <c r="J182" i="18"/>
  <c r="M181" i="18"/>
  <c r="L181" i="18"/>
  <c r="J181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AO178" i="18"/>
  <c r="AL178" i="18"/>
  <c r="AK178" i="18"/>
  <c r="AJ178" i="18"/>
  <c r="AI178" i="18"/>
  <c r="AH178" i="18"/>
  <c r="AG178" i="18"/>
  <c r="AF178" i="18"/>
  <c r="AE178" i="18"/>
  <c r="AD178" i="18"/>
  <c r="AC178" i="18"/>
  <c r="AB178" i="18"/>
  <c r="AA178" i="18"/>
  <c r="U178" i="18"/>
  <c r="T178" i="18"/>
  <c r="AO177" i="18"/>
  <c r="AL177" i="18"/>
  <c r="AK177" i="18"/>
  <c r="AJ177" i="18"/>
  <c r="AI177" i="18"/>
  <c r="AH177" i="18"/>
  <c r="AG177" i="18"/>
  <c r="AF177" i="18"/>
  <c r="AE177" i="18"/>
  <c r="AD177" i="18"/>
  <c r="AC177" i="18"/>
  <c r="AB177" i="18"/>
  <c r="AA177" i="18"/>
  <c r="U177" i="18"/>
  <c r="T177" i="18"/>
  <c r="AO176" i="18"/>
  <c r="AL176" i="18"/>
  <c r="AK176" i="18"/>
  <c r="AJ176" i="18"/>
  <c r="AI176" i="18"/>
  <c r="AH176" i="18"/>
  <c r="AG176" i="18"/>
  <c r="AF176" i="18"/>
  <c r="AE176" i="18"/>
  <c r="AD176" i="18"/>
  <c r="AC176" i="18"/>
  <c r="AB176" i="18"/>
  <c r="AA176" i="18"/>
  <c r="U176" i="18"/>
  <c r="T176" i="18"/>
  <c r="AO175" i="18"/>
  <c r="AL175" i="18"/>
  <c r="AK175" i="18"/>
  <c r="AJ175" i="18"/>
  <c r="AI175" i="18"/>
  <c r="AH175" i="18"/>
  <c r="AG175" i="18"/>
  <c r="AF175" i="18"/>
  <c r="AE175" i="18"/>
  <c r="AD175" i="18"/>
  <c r="AC175" i="18"/>
  <c r="AB175" i="18"/>
  <c r="AA175" i="18"/>
  <c r="U175" i="18"/>
  <c r="T175" i="18"/>
  <c r="AO174" i="18"/>
  <c r="AL174" i="18"/>
  <c r="AK174" i="18"/>
  <c r="AJ174" i="18"/>
  <c r="AI174" i="18"/>
  <c r="AH174" i="18"/>
  <c r="AG174" i="18"/>
  <c r="AF174" i="18"/>
  <c r="AE174" i="18"/>
  <c r="AD174" i="18"/>
  <c r="AC174" i="18"/>
  <c r="AB174" i="18"/>
  <c r="AA174" i="18"/>
  <c r="U174" i="18"/>
  <c r="T174" i="18"/>
  <c r="AO173" i="18"/>
  <c r="AL173" i="18"/>
  <c r="AK173" i="18"/>
  <c r="AJ173" i="18"/>
  <c r="AI173" i="18"/>
  <c r="AH173" i="18"/>
  <c r="AG173" i="18"/>
  <c r="AF173" i="18"/>
  <c r="AE173" i="18"/>
  <c r="AD173" i="18"/>
  <c r="AC173" i="18"/>
  <c r="AB173" i="18"/>
  <c r="AA173" i="18"/>
  <c r="U173" i="18"/>
  <c r="T173" i="18"/>
  <c r="AO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U172" i="18"/>
  <c r="T172" i="18"/>
  <c r="AO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U171" i="18"/>
  <c r="T171" i="18"/>
  <c r="AO170" i="18"/>
  <c r="AL170" i="18"/>
  <c r="AK170" i="18"/>
  <c r="AJ170" i="18"/>
  <c r="AI170" i="18"/>
  <c r="AH170" i="18"/>
  <c r="AG170" i="18"/>
  <c r="AF170" i="18"/>
  <c r="AE170" i="18"/>
  <c r="AD170" i="18"/>
  <c r="AC170" i="18"/>
  <c r="AB170" i="18"/>
  <c r="AA170" i="18"/>
  <c r="U170" i="18"/>
  <c r="T170" i="18"/>
  <c r="AO169" i="18"/>
  <c r="AL169" i="18"/>
  <c r="AK169" i="18"/>
  <c r="AJ169" i="18"/>
  <c r="AI169" i="18"/>
  <c r="AH169" i="18"/>
  <c r="AG169" i="18"/>
  <c r="AF169" i="18"/>
  <c r="AE169" i="18"/>
  <c r="AD169" i="18"/>
  <c r="AC169" i="18"/>
  <c r="AB169" i="18"/>
  <c r="AA169" i="18"/>
  <c r="U169" i="18"/>
  <c r="T169" i="18"/>
  <c r="AO168" i="18"/>
  <c r="AL168" i="18"/>
  <c r="AK168" i="18"/>
  <c r="AJ168" i="18"/>
  <c r="AI168" i="18"/>
  <c r="AH168" i="18"/>
  <c r="AG168" i="18"/>
  <c r="AF168" i="18"/>
  <c r="AE168" i="18"/>
  <c r="AD168" i="18"/>
  <c r="AC168" i="18"/>
  <c r="AB168" i="18"/>
  <c r="AA168" i="18"/>
  <c r="U168" i="18"/>
  <c r="T168" i="18"/>
  <c r="AO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U167" i="18"/>
  <c r="T167" i="18"/>
  <c r="J161" i="18"/>
  <c r="M160" i="18"/>
  <c r="L160" i="18"/>
  <c r="J160" i="18"/>
  <c r="S159" i="18"/>
  <c r="R159" i="18"/>
  <c r="Q159" i="18"/>
  <c r="P159" i="18"/>
  <c r="O159" i="18"/>
  <c r="N159" i="18"/>
  <c r="M159" i="18"/>
  <c r="L159" i="18"/>
  <c r="K159" i="18"/>
  <c r="J159" i="18"/>
  <c r="I159" i="18"/>
  <c r="H159" i="18"/>
  <c r="G159" i="18"/>
  <c r="F159" i="18"/>
  <c r="E159" i="18"/>
  <c r="D159" i="18"/>
  <c r="AO157" i="18"/>
  <c r="AL157" i="18"/>
  <c r="AK157" i="18"/>
  <c r="AJ157" i="18"/>
  <c r="AI157" i="18"/>
  <c r="AH157" i="18"/>
  <c r="AG157" i="18"/>
  <c r="AF157" i="18"/>
  <c r="AE157" i="18"/>
  <c r="AD157" i="18"/>
  <c r="AC157" i="18"/>
  <c r="AB157" i="18"/>
  <c r="AA157" i="18"/>
  <c r="U157" i="18"/>
  <c r="T157" i="18"/>
  <c r="AO156" i="18"/>
  <c r="AL156" i="18"/>
  <c r="AK156" i="18"/>
  <c r="AJ156" i="18"/>
  <c r="AI156" i="18"/>
  <c r="AH156" i="18"/>
  <c r="AG156" i="18"/>
  <c r="AF156" i="18"/>
  <c r="AE156" i="18"/>
  <c r="AD156" i="18"/>
  <c r="AC156" i="18"/>
  <c r="AB156" i="18"/>
  <c r="AA156" i="18"/>
  <c r="U156" i="18"/>
  <c r="T156" i="18"/>
  <c r="AO155" i="18"/>
  <c r="AL155" i="18"/>
  <c r="AK155" i="18"/>
  <c r="AJ155" i="18"/>
  <c r="AI155" i="18"/>
  <c r="AH155" i="18"/>
  <c r="AG155" i="18"/>
  <c r="AF155" i="18"/>
  <c r="AE155" i="18"/>
  <c r="AD155" i="18"/>
  <c r="AC155" i="18"/>
  <c r="AB155" i="18"/>
  <c r="AA155" i="18"/>
  <c r="U155" i="18"/>
  <c r="T155" i="18"/>
  <c r="AO154" i="18"/>
  <c r="AL154" i="18"/>
  <c r="AK154" i="18"/>
  <c r="AJ154" i="18"/>
  <c r="AI154" i="18"/>
  <c r="AH154" i="18"/>
  <c r="AG154" i="18"/>
  <c r="AF154" i="18"/>
  <c r="AE154" i="18"/>
  <c r="AD154" i="18"/>
  <c r="AC154" i="18"/>
  <c r="AB154" i="18"/>
  <c r="AA154" i="18"/>
  <c r="U154" i="18"/>
  <c r="T154" i="18"/>
  <c r="AO153" i="18"/>
  <c r="AL153" i="18"/>
  <c r="AK153" i="18"/>
  <c r="AJ153" i="18"/>
  <c r="AI153" i="18"/>
  <c r="AH153" i="18"/>
  <c r="AG153" i="18"/>
  <c r="AF153" i="18"/>
  <c r="AE153" i="18"/>
  <c r="AD153" i="18"/>
  <c r="AC153" i="18"/>
  <c r="AB153" i="18"/>
  <c r="AA153" i="18"/>
  <c r="U153" i="18"/>
  <c r="T153" i="18"/>
  <c r="AO152" i="18"/>
  <c r="AL152" i="18"/>
  <c r="AK152" i="18"/>
  <c r="AJ152" i="18"/>
  <c r="AI152" i="18"/>
  <c r="AH152" i="18"/>
  <c r="AG152" i="18"/>
  <c r="AF152" i="18"/>
  <c r="AE152" i="18"/>
  <c r="AD152" i="18"/>
  <c r="AC152" i="18"/>
  <c r="AB152" i="18"/>
  <c r="AA152" i="18"/>
  <c r="U152" i="18"/>
  <c r="T152" i="18"/>
  <c r="AO151" i="18"/>
  <c r="AL151" i="18"/>
  <c r="AK151" i="18"/>
  <c r="AJ151" i="18"/>
  <c r="AI151" i="18"/>
  <c r="AH151" i="18"/>
  <c r="AG151" i="18"/>
  <c r="AF151" i="18"/>
  <c r="AE151" i="18"/>
  <c r="AD151" i="18"/>
  <c r="AC151" i="18"/>
  <c r="AB151" i="18"/>
  <c r="AA151" i="18"/>
  <c r="U151" i="18"/>
  <c r="T151" i="18"/>
  <c r="AO150" i="18"/>
  <c r="AL150" i="18"/>
  <c r="AK150" i="18"/>
  <c r="AJ150" i="18"/>
  <c r="AI150" i="18"/>
  <c r="AH150" i="18"/>
  <c r="AG150" i="18"/>
  <c r="AF150" i="18"/>
  <c r="AE150" i="18"/>
  <c r="AD150" i="18"/>
  <c r="AC150" i="18"/>
  <c r="AB150" i="18"/>
  <c r="AA150" i="18"/>
  <c r="U150" i="18"/>
  <c r="T150" i="18"/>
  <c r="AO149" i="18"/>
  <c r="AL149" i="18"/>
  <c r="AK149" i="18"/>
  <c r="AJ149" i="18"/>
  <c r="AI149" i="18"/>
  <c r="AH149" i="18"/>
  <c r="AG149" i="18"/>
  <c r="AF149" i="18"/>
  <c r="AE149" i="18"/>
  <c r="AD149" i="18"/>
  <c r="AC149" i="18"/>
  <c r="AB149" i="18"/>
  <c r="AA149" i="18"/>
  <c r="U149" i="18"/>
  <c r="T149" i="18"/>
  <c r="AO148" i="18"/>
  <c r="AL148" i="18"/>
  <c r="AK148" i="18"/>
  <c r="AJ148" i="18"/>
  <c r="AI148" i="18"/>
  <c r="AH148" i="18"/>
  <c r="AG148" i="18"/>
  <c r="AF148" i="18"/>
  <c r="AE148" i="18"/>
  <c r="AD148" i="18"/>
  <c r="AC148" i="18"/>
  <c r="AB148" i="18"/>
  <c r="AA148" i="18"/>
  <c r="U148" i="18"/>
  <c r="T148" i="18"/>
  <c r="AO147" i="18"/>
  <c r="AL147" i="18"/>
  <c r="AK147" i="18"/>
  <c r="AJ147" i="18"/>
  <c r="AI147" i="18"/>
  <c r="AH147" i="18"/>
  <c r="AG147" i="18"/>
  <c r="AF147" i="18"/>
  <c r="AE147" i="18"/>
  <c r="AD147" i="18"/>
  <c r="AC147" i="18"/>
  <c r="AB147" i="18"/>
  <c r="AA147" i="18"/>
  <c r="U147" i="18"/>
  <c r="T147" i="18"/>
  <c r="AO146" i="18"/>
  <c r="AL146" i="18"/>
  <c r="AK146" i="18"/>
  <c r="AJ146" i="18"/>
  <c r="AI146" i="18"/>
  <c r="AH146" i="18"/>
  <c r="AG146" i="18"/>
  <c r="AF146" i="18"/>
  <c r="AE146" i="18"/>
  <c r="AD146" i="18"/>
  <c r="AC146" i="18"/>
  <c r="AB146" i="18"/>
  <c r="AA146" i="18"/>
  <c r="U146" i="18"/>
  <c r="T146" i="18"/>
  <c r="J140" i="18"/>
  <c r="M139" i="18"/>
  <c r="L139" i="18"/>
  <c r="J139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AO136" i="18"/>
  <c r="AL136" i="18"/>
  <c r="AK136" i="18"/>
  <c r="AJ136" i="18"/>
  <c r="AI136" i="18"/>
  <c r="AH136" i="18"/>
  <c r="AG136" i="18"/>
  <c r="AF136" i="18"/>
  <c r="AE136" i="18"/>
  <c r="AD136" i="18"/>
  <c r="AC136" i="18"/>
  <c r="AB136" i="18"/>
  <c r="AA136" i="18"/>
  <c r="U136" i="18"/>
  <c r="T136" i="18"/>
  <c r="AO135" i="18"/>
  <c r="AL135" i="18"/>
  <c r="AK135" i="18"/>
  <c r="AJ135" i="18"/>
  <c r="AI135" i="18"/>
  <c r="AH135" i="18"/>
  <c r="AG135" i="18"/>
  <c r="AF135" i="18"/>
  <c r="AE135" i="18"/>
  <c r="AD135" i="18"/>
  <c r="AC135" i="18"/>
  <c r="AB135" i="18"/>
  <c r="AA135" i="18"/>
  <c r="U135" i="18"/>
  <c r="T135" i="18"/>
  <c r="AO134" i="18"/>
  <c r="AL134" i="18"/>
  <c r="AK134" i="18"/>
  <c r="AJ134" i="18"/>
  <c r="AI134" i="18"/>
  <c r="AH134" i="18"/>
  <c r="AG134" i="18"/>
  <c r="AF134" i="18"/>
  <c r="AE134" i="18"/>
  <c r="AD134" i="18"/>
  <c r="AC134" i="18"/>
  <c r="AB134" i="18"/>
  <c r="AA134" i="18"/>
  <c r="U134" i="18"/>
  <c r="T134" i="18"/>
  <c r="AO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U133" i="18"/>
  <c r="T133" i="18"/>
  <c r="AO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U132" i="18"/>
  <c r="T132" i="18"/>
  <c r="AO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U131" i="18"/>
  <c r="T131" i="18"/>
  <c r="AO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U130" i="18"/>
  <c r="T130" i="18"/>
  <c r="AO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U129" i="18"/>
  <c r="T129" i="18"/>
  <c r="AO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U128" i="18"/>
  <c r="T128" i="18"/>
  <c r="AO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U127" i="18"/>
  <c r="T127" i="18"/>
  <c r="AO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U126" i="18"/>
  <c r="T126" i="18"/>
  <c r="AO125" i="18"/>
  <c r="AL125" i="18"/>
  <c r="AK125" i="18"/>
  <c r="AJ125" i="18"/>
  <c r="AI125" i="18"/>
  <c r="AH125" i="18"/>
  <c r="AG125" i="18"/>
  <c r="AF125" i="18"/>
  <c r="AE125" i="18"/>
  <c r="AD125" i="18"/>
  <c r="AC125" i="18"/>
  <c r="AB125" i="18"/>
  <c r="AA125" i="18"/>
  <c r="U125" i="18"/>
  <c r="T125" i="18"/>
  <c r="J119" i="18"/>
  <c r="J118" i="18"/>
  <c r="AO115" i="18"/>
  <c r="AI115" i="18"/>
  <c r="Y115" i="18"/>
  <c r="X115" i="18"/>
  <c r="H368" i="18"/>
  <c r="AO114" i="18"/>
  <c r="AL114" i="18"/>
  <c r="AK114" i="18"/>
  <c r="AJ114" i="18"/>
  <c r="AI114" i="18"/>
  <c r="AH114" i="18"/>
  <c r="AG114" i="18"/>
  <c r="AF114" i="18"/>
  <c r="AE114" i="18"/>
  <c r="AD114" i="18"/>
  <c r="AC114" i="18"/>
  <c r="AB114" i="18"/>
  <c r="AA114" i="18"/>
  <c r="Y114" i="18"/>
  <c r="X114" i="18"/>
  <c r="U114" i="18"/>
  <c r="T114" i="18"/>
  <c r="AO113" i="18"/>
  <c r="AL113" i="18"/>
  <c r="AK113" i="18"/>
  <c r="AJ113" i="18"/>
  <c r="AI113" i="18"/>
  <c r="AH113" i="18"/>
  <c r="AG113" i="18"/>
  <c r="AF113" i="18"/>
  <c r="AE113" i="18"/>
  <c r="AD113" i="18"/>
  <c r="AC113" i="18"/>
  <c r="AB113" i="18"/>
  <c r="AA113" i="18"/>
  <c r="Y113" i="18"/>
  <c r="X113" i="18"/>
  <c r="U113" i="18"/>
  <c r="T113" i="18"/>
  <c r="AO112" i="18"/>
  <c r="AL112" i="18"/>
  <c r="AK112" i="18"/>
  <c r="AJ112" i="18"/>
  <c r="AI112" i="18"/>
  <c r="AH112" i="18"/>
  <c r="AG112" i="18"/>
  <c r="AF112" i="18"/>
  <c r="AE112" i="18"/>
  <c r="AD112" i="18"/>
  <c r="AC112" i="18"/>
  <c r="AB112" i="18"/>
  <c r="AA112" i="18"/>
  <c r="Y112" i="18"/>
  <c r="X112" i="18"/>
  <c r="U112" i="18"/>
  <c r="T112" i="18"/>
  <c r="AO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Y111" i="18"/>
  <c r="X111" i="18"/>
  <c r="U111" i="18"/>
  <c r="T111" i="18"/>
  <c r="AO110" i="18"/>
  <c r="Y110" i="18"/>
  <c r="X110" i="18"/>
  <c r="AO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Y109" i="18"/>
  <c r="X109" i="18"/>
  <c r="U109" i="18"/>
  <c r="T109" i="18"/>
  <c r="AO108" i="18"/>
  <c r="Y108" i="18"/>
  <c r="X108" i="18"/>
  <c r="AO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Y107" i="18"/>
  <c r="X107" i="18"/>
  <c r="U107" i="18"/>
  <c r="T107" i="18"/>
  <c r="AO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Y106" i="18"/>
  <c r="X106" i="18"/>
  <c r="U106" i="18"/>
  <c r="T106" i="18"/>
  <c r="AO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Y105" i="18"/>
  <c r="X105" i="18"/>
  <c r="U105" i="18"/>
  <c r="T105" i="18"/>
  <c r="AO104" i="18"/>
  <c r="Y104" i="18"/>
  <c r="X104" i="18"/>
  <c r="AO103" i="18"/>
  <c r="AL103" i="18"/>
  <c r="AK103" i="18"/>
  <c r="AJ103" i="18"/>
  <c r="AI103" i="18"/>
  <c r="AH103" i="18"/>
  <c r="AG103" i="18"/>
  <c r="AF103" i="18"/>
  <c r="AE103" i="18"/>
  <c r="AD103" i="18"/>
  <c r="AC103" i="18"/>
  <c r="AB103" i="18"/>
  <c r="AA103" i="18"/>
  <c r="Y103" i="18"/>
  <c r="X103" i="18"/>
  <c r="U103" i="18"/>
  <c r="T103" i="18"/>
  <c r="AO102" i="18"/>
  <c r="Y102" i="18"/>
  <c r="X102" i="18"/>
  <c r="AO101" i="18"/>
  <c r="Y101" i="18"/>
  <c r="X101" i="18"/>
  <c r="AO100" i="18"/>
  <c r="Y100" i="18"/>
  <c r="X100" i="18"/>
  <c r="AO99" i="18"/>
  <c r="Y99" i="18"/>
  <c r="X99" i="18"/>
  <c r="AO98" i="18"/>
  <c r="Y98" i="18"/>
  <c r="X98" i="18"/>
  <c r="AO97" i="18"/>
  <c r="AK97" i="18"/>
  <c r="AC97" i="18"/>
  <c r="Y97" i="18"/>
  <c r="X97" i="18"/>
  <c r="P359" i="18"/>
  <c r="AI359" i="18" s="1"/>
  <c r="H359" i="18"/>
  <c r="G359" i="18"/>
  <c r="AO96" i="18"/>
  <c r="Y96" i="18"/>
  <c r="X96" i="18"/>
  <c r="AO95" i="18"/>
  <c r="Y95" i="18"/>
  <c r="X95" i="18"/>
  <c r="AO94" i="18"/>
  <c r="Y94" i="18"/>
  <c r="X94" i="18"/>
  <c r="AO93" i="18"/>
  <c r="Y93" i="18"/>
  <c r="X93" i="18"/>
  <c r="AO92" i="18"/>
  <c r="AL92" i="18"/>
  <c r="AK92" i="18"/>
  <c r="AJ92" i="18"/>
  <c r="AI92" i="18"/>
  <c r="AH92" i="18"/>
  <c r="AG92" i="18"/>
  <c r="AF92" i="18"/>
  <c r="AE92" i="18"/>
  <c r="AD92" i="18"/>
  <c r="AC92" i="18"/>
  <c r="AB92" i="18"/>
  <c r="AA92" i="18"/>
  <c r="Y92" i="18"/>
  <c r="X92" i="18"/>
  <c r="U92" i="18"/>
  <c r="T92" i="18"/>
  <c r="J86" i="18"/>
  <c r="M85" i="18"/>
  <c r="L85" i="18"/>
  <c r="J85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AO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U82" i="18"/>
  <c r="T82" i="18"/>
  <c r="AO81" i="18"/>
  <c r="AL81" i="18"/>
  <c r="AK81" i="18"/>
  <c r="AJ81" i="18"/>
  <c r="AI81" i="18"/>
  <c r="AH81" i="18"/>
  <c r="AG81" i="18"/>
  <c r="AF81" i="18"/>
  <c r="AE81" i="18"/>
  <c r="AD81" i="18"/>
  <c r="AC81" i="18"/>
  <c r="AB81" i="18"/>
  <c r="AA81" i="18"/>
  <c r="U81" i="18"/>
  <c r="T81" i="18"/>
  <c r="AO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U80" i="18"/>
  <c r="T80" i="18"/>
  <c r="AO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U79" i="18"/>
  <c r="T79" i="18"/>
  <c r="AO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U78" i="18"/>
  <c r="T78" i="18"/>
  <c r="AO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U77" i="18"/>
  <c r="T77" i="18"/>
  <c r="AO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AO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U75" i="18"/>
  <c r="T75" i="18"/>
  <c r="AO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U74" i="18"/>
  <c r="T74" i="18"/>
  <c r="AO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U73" i="18"/>
  <c r="T73" i="18"/>
  <c r="AO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U72" i="18"/>
  <c r="T72" i="18"/>
  <c r="AO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U71" i="18"/>
  <c r="T71" i="18"/>
  <c r="J65" i="18"/>
  <c r="M64" i="18"/>
  <c r="L64" i="18"/>
  <c r="J64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AO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U61" i="18"/>
  <c r="T61" i="18"/>
  <c r="AO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U60" i="18"/>
  <c r="T60" i="18"/>
  <c r="AO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U59" i="18"/>
  <c r="T59" i="18"/>
  <c r="AO58" i="18"/>
  <c r="AL58" i="18"/>
  <c r="AK58" i="18"/>
  <c r="AJ58" i="18"/>
  <c r="AI58" i="18"/>
  <c r="AH58" i="18"/>
  <c r="AG58" i="18"/>
  <c r="AF58" i="18"/>
  <c r="AE58" i="18"/>
  <c r="AD58" i="18"/>
  <c r="AC58" i="18"/>
  <c r="AB58" i="18"/>
  <c r="AA58" i="18"/>
  <c r="U58" i="18"/>
  <c r="T58" i="18"/>
  <c r="AO57" i="18"/>
  <c r="AL57" i="18"/>
  <c r="AK57" i="18"/>
  <c r="AJ57" i="18"/>
  <c r="AI57" i="18"/>
  <c r="AH57" i="18"/>
  <c r="AG57" i="18"/>
  <c r="AF57" i="18"/>
  <c r="AE57" i="18"/>
  <c r="AD57" i="18"/>
  <c r="AC57" i="18"/>
  <c r="AB57" i="18"/>
  <c r="AA57" i="18"/>
  <c r="U57" i="18"/>
  <c r="T57" i="18"/>
  <c r="AO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U56" i="18"/>
  <c r="T56" i="18"/>
  <c r="AO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U55" i="18"/>
  <c r="T55" i="18"/>
  <c r="AO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U54" i="18"/>
  <c r="T54" i="18"/>
  <c r="AO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U53" i="18"/>
  <c r="T53" i="18"/>
  <c r="AO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U52" i="18"/>
  <c r="T52" i="18"/>
  <c r="AO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U51" i="18"/>
  <c r="T51" i="18"/>
  <c r="AO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U50" i="18"/>
  <c r="T50" i="18"/>
  <c r="J44" i="18"/>
  <c r="M43" i="18"/>
  <c r="L43" i="18"/>
  <c r="J43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AO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U40" i="18"/>
  <c r="T40" i="18"/>
  <c r="AO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U39" i="18"/>
  <c r="T39" i="18"/>
  <c r="AO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U38" i="18"/>
  <c r="T38" i="18"/>
  <c r="AO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U37" i="18"/>
  <c r="T37" i="18"/>
  <c r="AO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U36" i="18"/>
  <c r="T36" i="18"/>
  <c r="AO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U35" i="18"/>
  <c r="T35" i="18"/>
  <c r="AO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U34" i="18"/>
  <c r="T34" i="18"/>
  <c r="AO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U33" i="18"/>
  <c r="T33" i="18"/>
  <c r="AO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U32" i="18"/>
  <c r="T32" i="18"/>
  <c r="AO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U31" i="18"/>
  <c r="T31" i="18"/>
  <c r="AO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U30" i="18"/>
  <c r="T30" i="18"/>
  <c r="AO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U29" i="18"/>
  <c r="T29" i="18"/>
  <c r="J23" i="18"/>
  <c r="M22" i="18"/>
  <c r="L22" i="18"/>
  <c r="J22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O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U19" i="18"/>
  <c r="T19" i="18"/>
  <c r="AO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U18" i="18"/>
  <c r="T18" i="18"/>
  <c r="AO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U17" i="18"/>
  <c r="T17" i="18"/>
  <c r="AO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U16" i="18"/>
  <c r="T16" i="18"/>
  <c r="AO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U15" i="18"/>
  <c r="T15" i="18"/>
  <c r="AO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U14" i="18"/>
  <c r="T14" i="18"/>
  <c r="AO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U13" i="18"/>
  <c r="T13" i="18"/>
  <c r="AO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U12" i="18"/>
  <c r="T12" i="18"/>
  <c r="AO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U11" i="18"/>
  <c r="T11" i="18"/>
  <c r="AO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U10" i="18"/>
  <c r="T10" i="18"/>
  <c r="AO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U9" i="18"/>
  <c r="T9" i="18"/>
  <c r="AO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U8" i="18"/>
  <c r="T8" i="18"/>
  <c r="U346" i="17"/>
  <c r="T346" i="17"/>
  <c r="AB97" i="18" l="1"/>
  <c r="AL97" i="18"/>
  <c r="AA97" i="18"/>
  <c r="AD97" i="18"/>
  <c r="E642" i="18"/>
  <c r="I642" i="18" s="1"/>
  <c r="T223" i="18"/>
  <c r="T224" i="18" s="1"/>
  <c r="AN317" i="18"/>
  <c r="AQ317" i="18" s="1"/>
  <c r="AN321" i="18"/>
  <c r="AQ321" i="18" s="1"/>
  <c r="AN325" i="18"/>
  <c r="AQ325" i="18" s="1"/>
  <c r="AA327" i="18"/>
  <c r="D637" i="18"/>
  <c r="H637" i="18" s="1"/>
  <c r="T286" i="18"/>
  <c r="T287" i="18" s="1"/>
  <c r="T64" i="18"/>
  <c r="T65" i="18" s="1"/>
  <c r="U22" i="18"/>
  <c r="U23" i="18" s="1"/>
  <c r="U64" i="18"/>
  <c r="U65" i="18" s="1"/>
  <c r="T22" i="18"/>
  <c r="T23" i="18" s="1"/>
  <c r="T43" i="18"/>
  <c r="T44" i="18" s="1"/>
  <c r="AN77" i="18"/>
  <c r="AQ77" i="18" s="1"/>
  <c r="AM282" i="18"/>
  <c r="AP282" i="18" s="1"/>
  <c r="AB42" i="18"/>
  <c r="AA222" i="18"/>
  <c r="U286" i="18"/>
  <c r="U287" i="18" s="1"/>
  <c r="AB222" i="18"/>
  <c r="AN293" i="18"/>
  <c r="AQ293" i="18" s="1"/>
  <c r="M619" i="18"/>
  <c r="O619" i="18" s="1"/>
  <c r="AN302" i="18"/>
  <c r="AQ302" i="18" s="1"/>
  <c r="AM344" i="18"/>
  <c r="AP344" i="18" s="1"/>
  <c r="AN298" i="18"/>
  <c r="AQ298" i="18" s="1"/>
  <c r="AM259" i="18"/>
  <c r="AP259" i="18" s="1"/>
  <c r="AM220" i="18"/>
  <c r="AP220" i="18" s="1"/>
  <c r="AM340" i="18"/>
  <c r="AP340" i="18" s="1"/>
  <c r="AN105" i="18"/>
  <c r="AM325" i="18"/>
  <c r="AP325" i="18" s="1"/>
  <c r="AM153" i="18"/>
  <c r="AP153" i="18" s="1"/>
  <c r="AM199" i="18"/>
  <c r="AP199" i="18" s="1"/>
  <c r="AN238" i="18"/>
  <c r="AQ238" i="18" s="1"/>
  <c r="U160" i="18"/>
  <c r="U161" i="18" s="1"/>
  <c r="AM234" i="18"/>
  <c r="AP234" i="18" s="1"/>
  <c r="AK285" i="18"/>
  <c r="AM293" i="18"/>
  <c r="AP293" i="18" s="1"/>
  <c r="AM32" i="18"/>
  <c r="AP32" i="18" s="1"/>
  <c r="AK159" i="18"/>
  <c r="AN278" i="18"/>
  <c r="AQ278" i="18" s="1"/>
  <c r="U85" i="18"/>
  <c r="U86" i="18" s="1"/>
  <c r="AN128" i="18"/>
  <c r="AQ128" i="18" s="1"/>
  <c r="AL159" i="18"/>
  <c r="AM301" i="18"/>
  <c r="AP301" i="18" s="1"/>
  <c r="AC222" i="18"/>
  <c r="AK306" i="18"/>
  <c r="AN322" i="18"/>
  <c r="AQ322" i="18" s="1"/>
  <c r="L621" i="18"/>
  <c r="N621" i="18" s="1"/>
  <c r="AM335" i="18"/>
  <c r="AP335" i="18" s="1"/>
  <c r="T139" i="18"/>
  <c r="T140" i="18" s="1"/>
  <c r="AM152" i="18"/>
  <c r="AP152" i="18" s="1"/>
  <c r="T181" i="18"/>
  <c r="T182" i="18" s="1"/>
  <c r="AM173" i="18"/>
  <c r="AP173" i="18" s="1"/>
  <c r="AM219" i="18"/>
  <c r="AP219" i="18" s="1"/>
  <c r="AB306" i="18"/>
  <c r="AL306" i="18"/>
  <c r="M611" i="18"/>
  <c r="O611" i="18" s="1"/>
  <c r="M616" i="18"/>
  <c r="O616" i="18" s="1"/>
  <c r="AC306" i="18"/>
  <c r="AN345" i="18"/>
  <c r="AQ345" i="18" s="1"/>
  <c r="AM193" i="18"/>
  <c r="AP193" i="18" s="1"/>
  <c r="AN219" i="18"/>
  <c r="AQ219" i="18" s="1"/>
  <c r="AN10" i="18"/>
  <c r="AQ10" i="18" s="1"/>
  <c r="AN14" i="18"/>
  <c r="AQ14" i="18" s="1"/>
  <c r="AM39" i="18"/>
  <c r="AP39" i="18" s="1"/>
  <c r="N120" i="18"/>
  <c r="N110" i="18" s="1"/>
  <c r="H120" i="18"/>
  <c r="H110" i="18" s="1"/>
  <c r="L120" i="18"/>
  <c r="J120" i="18"/>
  <c r="D120" i="18"/>
  <c r="D110" i="18" s="1"/>
  <c r="R120" i="18"/>
  <c r="P120" i="18"/>
  <c r="F120" i="18"/>
  <c r="F110" i="18" s="1"/>
  <c r="AN193" i="18"/>
  <c r="AQ193" i="18" s="1"/>
  <c r="AN283" i="18"/>
  <c r="AQ283" i="18" s="1"/>
  <c r="AD306" i="18"/>
  <c r="AM296" i="18"/>
  <c r="AP296" i="18" s="1"/>
  <c r="AN300" i="18"/>
  <c r="AQ300" i="18" s="1"/>
  <c r="AN13" i="18"/>
  <c r="AQ13" i="18" s="1"/>
  <c r="AM216" i="18"/>
  <c r="AP216" i="18" s="1"/>
  <c r="E120" i="18"/>
  <c r="E110" i="18" s="1"/>
  <c r="M120" i="18"/>
  <c r="K120" i="18"/>
  <c r="I120" i="18"/>
  <c r="I110" i="18" s="1"/>
  <c r="S120" i="18"/>
  <c r="Q120" i="18"/>
  <c r="O120" i="18"/>
  <c r="O110" i="18" s="1"/>
  <c r="G120" i="18"/>
  <c r="G110" i="18" s="1"/>
  <c r="AM113" i="18"/>
  <c r="AN168" i="18"/>
  <c r="AQ168" i="18" s="1"/>
  <c r="AN172" i="18"/>
  <c r="AQ172" i="18" s="1"/>
  <c r="AN216" i="18"/>
  <c r="AQ216" i="18" s="1"/>
  <c r="AM76" i="18"/>
  <c r="AP76" i="18" s="1"/>
  <c r="AN76" i="18"/>
  <c r="AQ76" i="18" s="1"/>
  <c r="AN106" i="18"/>
  <c r="AM129" i="18"/>
  <c r="AP129" i="18" s="1"/>
  <c r="AM213" i="18"/>
  <c r="AP213" i="18" s="1"/>
  <c r="AE285" i="18"/>
  <c r="AN277" i="18"/>
  <c r="AQ277" i="18" s="1"/>
  <c r="AN342" i="18"/>
  <c r="AQ342" i="18" s="1"/>
  <c r="AN33" i="18"/>
  <c r="AQ33" i="18" s="1"/>
  <c r="AN299" i="18"/>
  <c r="AQ299" i="18" s="1"/>
  <c r="AM13" i="18"/>
  <c r="AP13" i="18" s="1"/>
  <c r="AC42" i="18"/>
  <c r="AM298" i="18"/>
  <c r="AP298" i="18" s="1"/>
  <c r="AM12" i="18"/>
  <c r="AP12" i="18" s="1"/>
  <c r="AN154" i="18"/>
  <c r="AQ154" i="18" s="1"/>
  <c r="AN175" i="18"/>
  <c r="AQ175" i="18" s="1"/>
  <c r="AN213" i="18"/>
  <c r="AQ213" i="18" s="1"/>
  <c r="AF285" i="18"/>
  <c r="AM277" i="18"/>
  <c r="AP277" i="18" s="1"/>
  <c r="AM31" i="18"/>
  <c r="AP31" i="18" s="1"/>
  <c r="AM75" i="18"/>
  <c r="AP75" i="18" s="1"/>
  <c r="AM105" i="18"/>
  <c r="AN336" i="18"/>
  <c r="AQ336" i="18" s="1"/>
  <c r="AM71" i="18"/>
  <c r="AP71" i="18" s="1"/>
  <c r="AL348" i="18"/>
  <c r="AK348" i="18"/>
  <c r="AN251" i="18"/>
  <c r="AQ251" i="18" s="1"/>
  <c r="AM167" i="18"/>
  <c r="AP167" i="18" s="1"/>
  <c r="T160" i="18"/>
  <c r="T161" i="18" s="1"/>
  <c r="AN71" i="18"/>
  <c r="AQ71" i="18" s="1"/>
  <c r="AM50" i="18"/>
  <c r="AP50" i="18" s="1"/>
  <c r="AN8" i="18"/>
  <c r="AQ8" i="18" s="1"/>
  <c r="L539" i="18"/>
  <c r="M539" i="18"/>
  <c r="M476" i="18"/>
  <c r="L611" i="18"/>
  <c r="N611" i="18" s="1"/>
  <c r="H623" i="18"/>
  <c r="M617" i="18"/>
  <c r="O617" i="18" s="1"/>
  <c r="L615" i="18"/>
  <c r="N615" i="18" s="1"/>
  <c r="L616" i="18"/>
  <c r="N616" i="18" s="1"/>
  <c r="L614" i="18"/>
  <c r="N614" i="18" s="1"/>
  <c r="M614" i="18"/>
  <c r="O614" i="18" s="1"/>
  <c r="L619" i="18"/>
  <c r="N619" i="18" s="1"/>
  <c r="M621" i="18"/>
  <c r="O621" i="18" s="1"/>
  <c r="M610" i="18"/>
  <c r="O610" i="18" s="1"/>
  <c r="M615" i="18"/>
  <c r="O615" i="18" s="1"/>
  <c r="L610" i="18"/>
  <c r="N610" i="18" s="1"/>
  <c r="L620" i="18"/>
  <c r="N620" i="18" s="1"/>
  <c r="M620" i="18"/>
  <c r="O620" i="18" s="1"/>
  <c r="G623" i="18"/>
  <c r="M618" i="18"/>
  <c r="O618" i="18" s="1"/>
  <c r="X391" i="18"/>
  <c r="AM341" i="18"/>
  <c r="AP341" i="18" s="1"/>
  <c r="AN341" i="18"/>
  <c r="AQ341" i="18" s="1"/>
  <c r="AM343" i="18"/>
  <c r="AP343" i="18" s="1"/>
  <c r="AN343" i="18"/>
  <c r="AQ343" i="18" s="1"/>
  <c r="U327" i="18"/>
  <c r="AN316" i="18"/>
  <c r="AQ316" i="18" s="1"/>
  <c r="AN324" i="18"/>
  <c r="AQ324" i="18" s="1"/>
  <c r="AM324" i="18"/>
  <c r="AP324" i="18" s="1"/>
  <c r="AM323" i="18"/>
  <c r="AP323" i="18" s="1"/>
  <c r="T327" i="18"/>
  <c r="AN323" i="18"/>
  <c r="AQ323" i="18" s="1"/>
  <c r="AN318" i="18"/>
  <c r="AQ318" i="18" s="1"/>
  <c r="AB327" i="18"/>
  <c r="AM322" i="18"/>
  <c r="AP322" i="18" s="1"/>
  <c r="AM321" i="18"/>
  <c r="AP321" i="18" s="1"/>
  <c r="AM276" i="18"/>
  <c r="AP276" i="18" s="1"/>
  <c r="AN276" i="18"/>
  <c r="AQ276" i="18" s="1"/>
  <c r="AM275" i="18"/>
  <c r="AP275" i="18" s="1"/>
  <c r="AH285" i="18"/>
  <c r="AA285" i="18"/>
  <c r="AK264" i="18"/>
  <c r="AN258" i="18"/>
  <c r="AQ258" i="18" s="1"/>
  <c r="AM262" i="18"/>
  <c r="AP262" i="18" s="1"/>
  <c r="AN262" i="18"/>
  <c r="AQ262" i="18" s="1"/>
  <c r="AM253" i="18"/>
  <c r="AP253" i="18" s="1"/>
  <c r="AN255" i="18"/>
  <c r="AQ255" i="18" s="1"/>
  <c r="AG264" i="18"/>
  <c r="AA264" i="18"/>
  <c r="AN254" i="18"/>
  <c r="AQ254" i="18" s="1"/>
  <c r="AM256" i="18"/>
  <c r="AP256" i="18" s="1"/>
  <c r="AN257" i="18"/>
  <c r="AQ257" i="18" s="1"/>
  <c r="AN252" i="18"/>
  <c r="AQ252" i="18" s="1"/>
  <c r="AM254" i="18"/>
  <c r="AP254" i="18" s="1"/>
  <c r="AN260" i="18"/>
  <c r="AQ260" i="18" s="1"/>
  <c r="AL264" i="18"/>
  <c r="AN233" i="18"/>
  <c r="AQ233" i="18" s="1"/>
  <c r="AM237" i="18"/>
  <c r="AP237" i="18" s="1"/>
  <c r="AM236" i="18"/>
  <c r="AP236" i="18" s="1"/>
  <c r="AM239" i="18"/>
  <c r="AP239" i="18" s="1"/>
  <c r="AN239" i="18"/>
  <c r="AQ239" i="18" s="1"/>
  <c r="AD222" i="18"/>
  <c r="AN215" i="18"/>
  <c r="AQ215" i="18" s="1"/>
  <c r="AM214" i="18"/>
  <c r="AP214" i="18" s="1"/>
  <c r="AN214" i="18"/>
  <c r="AQ214" i="18" s="1"/>
  <c r="AM215" i="18"/>
  <c r="AP215" i="18" s="1"/>
  <c r="AN212" i="18"/>
  <c r="AQ212" i="18" s="1"/>
  <c r="AM212" i="18"/>
  <c r="AP212" i="18" s="1"/>
  <c r="AM211" i="18"/>
  <c r="AP211" i="18" s="1"/>
  <c r="AN198" i="18"/>
  <c r="AQ198" i="18" s="1"/>
  <c r="AM197" i="18"/>
  <c r="AP197" i="18" s="1"/>
  <c r="AN196" i="18"/>
  <c r="AQ196" i="18" s="1"/>
  <c r="AM195" i="18"/>
  <c r="AP195" i="18" s="1"/>
  <c r="AN195" i="18"/>
  <c r="AQ195" i="18" s="1"/>
  <c r="T202" i="18"/>
  <c r="T203" i="18" s="1"/>
  <c r="AD201" i="18"/>
  <c r="AM194" i="18"/>
  <c r="AP194" i="18" s="1"/>
  <c r="AL180" i="18"/>
  <c r="AC180" i="18"/>
  <c r="AM178" i="18"/>
  <c r="AP178" i="18" s="1"/>
  <c r="AN169" i="18"/>
  <c r="AQ169" i="18" s="1"/>
  <c r="AN173" i="18"/>
  <c r="AQ173" i="18" s="1"/>
  <c r="AA180" i="18"/>
  <c r="AM169" i="18"/>
  <c r="AP169" i="18" s="1"/>
  <c r="AB180" i="18"/>
  <c r="AM168" i="18"/>
  <c r="AP168" i="18" s="1"/>
  <c r="AM172" i="18"/>
  <c r="AP172" i="18" s="1"/>
  <c r="AN177" i="18"/>
  <c r="AQ177" i="18" s="1"/>
  <c r="AM171" i="18"/>
  <c r="AP171" i="18" s="1"/>
  <c r="AN157" i="18"/>
  <c r="AQ157" i="18" s="1"/>
  <c r="AN152" i="18"/>
  <c r="AQ152" i="18" s="1"/>
  <c r="AN147" i="18"/>
  <c r="AQ147" i="18" s="1"/>
  <c r="AN151" i="18"/>
  <c r="AQ151" i="18" s="1"/>
  <c r="AN153" i="18"/>
  <c r="AQ153" i="18" s="1"/>
  <c r="AN127" i="18"/>
  <c r="AQ127" i="18" s="1"/>
  <c r="AM135" i="18"/>
  <c r="AP135" i="18" s="1"/>
  <c r="AM127" i="18"/>
  <c r="AP127" i="18" s="1"/>
  <c r="AM126" i="18"/>
  <c r="AP126" i="18" s="1"/>
  <c r="AN126" i="18"/>
  <c r="AQ126" i="18" s="1"/>
  <c r="AN125" i="18"/>
  <c r="AQ125" i="18" s="1"/>
  <c r="AN134" i="18"/>
  <c r="AQ134" i="18" s="1"/>
  <c r="AM133" i="18"/>
  <c r="AP133" i="18" s="1"/>
  <c r="AE138" i="18"/>
  <c r="AN103" i="18"/>
  <c r="AM103" i="18"/>
  <c r="AN113" i="18"/>
  <c r="AN107" i="18"/>
  <c r="AM106" i="18"/>
  <c r="U84" i="18"/>
  <c r="AM79" i="18"/>
  <c r="AP79" i="18" s="1"/>
  <c r="AA364" i="18"/>
  <c r="AL84" i="18"/>
  <c r="AB364" i="18"/>
  <c r="AE84" i="18"/>
  <c r="AN74" i="18"/>
  <c r="AQ74" i="18" s="1"/>
  <c r="AN82" i="18"/>
  <c r="AQ82" i="18" s="1"/>
  <c r="AN73" i="18"/>
  <c r="AQ73" i="18" s="1"/>
  <c r="AM73" i="18"/>
  <c r="AP73" i="18" s="1"/>
  <c r="AM72" i="18"/>
  <c r="AP72" i="18" s="1"/>
  <c r="AN72" i="18"/>
  <c r="AQ72" i="18" s="1"/>
  <c r="AM81" i="18"/>
  <c r="AP81" i="18" s="1"/>
  <c r="AN59" i="18"/>
  <c r="AQ59" i="18" s="1"/>
  <c r="AN54" i="18"/>
  <c r="AQ54" i="18" s="1"/>
  <c r="AN52" i="18"/>
  <c r="AQ52" i="18" s="1"/>
  <c r="T63" i="18"/>
  <c r="AI63" i="18"/>
  <c r="AM61" i="18"/>
  <c r="AP61" i="18" s="1"/>
  <c r="AM53" i="18"/>
  <c r="AP53" i="18" s="1"/>
  <c r="AM52" i="18"/>
  <c r="AP52" i="18" s="1"/>
  <c r="AN61" i="18"/>
  <c r="AQ61" i="18" s="1"/>
  <c r="AM51" i="18"/>
  <c r="AP51" i="18" s="1"/>
  <c r="AA362" i="18"/>
  <c r="AD42" i="18"/>
  <c r="AN30" i="18"/>
  <c r="AQ30" i="18" s="1"/>
  <c r="AM38" i="18"/>
  <c r="AP38" i="18" s="1"/>
  <c r="AG42" i="18"/>
  <c r="AH42" i="18"/>
  <c r="AM33" i="18"/>
  <c r="AP33" i="18" s="1"/>
  <c r="AN36" i="18"/>
  <c r="AQ36" i="18" s="1"/>
  <c r="AN35" i="18"/>
  <c r="AQ35" i="18" s="1"/>
  <c r="AN32" i="18"/>
  <c r="AQ32" i="18" s="1"/>
  <c r="AM35" i="18"/>
  <c r="AP35" i="18" s="1"/>
  <c r="AN40" i="18"/>
  <c r="AQ40" i="18" s="1"/>
  <c r="AM34" i="18"/>
  <c r="AP34" i="18" s="1"/>
  <c r="AN31" i="18"/>
  <c r="AQ31" i="18" s="1"/>
  <c r="AN34" i="18"/>
  <c r="AQ34" i="18" s="1"/>
  <c r="AK21" i="18"/>
  <c r="AM14" i="18"/>
  <c r="AP14" i="18" s="1"/>
  <c r="AM9" i="18"/>
  <c r="AP9" i="18" s="1"/>
  <c r="AN11" i="18"/>
  <c r="AQ11" i="18" s="1"/>
  <c r="T364" i="18"/>
  <c r="U364" i="18"/>
  <c r="AN12" i="18"/>
  <c r="AQ12" i="18" s="1"/>
  <c r="D639" i="18"/>
  <c r="H639" i="18" s="1"/>
  <c r="AB362" i="18"/>
  <c r="E639" i="18"/>
  <c r="I639" i="18" s="1"/>
  <c r="AM11" i="18"/>
  <c r="AP11" i="18" s="1"/>
  <c r="D640" i="18"/>
  <c r="H640" i="18" s="1"/>
  <c r="AA367" i="18"/>
  <c r="AM10" i="18"/>
  <c r="AP10" i="18" s="1"/>
  <c r="AN15" i="18"/>
  <c r="AQ15" i="18" s="1"/>
  <c r="AE21" i="18"/>
  <c r="AL243" i="18"/>
  <c r="AN234" i="18"/>
  <c r="AQ234" i="18" s="1"/>
  <c r="AA359" i="18"/>
  <c r="D634" i="18"/>
  <c r="H634" i="18" s="1"/>
  <c r="AN167" i="18"/>
  <c r="AM297" i="18"/>
  <c r="AP297" i="18" s="1"/>
  <c r="AA366" i="18"/>
  <c r="AM366" i="18" s="1"/>
  <c r="D641" i="18"/>
  <c r="H641" i="18" s="1"/>
  <c r="T366" i="18"/>
  <c r="AN19" i="18"/>
  <c r="AQ19" i="18" s="1"/>
  <c r="E641" i="18"/>
  <c r="I641" i="18" s="1"/>
  <c r="AB366" i="18"/>
  <c r="AM19" i="18"/>
  <c r="AP19" i="18" s="1"/>
  <c r="AI21" i="18"/>
  <c r="AN38" i="18"/>
  <c r="AQ38" i="18" s="1"/>
  <c r="AM112" i="18"/>
  <c r="N547" i="18"/>
  <c r="L560" i="18"/>
  <c r="AF21" i="18"/>
  <c r="AK115" i="18"/>
  <c r="R368" i="18"/>
  <c r="AK368" i="18" s="1"/>
  <c r="AM281" i="18"/>
  <c r="AP281" i="18" s="1"/>
  <c r="AN51" i="18"/>
  <c r="AQ51" i="18" s="1"/>
  <c r="AN55" i="18"/>
  <c r="AQ55" i="18" s="1"/>
  <c r="AM150" i="18"/>
  <c r="AP150" i="18" s="1"/>
  <c r="AN199" i="18"/>
  <c r="AQ199" i="18" s="1"/>
  <c r="Y391" i="18"/>
  <c r="M359" i="18"/>
  <c r="AF359" i="18" s="1"/>
  <c r="AF97" i="18"/>
  <c r="U97" i="18"/>
  <c r="D368" i="18"/>
  <c r="AA115" i="18"/>
  <c r="AN150" i="18"/>
  <c r="AQ150" i="18" s="1"/>
  <c r="AL201" i="18"/>
  <c r="T362" i="18"/>
  <c r="G645" i="18"/>
  <c r="AM57" i="18"/>
  <c r="AP57" i="18" s="1"/>
  <c r="N359" i="18"/>
  <c r="AG97" i="18"/>
  <c r="T97" i="18"/>
  <c r="U362" i="18"/>
  <c r="AM54" i="18"/>
  <c r="AP54" i="18" s="1"/>
  <c r="AN275" i="18"/>
  <c r="AQ275" i="18" s="1"/>
  <c r="AA42" i="18"/>
  <c r="F623" i="18"/>
  <c r="AK42" i="18"/>
  <c r="AN256" i="18"/>
  <c r="AQ256" i="18" s="1"/>
  <c r="AD264" i="18"/>
  <c r="AH63" i="18"/>
  <c r="AA84" i="18"/>
  <c r="AM74" i="18"/>
  <c r="AP74" i="18" s="1"/>
  <c r="AN81" i="18"/>
  <c r="AQ81" i="18" s="1"/>
  <c r="AM274" i="18"/>
  <c r="AP274" i="18" s="1"/>
  <c r="AM30" i="18"/>
  <c r="AP30" i="18" s="1"/>
  <c r="AI138" i="18"/>
  <c r="AE264" i="18"/>
  <c r="AM251" i="18"/>
  <c r="AN274" i="18"/>
  <c r="AQ274" i="18" s="1"/>
  <c r="AE42" i="18"/>
  <c r="AF42" i="18"/>
  <c r="AK138" i="18"/>
  <c r="AG285" i="18"/>
  <c r="AN297" i="18"/>
  <c r="AQ297" i="18" s="1"/>
  <c r="L618" i="18"/>
  <c r="N618" i="18" s="1"/>
  <c r="AJ63" i="18"/>
  <c r="AN50" i="18"/>
  <c r="AH138" i="18"/>
  <c r="AM192" i="18"/>
  <c r="AP192" i="18" s="1"/>
  <c r="U222" i="18"/>
  <c r="U223" i="18"/>
  <c r="U224" i="18" s="1"/>
  <c r="AN211" i="18"/>
  <c r="AQ211" i="18" s="1"/>
  <c r="AF363" i="18"/>
  <c r="K638" i="18"/>
  <c r="U363" i="18"/>
  <c r="I623" i="18"/>
  <c r="AN155" i="18"/>
  <c r="AQ155" i="18" s="1"/>
  <c r="AM190" i="18"/>
  <c r="AP190" i="18" s="1"/>
  <c r="AG201" i="18"/>
  <c r="AH222" i="18"/>
  <c r="AF264" i="18"/>
  <c r="AN281" i="18"/>
  <c r="AQ281" i="18" s="1"/>
  <c r="AL42" i="18"/>
  <c r="T84" i="18"/>
  <c r="I368" i="18"/>
  <c r="AM111" i="18"/>
  <c r="AP111" i="18" s="1"/>
  <c r="AN133" i="18"/>
  <c r="AQ133" i="18" s="1"/>
  <c r="AM149" i="18"/>
  <c r="AP149" i="18" s="1"/>
  <c r="AM154" i="18"/>
  <c r="AP154" i="18" s="1"/>
  <c r="AN190" i="18"/>
  <c r="AQ190" i="18" s="1"/>
  <c r="AM233" i="18"/>
  <c r="AP233" i="18" s="1"/>
  <c r="T285" i="18"/>
  <c r="AM18" i="18"/>
  <c r="AP18" i="18" s="1"/>
  <c r="AG21" i="18"/>
  <c r="T42" i="18"/>
  <c r="AN149" i="18"/>
  <c r="AQ149" i="18" s="1"/>
  <c r="AH264" i="18"/>
  <c r="U285" i="18"/>
  <c r="AN301" i="18"/>
  <c r="AQ301" i="18" s="1"/>
  <c r="AC368" i="18"/>
  <c r="L434" i="18"/>
  <c r="AN18" i="18"/>
  <c r="AQ18" i="18" s="1"/>
  <c r="AH21" i="18"/>
  <c r="AI42" i="18"/>
  <c r="AM29" i="18"/>
  <c r="AA159" i="18"/>
  <c r="U202" i="18"/>
  <c r="U203" i="18" s="1"/>
  <c r="U201" i="18"/>
  <c r="AM189" i="18"/>
  <c r="AP189" i="18" s="1"/>
  <c r="AN194" i="18"/>
  <c r="AQ194" i="18" s="1"/>
  <c r="AM198" i="18"/>
  <c r="AP198" i="18" s="1"/>
  <c r="AA243" i="18"/>
  <c r="AK243" i="18"/>
  <c r="AM241" i="18"/>
  <c r="AP241" i="18" s="1"/>
  <c r="AI264" i="18"/>
  <c r="U365" i="18"/>
  <c r="AC367" i="18"/>
  <c r="J642" i="18"/>
  <c r="M602" i="18"/>
  <c r="O589" i="18"/>
  <c r="AA21" i="18"/>
  <c r="AN29" i="18"/>
  <c r="AM58" i="18"/>
  <c r="AP58" i="18" s="1"/>
  <c r="AJ138" i="18"/>
  <c r="AB159" i="18"/>
  <c r="AA201" i="18"/>
  <c r="AF201" i="18"/>
  <c r="T201" i="18"/>
  <c r="AJ264" i="18"/>
  <c r="AB285" i="18"/>
  <c r="AM300" i="18"/>
  <c r="AP300" i="18" s="1"/>
  <c r="K642" i="18"/>
  <c r="AD367" i="18"/>
  <c r="N421" i="18"/>
  <c r="AB21" i="18"/>
  <c r="AJ21" i="18"/>
  <c r="AC115" i="18"/>
  <c r="AM132" i="18"/>
  <c r="AP132" i="18" s="1"/>
  <c r="AB201" i="18"/>
  <c r="AE201" i="18"/>
  <c r="AN232" i="18"/>
  <c r="AQ232" i="18" s="1"/>
  <c r="AC285" i="18"/>
  <c r="AN295" i="18"/>
  <c r="AQ295" i="18" s="1"/>
  <c r="AM299" i="18"/>
  <c r="AP299" i="18" s="1"/>
  <c r="AM319" i="18"/>
  <c r="AP319" i="18" s="1"/>
  <c r="AG348" i="18"/>
  <c r="AN340" i="18"/>
  <c r="AQ340" i="18" s="1"/>
  <c r="AI348" i="18"/>
  <c r="AM17" i="18"/>
  <c r="AP17" i="18" s="1"/>
  <c r="AN53" i="18"/>
  <c r="AQ53" i="18" s="1"/>
  <c r="AL138" i="18"/>
  <c r="AN132" i="18"/>
  <c r="AQ132" i="18" s="1"/>
  <c r="AC201" i="18"/>
  <c r="T244" i="18"/>
  <c r="T245" i="18" s="1"/>
  <c r="T243" i="18"/>
  <c r="AM232" i="18"/>
  <c r="AP232" i="18" s="1"/>
  <c r="AN237" i="18"/>
  <c r="AQ237" i="18" s="1"/>
  <c r="AN241" i="18"/>
  <c r="AQ241" i="18" s="1"/>
  <c r="AH243" i="18"/>
  <c r="AD285" i="18"/>
  <c r="AM273" i="18"/>
  <c r="AP273" i="18" s="1"/>
  <c r="AN319" i="18"/>
  <c r="AQ319" i="18" s="1"/>
  <c r="AJ348" i="18"/>
  <c r="AH366" i="18"/>
  <c r="U366" i="18"/>
  <c r="J640" i="18"/>
  <c r="AD21" i="18"/>
  <c r="AM40" i="18"/>
  <c r="AP40" i="18" s="1"/>
  <c r="AE63" i="18"/>
  <c r="AE115" i="18"/>
  <c r="L368" i="18"/>
  <c r="AE368" i="18" s="1"/>
  <c r="AM125" i="18"/>
  <c r="AN197" i="18"/>
  <c r="AQ197" i="18" s="1"/>
  <c r="AN217" i="18"/>
  <c r="AQ217" i="18" s="1"/>
  <c r="U243" i="18"/>
  <c r="U244" i="18"/>
  <c r="U245" i="18" s="1"/>
  <c r="AN273" i="18"/>
  <c r="AQ273" i="18" s="1"/>
  <c r="AM304" i="18"/>
  <c r="AP304" i="18" s="1"/>
  <c r="M434" i="18"/>
  <c r="O422" i="18"/>
  <c r="K640" i="18"/>
  <c r="AF63" i="18"/>
  <c r="U63" i="18"/>
  <c r="N368" i="18"/>
  <c r="AG115" i="18"/>
  <c r="T115" i="18"/>
  <c r="AD138" i="18"/>
  <c r="AJ306" i="18"/>
  <c r="AJ327" i="18"/>
  <c r="AN314" i="18"/>
  <c r="AC327" i="18"/>
  <c r="AC362" i="18"/>
  <c r="J637" i="18"/>
  <c r="AN9" i="18"/>
  <c r="AQ9" i="18" s="1"/>
  <c r="AD84" i="18"/>
  <c r="AM107" i="18"/>
  <c r="AC138" i="18"/>
  <c r="AN259" i="18"/>
  <c r="AQ259" i="18" s="1"/>
  <c r="AK327" i="18"/>
  <c r="AD327" i="18"/>
  <c r="AM318" i="18"/>
  <c r="AP318" i="18" s="1"/>
  <c r="AM339" i="18"/>
  <c r="AP339" i="18" s="1"/>
  <c r="AD362" i="18"/>
  <c r="K637" i="18"/>
  <c r="AH365" i="18"/>
  <c r="P368" i="18"/>
  <c r="AI368" i="18" s="1"/>
  <c r="AN178" i="18"/>
  <c r="AQ178" i="18" s="1"/>
  <c r="AL327" i="18"/>
  <c r="AH348" i="18"/>
  <c r="AN339" i="18"/>
  <c r="AQ339" i="18" s="1"/>
  <c r="AL21" i="18"/>
  <c r="AG84" i="18"/>
  <c r="AF159" i="18"/>
  <c r="AM147" i="18"/>
  <c r="AP147" i="18" s="1"/>
  <c r="T222" i="18"/>
  <c r="AE363" i="18"/>
  <c r="J638" i="18"/>
  <c r="T363" i="18"/>
  <c r="K641" i="18"/>
  <c r="AM8" i="18"/>
  <c r="AN16" i="18"/>
  <c r="AQ16" i="18" s="1"/>
  <c r="AN39" i="18"/>
  <c r="AQ39" i="18" s="1"/>
  <c r="AM114" i="18"/>
  <c r="AK63" i="18"/>
  <c r="AN114" i="18"/>
  <c r="AJ180" i="18"/>
  <c r="AM258" i="18"/>
  <c r="AP258" i="18" s="1"/>
  <c r="AN338" i="18"/>
  <c r="AQ338" i="18" s="1"/>
  <c r="T367" i="18"/>
  <c r="M613" i="18"/>
  <c r="O613" i="18" s="1"/>
  <c r="AM82" i="18"/>
  <c r="AP82" i="18" s="1"/>
  <c r="AM15" i="18"/>
  <c r="AP15" i="18" s="1"/>
  <c r="U42" i="18"/>
  <c r="U43" i="18"/>
  <c r="U44" i="18" s="1"/>
  <c r="AJ42" i="18"/>
  <c r="AL63" i="18"/>
  <c r="AM60" i="18"/>
  <c r="AP60" i="18" s="1"/>
  <c r="AN75" i="18"/>
  <c r="AQ75" i="18" s="1"/>
  <c r="L359" i="18"/>
  <c r="AE359" i="18" s="1"/>
  <c r="AE97" i="18"/>
  <c r="AM151" i="18"/>
  <c r="AP151" i="18" s="1"/>
  <c r="AM157" i="18"/>
  <c r="AP157" i="18" s="1"/>
  <c r="AK180" i="18"/>
  <c r="AM177" i="18"/>
  <c r="AP177" i="18" s="1"/>
  <c r="AM257" i="18"/>
  <c r="AP257" i="18" s="1"/>
  <c r="AM338" i="18"/>
  <c r="AP338" i="18" s="1"/>
  <c r="O512" i="18"/>
  <c r="M518" i="18"/>
  <c r="O552" i="18"/>
  <c r="M560" i="18"/>
  <c r="AA138" i="18"/>
  <c r="AB138" i="18"/>
  <c r="AN130" i="18"/>
  <c r="AQ130" i="18" s="1"/>
  <c r="AM131" i="18"/>
  <c r="AP131" i="18" s="1"/>
  <c r="AN136" i="18"/>
  <c r="AQ136" i="18" s="1"/>
  <c r="AD180" i="18"/>
  <c r="AM255" i="18"/>
  <c r="AP255" i="18" s="1"/>
  <c r="AM261" i="18"/>
  <c r="AP261" i="18" s="1"/>
  <c r="AL285" i="18"/>
  <c r="AM283" i="18"/>
  <c r="AP283" i="18" s="1"/>
  <c r="AE306" i="18"/>
  <c r="AM294" i="18"/>
  <c r="AI306" i="18"/>
  <c r="AM342" i="18"/>
  <c r="AP342" i="18" s="1"/>
  <c r="K639" i="18"/>
  <c r="AL364" i="18"/>
  <c r="AE365" i="18"/>
  <c r="T365" i="18"/>
  <c r="M612" i="18"/>
  <c r="O612" i="18" s="1"/>
  <c r="AC159" i="18"/>
  <c r="AE180" i="18"/>
  <c r="AN171" i="18"/>
  <c r="AQ171" i="18" s="1"/>
  <c r="AN192" i="18"/>
  <c r="AQ192" i="18" s="1"/>
  <c r="AM209" i="18"/>
  <c r="AI222" i="18"/>
  <c r="AB243" i="18"/>
  <c r="L581" i="18"/>
  <c r="AD63" i="18"/>
  <c r="AN60" i="18"/>
  <c r="AQ60" i="18" s="1"/>
  <c r="AH84" i="18"/>
  <c r="AM196" i="18"/>
  <c r="AP196" i="18" s="1"/>
  <c r="AJ222" i="18"/>
  <c r="AN209" i="18"/>
  <c r="AE222" i="18"/>
  <c r="AC243" i="18"/>
  <c r="AM278" i="18"/>
  <c r="AP278" i="18" s="1"/>
  <c r="AM316" i="18"/>
  <c r="AP316" i="18" s="1"/>
  <c r="M581" i="18"/>
  <c r="AA63" i="18"/>
  <c r="AI84" i="18"/>
  <c r="AN131" i="18"/>
  <c r="AQ131" i="18" s="1"/>
  <c r="AM136" i="18"/>
  <c r="AP136" i="18" s="1"/>
  <c r="AK222" i="18"/>
  <c r="AD243" i="18"/>
  <c r="AM231" i="18"/>
  <c r="AP231" i="18" s="1"/>
  <c r="N571" i="18"/>
  <c r="AB63" i="18"/>
  <c r="AJ84" i="18"/>
  <c r="T138" i="18"/>
  <c r="AC63" i="18"/>
  <c r="AG63" i="18"/>
  <c r="AK84" i="18"/>
  <c r="AN80" i="18"/>
  <c r="AQ80" i="18" s="1"/>
  <c r="AN92" i="18"/>
  <c r="AM130" i="18"/>
  <c r="AP130" i="18" s="1"/>
  <c r="AD159" i="18"/>
  <c r="AN148" i="18"/>
  <c r="AQ148" i="18" s="1"/>
  <c r="AM170" i="18"/>
  <c r="AP170" i="18" s="1"/>
  <c r="AM191" i="18"/>
  <c r="AP191" i="18" s="1"/>
  <c r="AM235" i="18"/>
  <c r="AP235" i="18" s="1"/>
  <c r="AN261" i="18"/>
  <c r="AQ261" i="18" s="1"/>
  <c r="AF306" i="18"/>
  <c r="AN294" i="18"/>
  <c r="AQ294" i="18" s="1"/>
  <c r="AC348" i="18"/>
  <c r="AE348" i="18"/>
  <c r="AM337" i="18"/>
  <c r="AP337" i="18" s="1"/>
  <c r="D638" i="18"/>
  <c r="H638" i="18" s="1"/>
  <c r="N505" i="18"/>
  <c r="L518" i="18"/>
  <c r="AM59" i="18"/>
  <c r="AP59" i="18" s="1"/>
  <c r="AM80" i="18"/>
  <c r="AP80" i="18" s="1"/>
  <c r="AM92" i="18"/>
  <c r="AN170" i="18"/>
  <c r="AQ170" i="18" s="1"/>
  <c r="AN191" i="18"/>
  <c r="AQ191" i="18" s="1"/>
  <c r="AN235" i="18"/>
  <c r="AQ235" i="18" s="1"/>
  <c r="AG306" i="18"/>
  <c r="AM315" i="18"/>
  <c r="AP315" i="18" s="1"/>
  <c r="AD348" i="18"/>
  <c r="AN337" i="18"/>
  <c r="AQ337" i="18" s="1"/>
  <c r="T159" i="18"/>
  <c r="AM148" i="18"/>
  <c r="AP148" i="18" s="1"/>
  <c r="AM156" i="18"/>
  <c r="AP156" i="18" s="1"/>
  <c r="AH180" i="18"/>
  <c r="AN296" i="18"/>
  <c r="AQ296" i="18" s="1"/>
  <c r="AE327" i="18"/>
  <c r="AF367" i="18"/>
  <c r="U367" i="18"/>
  <c r="AM37" i="18"/>
  <c r="AP37" i="18" s="1"/>
  <c r="AN79" i="18"/>
  <c r="AQ79" i="18" s="1"/>
  <c r="AN111" i="18"/>
  <c r="AQ111" i="18" s="1"/>
  <c r="AN135" i="18"/>
  <c r="AQ135" i="18" s="1"/>
  <c r="U159" i="18"/>
  <c r="AN156" i="18"/>
  <c r="AQ156" i="18" s="1"/>
  <c r="AF180" i="18"/>
  <c r="AJ201" i="18"/>
  <c r="AN188" i="18"/>
  <c r="AM210" i="18"/>
  <c r="AP210" i="18" s="1"/>
  <c r="AN253" i="18"/>
  <c r="AQ253" i="18" s="1"/>
  <c r="AN280" i="18"/>
  <c r="AQ280" i="18" s="1"/>
  <c r="AA306" i="18"/>
  <c r="AF327" i="18"/>
  <c r="AN315" i="18"/>
  <c r="AQ315" i="18" s="1"/>
  <c r="T349" i="18"/>
  <c r="T348" i="18"/>
  <c r="AM346" i="18"/>
  <c r="AP346" i="18" s="1"/>
  <c r="J623" i="18"/>
  <c r="AN17" i="18"/>
  <c r="AQ17" i="18" s="1"/>
  <c r="AN37" i="18"/>
  <c r="AQ37" i="18" s="1"/>
  <c r="AF84" i="18"/>
  <c r="AM155" i="18"/>
  <c r="AP155" i="18" s="1"/>
  <c r="AG180" i="18"/>
  <c r="AK201" i="18"/>
  <c r="AN210" i="18"/>
  <c r="AQ210" i="18" s="1"/>
  <c r="AM218" i="18"/>
  <c r="AP218" i="18" s="1"/>
  <c r="AM252" i="18"/>
  <c r="AP252" i="18" s="1"/>
  <c r="AN303" i="18"/>
  <c r="AQ303" i="18" s="1"/>
  <c r="AG327" i="18"/>
  <c r="AM320" i="18"/>
  <c r="AP320" i="18" s="1"/>
  <c r="U349" i="18"/>
  <c r="U348" i="18"/>
  <c r="AF348" i="18"/>
  <c r="AM345" i="18"/>
  <c r="AP345" i="18" s="1"/>
  <c r="AN346" i="18"/>
  <c r="AQ346" i="18" s="1"/>
  <c r="AE364" i="18"/>
  <c r="J639" i="18"/>
  <c r="K623" i="18"/>
  <c r="AM36" i="18"/>
  <c r="AP36" i="18" s="1"/>
  <c r="AN56" i="18"/>
  <c r="AQ56" i="18" s="1"/>
  <c r="AN109" i="18"/>
  <c r="AQ109" i="18" s="1"/>
  <c r="AM176" i="18"/>
  <c r="AP176" i="18" s="1"/>
  <c r="AF222" i="18"/>
  <c r="AM240" i="18"/>
  <c r="AP240" i="18" s="1"/>
  <c r="AM279" i="18"/>
  <c r="AP279" i="18" s="1"/>
  <c r="T306" i="18"/>
  <c r="T307" i="18"/>
  <c r="T308" i="18" s="1"/>
  <c r="AH327" i="18"/>
  <c r="AN320" i="18"/>
  <c r="AQ320" i="18" s="1"/>
  <c r="AA348" i="18"/>
  <c r="E640" i="18"/>
  <c r="I640" i="18" s="1"/>
  <c r="AB365" i="18"/>
  <c r="T21" i="18"/>
  <c r="U21" i="18"/>
  <c r="AM16" i="18"/>
  <c r="AP16" i="18" s="1"/>
  <c r="AM55" i="18"/>
  <c r="AP55" i="18" s="1"/>
  <c r="AM56" i="18"/>
  <c r="AP56" i="18" s="1"/>
  <c r="I359" i="18"/>
  <c r="AM109" i="18"/>
  <c r="AP109" i="18" s="1"/>
  <c r="AG138" i="18"/>
  <c r="AE159" i="18"/>
  <c r="AI180" i="18"/>
  <c r="AN176" i="18"/>
  <c r="AQ176" i="18" s="1"/>
  <c r="AG222" i="18"/>
  <c r="AL222" i="18"/>
  <c r="AN240" i="18"/>
  <c r="AQ240" i="18" s="1"/>
  <c r="AN279" i="18"/>
  <c r="AQ279" i="18" s="1"/>
  <c r="AM295" i="18"/>
  <c r="AP295" i="18" s="1"/>
  <c r="AM302" i="18"/>
  <c r="AP302" i="18" s="1"/>
  <c r="AI327" i="18"/>
  <c r="AM314" i="18"/>
  <c r="AB348" i="18"/>
  <c r="L602" i="18"/>
  <c r="L613" i="18"/>
  <c r="N613" i="18" s="1"/>
  <c r="T85" i="18"/>
  <c r="T86" i="18" s="1"/>
  <c r="AG159" i="18"/>
  <c r="AN218" i="18"/>
  <c r="AQ218" i="18" s="1"/>
  <c r="T264" i="18"/>
  <c r="AH306" i="18"/>
  <c r="L413" i="18"/>
  <c r="F645" i="18"/>
  <c r="AC21" i="18"/>
  <c r="AN58" i="18"/>
  <c r="AQ58" i="18" s="1"/>
  <c r="AN78" i="18"/>
  <c r="AQ78" i="18" s="1"/>
  <c r="AI159" i="18"/>
  <c r="AM146" i="18"/>
  <c r="AG243" i="18"/>
  <c r="D642" i="18"/>
  <c r="H642" i="18" s="1"/>
  <c r="N400" i="18"/>
  <c r="O359" i="18"/>
  <c r="AH97" i="18"/>
  <c r="AM78" i="18"/>
  <c r="AP78" i="18" s="1"/>
  <c r="AH159" i="18"/>
  <c r="AM217" i="18"/>
  <c r="AP217" i="18" s="1"/>
  <c r="AF243" i="18"/>
  <c r="AN231" i="18"/>
  <c r="AQ231" i="18" s="1"/>
  <c r="AM336" i="18"/>
  <c r="J641" i="18"/>
  <c r="M413" i="18"/>
  <c r="AM175" i="18"/>
  <c r="AP175" i="18" s="1"/>
  <c r="AB84" i="18"/>
  <c r="AM77" i="18"/>
  <c r="AP77" i="18" s="1"/>
  <c r="AJ159" i="18"/>
  <c r="AN146" i="18"/>
  <c r="AN189" i="18"/>
  <c r="AQ189" i="18" s="1"/>
  <c r="AB264" i="18"/>
  <c r="AC264" i="18"/>
  <c r="T265" i="18"/>
  <c r="T266" i="18" s="1"/>
  <c r="AB367" i="18"/>
  <c r="O400" i="18"/>
  <c r="AC84" i="18"/>
  <c r="AN129" i="18"/>
  <c r="AQ129" i="18" s="1"/>
  <c r="T180" i="18"/>
  <c r="AN174" i="18"/>
  <c r="AQ174" i="18" s="1"/>
  <c r="AI243" i="18"/>
  <c r="AM230" i="18"/>
  <c r="T328" i="18"/>
  <c r="T351" i="18" s="1"/>
  <c r="AN344" i="18"/>
  <c r="AQ344" i="18" s="1"/>
  <c r="E637" i="18"/>
  <c r="I637" i="18" s="1"/>
  <c r="AN57" i="18"/>
  <c r="AQ57" i="18" s="1"/>
  <c r="AF138" i="18"/>
  <c r="AM128" i="18"/>
  <c r="AP128" i="18" s="1"/>
  <c r="U180" i="18"/>
  <c r="U181" i="18"/>
  <c r="U182" i="18" s="1"/>
  <c r="AM174" i="18"/>
  <c r="AP174" i="18" s="1"/>
  <c r="AJ243" i="18"/>
  <c r="AN230" i="18"/>
  <c r="AM238" i="18"/>
  <c r="AP238" i="18" s="1"/>
  <c r="AM303" i="18"/>
  <c r="AP303" i="18" s="1"/>
  <c r="U328" i="18"/>
  <c r="U351" i="18" s="1"/>
  <c r="AM317" i="18"/>
  <c r="AP317" i="18" s="1"/>
  <c r="L476" i="18"/>
  <c r="D623" i="18"/>
  <c r="AH201" i="18"/>
  <c r="AN220" i="18"/>
  <c r="AQ220" i="18" s="1"/>
  <c r="AI285" i="18"/>
  <c r="AM272" i="18"/>
  <c r="AN282" i="18"/>
  <c r="AQ282" i="18" s="1"/>
  <c r="U306" i="18"/>
  <c r="U307" i="18"/>
  <c r="U308" i="18" s="1"/>
  <c r="AN335" i="18"/>
  <c r="AA363" i="18"/>
  <c r="E623" i="18"/>
  <c r="AI201" i="18"/>
  <c r="AM188" i="18"/>
  <c r="AN236" i="18"/>
  <c r="AQ236" i="18" s="1"/>
  <c r="AJ285" i="18"/>
  <c r="AN272" i="18"/>
  <c r="E638" i="18"/>
  <c r="I638" i="18" s="1"/>
  <c r="AB363" i="18"/>
  <c r="AA365" i="18"/>
  <c r="E371" i="18"/>
  <c r="L612" i="18"/>
  <c r="N612" i="18" s="1"/>
  <c r="L617" i="18"/>
  <c r="N617" i="18" s="1"/>
  <c r="AN112" i="18"/>
  <c r="AE243" i="18"/>
  <c r="AM280" i="18"/>
  <c r="AP280" i="18" s="1"/>
  <c r="U138" i="18"/>
  <c r="AM134" i="18"/>
  <c r="AP134" i="18" s="1"/>
  <c r="U139" i="18"/>
  <c r="U140" i="18" s="1"/>
  <c r="U264" i="18"/>
  <c r="U265" i="18"/>
  <c r="U266" i="18" s="1"/>
  <c r="AM260" i="18"/>
  <c r="AP260" i="18" s="1"/>
  <c r="AN304" i="18"/>
  <c r="AQ304" i="18" s="1"/>
  <c r="U114" i="17"/>
  <c r="T114" i="17"/>
  <c r="AI108" i="18" l="1"/>
  <c r="P110" i="18"/>
  <c r="AI110" i="18" s="1"/>
  <c r="AA110" i="18"/>
  <c r="AC108" i="18"/>
  <c r="J110" i="18"/>
  <c r="AC110" i="18" s="1"/>
  <c r="AE108" i="18"/>
  <c r="L110" i="18"/>
  <c r="AE110" i="18" s="1"/>
  <c r="AH110" i="18"/>
  <c r="AL108" i="18"/>
  <c r="S110" i="18"/>
  <c r="AL110" i="18" s="1"/>
  <c r="AF108" i="18"/>
  <c r="M110" i="18"/>
  <c r="AF110" i="18" s="1"/>
  <c r="AB110" i="18"/>
  <c r="AG110" i="18"/>
  <c r="AD108" i="18"/>
  <c r="K110" i="18"/>
  <c r="AD110" i="18" s="1"/>
  <c r="AK108" i="18"/>
  <c r="R110" i="18"/>
  <c r="AK110" i="18" s="1"/>
  <c r="AJ108" i="18"/>
  <c r="Q110" i="18"/>
  <c r="AJ110" i="18" s="1"/>
  <c r="AH108" i="18"/>
  <c r="U108" i="18"/>
  <c r="T108" i="18"/>
  <c r="AG108" i="18"/>
  <c r="AB108" i="18"/>
  <c r="AA108" i="18"/>
  <c r="AH104" i="18"/>
  <c r="AD102" i="18"/>
  <c r="AD104" i="18"/>
  <c r="AF102" i="18"/>
  <c r="AF104" i="18"/>
  <c r="AB104" i="18"/>
  <c r="AI102" i="18"/>
  <c r="AI104" i="18"/>
  <c r="AC102" i="18"/>
  <c r="AC104" i="18"/>
  <c r="AG104" i="18"/>
  <c r="AK102" i="18"/>
  <c r="AK104" i="18"/>
  <c r="AA104" i="18"/>
  <c r="AJ102" i="18"/>
  <c r="AJ104" i="18"/>
  <c r="AL102" i="18"/>
  <c r="AL104" i="18"/>
  <c r="AE102" i="18"/>
  <c r="AE104" i="18"/>
  <c r="AG102" i="18"/>
  <c r="G361" i="18"/>
  <c r="I361" i="18"/>
  <c r="AB102" i="18"/>
  <c r="AH102" i="18"/>
  <c r="U102" i="18"/>
  <c r="F361" i="18"/>
  <c r="H361" i="18"/>
  <c r="T102" i="18"/>
  <c r="AI100" i="18"/>
  <c r="AK100" i="18"/>
  <c r="AA101" i="18"/>
  <c r="D361" i="18"/>
  <c r="AL100" i="18"/>
  <c r="AD100" i="18"/>
  <c r="AC100" i="18"/>
  <c r="AE100" i="18"/>
  <c r="O361" i="18"/>
  <c r="AH101" i="18"/>
  <c r="N361" i="18"/>
  <c r="AG101" i="18"/>
  <c r="T101" i="18"/>
  <c r="AJ100" i="18"/>
  <c r="AF100" i="18"/>
  <c r="AB101" i="18"/>
  <c r="E361" i="18"/>
  <c r="G360" i="18"/>
  <c r="AH100" i="18"/>
  <c r="H360" i="18"/>
  <c r="AG100" i="18"/>
  <c r="F360" i="18"/>
  <c r="F117" i="18"/>
  <c r="I360" i="18"/>
  <c r="U100" i="18"/>
  <c r="L360" i="18"/>
  <c r="AE360" i="18" s="1"/>
  <c r="AE99" i="18"/>
  <c r="AA99" i="18"/>
  <c r="J360" i="18"/>
  <c r="AC99" i="18"/>
  <c r="K360" i="18"/>
  <c r="AD99" i="18"/>
  <c r="M360" i="18"/>
  <c r="AF360" i="18" s="1"/>
  <c r="AF99" i="18"/>
  <c r="AJ99" i="18"/>
  <c r="Q360" i="18"/>
  <c r="AJ360" i="18" s="1"/>
  <c r="S360" i="18"/>
  <c r="AL360" i="18" s="1"/>
  <c r="AL99" i="18"/>
  <c r="AB99" i="18"/>
  <c r="E360" i="18"/>
  <c r="AG99" i="18"/>
  <c r="N360" i="18"/>
  <c r="T99" i="18"/>
  <c r="P360" i="18"/>
  <c r="AI360" i="18" s="1"/>
  <c r="AI99" i="18"/>
  <c r="O360" i="18"/>
  <c r="AH99" i="18"/>
  <c r="U99" i="18"/>
  <c r="AK99" i="18"/>
  <c r="R360" i="18"/>
  <c r="AK360" i="18" s="1"/>
  <c r="AK96" i="18"/>
  <c r="AK98" i="18"/>
  <c r="AC96" i="18"/>
  <c r="AC98" i="18"/>
  <c r="AH98" i="18"/>
  <c r="AJ96" i="18"/>
  <c r="AJ98" i="18"/>
  <c r="AG98" i="18"/>
  <c r="AL96" i="18"/>
  <c r="AL98" i="18"/>
  <c r="AI96" i="18"/>
  <c r="AI98" i="18"/>
  <c r="AF96" i="18"/>
  <c r="AF98" i="18"/>
  <c r="AB98" i="18"/>
  <c r="AE96" i="18"/>
  <c r="AE98" i="18"/>
  <c r="AA98" i="18"/>
  <c r="AD96" i="18"/>
  <c r="AD98" i="18"/>
  <c r="H358" i="18"/>
  <c r="I358" i="18"/>
  <c r="AH96" i="18"/>
  <c r="G358" i="18"/>
  <c r="U96" i="18"/>
  <c r="F358" i="18"/>
  <c r="AG96" i="18"/>
  <c r="AI95" i="18"/>
  <c r="P358" i="18"/>
  <c r="AI358" i="18" s="1"/>
  <c r="K358" i="18"/>
  <c r="AD95" i="18"/>
  <c r="AH95" i="18"/>
  <c r="O358" i="18"/>
  <c r="M358" i="18"/>
  <c r="AF358" i="18" s="1"/>
  <c r="AF95" i="18"/>
  <c r="J358" i="18"/>
  <c r="AC95" i="18"/>
  <c r="L358" i="18"/>
  <c r="AE358" i="18" s="1"/>
  <c r="AE95" i="18"/>
  <c r="AJ94" i="18"/>
  <c r="AL94" i="18"/>
  <c r="E358" i="18"/>
  <c r="AB95" i="18"/>
  <c r="N358" i="18"/>
  <c r="AG95" i="18"/>
  <c r="T95" i="18"/>
  <c r="R358" i="18"/>
  <c r="AK358" i="18" s="1"/>
  <c r="AK95" i="18"/>
  <c r="AA95" i="18"/>
  <c r="AI94" i="18"/>
  <c r="G357" i="18"/>
  <c r="AE94" i="18"/>
  <c r="AH94" i="18"/>
  <c r="H357" i="18"/>
  <c r="AF94" i="18"/>
  <c r="AA94" i="18"/>
  <c r="AG94" i="18"/>
  <c r="AD94" i="18"/>
  <c r="AK94" i="18"/>
  <c r="AC94" i="18"/>
  <c r="I357" i="18"/>
  <c r="AB94" i="18"/>
  <c r="AN97" i="18"/>
  <c r="L637" i="18"/>
  <c r="N637" i="18" s="1"/>
  <c r="S357" i="18"/>
  <c r="AL357" i="18" s="1"/>
  <c r="AL93" i="18"/>
  <c r="AD93" i="18"/>
  <c r="K357" i="18"/>
  <c r="AF93" i="18"/>
  <c r="M357" i="18"/>
  <c r="AJ93" i="18"/>
  <c r="Q357" i="18"/>
  <c r="AJ357" i="18" s="1"/>
  <c r="AG93" i="18"/>
  <c r="T93" i="18"/>
  <c r="N357" i="18"/>
  <c r="AB93" i="18"/>
  <c r="E357" i="18"/>
  <c r="T120" i="18"/>
  <c r="F357" i="18"/>
  <c r="AI93" i="18"/>
  <c r="P357" i="18"/>
  <c r="AI357" i="18" s="1"/>
  <c r="R357" i="18"/>
  <c r="AK357" i="18" s="1"/>
  <c r="AK93" i="18"/>
  <c r="M642" i="18"/>
  <c r="O642" i="18" s="1"/>
  <c r="N117" i="18"/>
  <c r="AA93" i="18"/>
  <c r="AC93" i="18"/>
  <c r="J357" i="18"/>
  <c r="AH93" i="18"/>
  <c r="U93" i="18"/>
  <c r="O357" i="18"/>
  <c r="AE93" i="18"/>
  <c r="L357" i="18"/>
  <c r="L642" i="18"/>
  <c r="N642" i="18" s="1"/>
  <c r="AN364" i="18"/>
  <c r="AQ364" i="18" s="1"/>
  <c r="AM115" i="18"/>
  <c r="AM364" i="18"/>
  <c r="AP364" i="18" s="1"/>
  <c r="AN363" i="18"/>
  <c r="AQ363" i="18" s="1"/>
  <c r="AP366" i="18"/>
  <c r="AM63" i="18"/>
  <c r="AM362" i="18"/>
  <c r="AP362" i="18" s="1"/>
  <c r="AN367" i="18"/>
  <c r="AQ367" i="18" s="1"/>
  <c r="AM363" i="18"/>
  <c r="AP363" i="18" s="1"/>
  <c r="M639" i="18"/>
  <c r="O639" i="18" s="1"/>
  <c r="AN366" i="18"/>
  <c r="AQ366" i="18" s="1"/>
  <c r="AM367" i="18"/>
  <c r="AP367" i="18" s="1"/>
  <c r="AM365" i="18"/>
  <c r="AP365" i="18" s="1"/>
  <c r="E634" i="18"/>
  <c r="I634" i="18" s="1"/>
  <c r="AN362" i="18"/>
  <c r="AQ362" i="18" s="1"/>
  <c r="L640" i="18"/>
  <c r="N640" i="18" s="1"/>
  <c r="L639" i="18"/>
  <c r="N639" i="18" s="1"/>
  <c r="K634" i="18"/>
  <c r="AB359" i="18"/>
  <c r="T368" i="18"/>
  <c r="AG368" i="18"/>
  <c r="AD115" i="18"/>
  <c r="K368" i="18"/>
  <c r="AQ50" i="18"/>
  <c r="AN63" i="18"/>
  <c r="AN180" i="18"/>
  <c r="AQ167" i="18"/>
  <c r="AP8" i="18"/>
  <c r="AM21" i="18"/>
  <c r="L623" i="18"/>
  <c r="AN365" i="18"/>
  <c r="AQ365" i="18" s="1"/>
  <c r="AN327" i="18"/>
  <c r="AQ314" i="18"/>
  <c r="M641" i="18"/>
  <c r="O641" i="18" s="1"/>
  <c r="AQ209" i="18"/>
  <c r="AN222" i="18"/>
  <c r="AB115" i="18"/>
  <c r="E368" i="18"/>
  <c r="E117" i="18"/>
  <c r="AM84" i="18"/>
  <c r="AP188" i="18"/>
  <c r="AM201" i="18"/>
  <c r="AM264" i="18"/>
  <c r="AP251" i="18"/>
  <c r="AP230" i="18"/>
  <c r="AM243" i="18"/>
  <c r="M623" i="18"/>
  <c r="G624" i="18" s="1"/>
  <c r="AM97" i="18"/>
  <c r="AP294" i="18"/>
  <c r="AM306" i="18"/>
  <c r="AQ230" i="18"/>
  <c r="AN243" i="18"/>
  <c r="J634" i="18"/>
  <c r="M640" i="18"/>
  <c r="O640" i="18" s="1"/>
  <c r="AN84" i="18"/>
  <c r="AN264" i="18"/>
  <c r="J643" i="18"/>
  <c r="U120" i="18"/>
  <c r="U115" i="18"/>
  <c r="AM180" i="18"/>
  <c r="L638" i="18"/>
  <c r="N638" i="18" s="1"/>
  <c r="M638" i="18"/>
  <c r="O638" i="18" s="1"/>
  <c r="AN201" i="18"/>
  <c r="AQ188" i="18"/>
  <c r="M637" i="18"/>
  <c r="O637" i="18" s="1"/>
  <c r="AH359" i="18"/>
  <c r="U359" i="18"/>
  <c r="M368" i="18"/>
  <c r="AF368" i="18" s="1"/>
  <c r="AF115" i="18"/>
  <c r="AA368" i="18"/>
  <c r="D643" i="18"/>
  <c r="H643" i="18" s="1"/>
  <c r="L641" i="18"/>
  <c r="N641" i="18" s="1"/>
  <c r="AP146" i="18"/>
  <c r="AM159" i="18"/>
  <c r="O368" i="18"/>
  <c r="AH115" i="18"/>
  <c r="O117" i="18"/>
  <c r="AP314" i="18"/>
  <c r="AM327" i="18"/>
  <c r="AN21" i="18"/>
  <c r="AQ29" i="18"/>
  <c r="AN42" i="18"/>
  <c r="AM42" i="18"/>
  <c r="AP29" i="18"/>
  <c r="AG359" i="18"/>
  <c r="AM359" i="18" s="1"/>
  <c r="T359" i="18"/>
  <c r="AQ335" i="18"/>
  <c r="AN348" i="18"/>
  <c r="AP336" i="18"/>
  <c r="AM348" i="18"/>
  <c r="AN138" i="18"/>
  <c r="AM222" i="18"/>
  <c r="AP209" i="18"/>
  <c r="AN306" i="18"/>
  <c r="AP272" i="18"/>
  <c r="AM285" i="18"/>
  <c r="AN285" i="18"/>
  <c r="AQ272" i="18"/>
  <c r="AN159" i="18"/>
  <c r="AQ146" i="18"/>
  <c r="AJ115" i="18"/>
  <c r="Q368" i="18"/>
  <c r="AM138" i="18"/>
  <c r="AP125" i="18"/>
  <c r="G368" i="18"/>
  <c r="AO115" i="17"/>
  <c r="AO114" i="17"/>
  <c r="AO113" i="17"/>
  <c r="AO112" i="17"/>
  <c r="AO111" i="17"/>
  <c r="AO110" i="17"/>
  <c r="AO109" i="17"/>
  <c r="AO108" i="17"/>
  <c r="AO107" i="17"/>
  <c r="AO106" i="17"/>
  <c r="AO105" i="17"/>
  <c r="AO104" i="17"/>
  <c r="AO103" i="17"/>
  <c r="AO102" i="17"/>
  <c r="AO101" i="17"/>
  <c r="AO100" i="17"/>
  <c r="AO99" i="17"/>
  <c r="AO98" i="17"/>
  <c r="AO97" i="17"/>
  <c r="AO96" i="17"/>
  <c r="AO95" i="17"/>
  <c r="AO94" i="17"/>
  <c r="AO93" i="17"/>
  <c r="AO92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Y114" i="17"/>
  <c r="Y113" i="17"/>
  <c r="X115" i="17"/>
  <c r="X114" i="17"/>
  <c r="X113" i="17"/>
  <c r="X112" i="17"/>
  <c r="X111" i="17"/>
  <c r="X110" i="17"/>
  <c r="X109" i="17"/>
  <c r="X108" i="17"/>
  <c r="X107" i="17"/>
  <c r="X106" i="17"/>
  <c r="X105" i="17"/>
  <c r="X104" i="17"/>
  <c r="X103" i="17"/>
  <c r="X102" i="17"/>
  <c r="X101" i="17"/>
  <c r="X100" i="17"/>
  <c r="X99" i="17"/>
  <c r="X98" i="17"/>
  <c r="X97" i="17"/>
  <c r="X96" i="17"/>
  <c r="X95" i="17"/>
  <c r="X94" i="17"/>
  <c r="X93" i="17"/>
  <c r="S366" i="17"/>
  <c r="R366" i="17"/>
  <c r="Q366" i="17"/>
  <c r="P366" i="17"/>
  <c r="O366" i="17"/>
  <c r="N366" i="17"/>
  <c r="M366" i="17"/>
  <c r="L366" i="17"/>
  <c r="K366" i="17"/>
  <c r="J366" i="17"/>
  <c r="I366" i="17"/>
  <c r="H366" i="17"/>
  <c r="G366" i="17"/>
  <c r="F366" i="17"/>
  <c r="E366" i="17"/>
  <c r="S365" i="17"/>
  <c r="R365" i="17"/>
  <c r="Q365" i="17"/>
  <c r="P365" i="17"/>
  <c r="O365" i="17"/>
  <c r="N365" i="17"/>
  <c r="M365" i="17"/>
  <c r="L365" i="17"/>
  <c r="K365" i="17"/>
  <c r="J365" i="17"/>
  <c r="I365" i="17"/>
  <c r="H365" i="17"/>
  <c r="G365" i="17"/>
  <c r="F365" i="17"/>
  <c r="E365" i="17"/>
  <c r="S364" i="17"/>
  <c r="R364" i="17"/>
  <c r="Q364" i="17"/>
  <c r="P364" i="17"/>
  <c r="O364" i="17"/>
  <c r="N364" i="17"/>
  <c r="M364" i="17"/>
  <c r="L364" i="17"/>
  <c r="K364" i="17"/>
  <c r="J364" i="17"/>
  <c r="I364" i="17"/>
  <c r="H364" i="17"/>
  <c r="G364" i="17"/>
  <c r="F364" i="17"/>
  <c r="E364" i="17"/>
  <c r="S363" i="17"/>
  <c r="R363" i="17"/>
  <c r="Q363" i="17"/>
  <c r="P363" i="17"/>
  <c r="O363" i="17"/>
  <c r="N363" i="17"/>
  <c r="M363" i="17"/>
  <c r="L363" i="17"/>
  <c r="K363" i="17"/>
  <c r="J363" i="17"/>
  <c r="I363" i="17"/>
  <c r="H363" i="17"/>
  <c r="G363" i="17"/>
  <c r="F363" i="17"/>
  <c r="E363" i="17"/>
  <c r="S362" i="17"/>
  <c r="R362" i="17"/>
  <c r="Q362" i="17"/>
  <c r="P362" i="17"/>
  <c r="O362" i="17"/>
  <c r="N362" i="17"/>
  <c r="M362" i="17"/>
  <c r="L362" i="17"/>
  <c r="K362" i="17"/>
  <c r="J362" i="17"/>
  <c r="I362" i="17"/>
  <c r="H362" i="17"/>
  <c r="G362" i="17"/>
  <c r="F362" i="17"/>
  <c r="E362" i="17"/>
  <c r="S361" i="17"/>
  <c r="R361" i="17"/>
  <c r="Q361" i="17"/>
  <c r="P361" i="17"/>
  <c r="O361" i="17"/>
  <c r="N361" i="17"/>
  <c r="M361" i="17"/>
  <c r="L361" i="17"/>
  <c r="K361" i="17"/>
  <c r="J361" i="17"/>
  <c r="I361" i="17"/>
  <c r="H361" i="17"/>
  <c r="G361" i="17"/>
  <c r="F361" i="17"/>
  <c r="E361" i="17"/>
  <c r="S360" i="17"/>
  <c r="R360" i="17"/>
  <c r="Q360" i="17"/>
  <c r="P360" i="17"/>
  <c r="O360" i="17"/>
  <c r="M360" i="17"/>
  <c r="L360" i="17"/>
  <c r="K360" i="17"/>
  <c r="J360" i="17"/>
  <c r="I360" i="17"/>
  <c r="H360" i="17"/>
  <c r="G360" i="17"/>
  <c r="F360" i="17"/>
  <c r="E360" i="17"/>
  <c r="S358" i="17"/>
  <c r="R358" i="17"/>
  <c r="Q358" i="17"/>
  <c r="P358" i="17"/>
  <c r="O358" i="17"/>
  <c r="M358" i="17"/>
  <c r="L358" i="17"/>
  <c r="K358" i="17"/>
  <c r="J358" i="17"/>
  <c r="I358" i="17"/>
  <c r="H358" i="17"/>
  <c r="G358" i="17"/>
  <c r="F358" i="17"/>
  <c r="E358" i="17"/>
  <c r="S357" i="17"/>
  <c r="R357" i="17"/>
  <c r="Q357" i="17"/>
  <c r="P357" i="17"/>
  <c r="O357" i="17"/>
  <c r="M357" i="17"/>
  <c r="L357" i="17"/>
  <c r="K357" i="17"/>
  <c r="J357" i="17"/>
  <c r="I357" i="17"/>
  <c r="H357" i="17"/>
  <c r="G357" i="17"/>
  <c r="F357" i="17"/>
  <c r="E357" i="17"/>
  <c r="D366" i="17"/>
  <c r="D365" i="17"/>
  <c r="D364" i="17"/>
  <c r="D363" i="17"/>
  <c r="D362" i="17"/>
  <c r="D361" i="17"/>
  <c r="D360" i="17"/>
  <c r="D358" i="17"/>
  <c r="D357" i="17"/>
  <c r="T381" i="17"/>
  <c r="F593" i="17" s="1"/>
  <c r="T380" i="17"/>
  <c r="F592" i="17" s="1"/>
  <c r="T379" i="17"/>
  <c r="F591" i="17" s="1"/>
  <c r="T378" i="17"/>
  <c r="F590" i="17" s="1"/>
  <c r="T110" i="18" l="1"/>
  <c r="U110" i="18"/>
  <c r="AN110" i="18"/>
  <c r="AM110" i="18"/>
  <c r="J632" i="18"/>
  <c r="D632" i="18"/>
  <c r="AM108" i="18"/>
  <c r="AP108" i="18" s="1"/>
  <c r="AN108" i="18"/>
  <c r="AQ108" i="18" s="1"/>
  <c r="T104" i="18"/>
  <c r="AM104" i="18"/>
  <c r="AN104" i="18"/>
  <c r="U104" i="18"/>
  <c r="AN102" i="18"/>
  <c r="AA102" i="18"/>
  <c r="AM102" i="18"/>
  <c r="U101" i="18"/>
  <c r="AG361" i="18"/>
  <c r="AH361" i="18"/>
  <c r="AC101" i="18"/>
  <c r="AC117" i="18" s="1"/>
  <c r="J361" i="18"/>
  <c r="K361" i="18"/>
  <c r="K370" i="18" s="1"/>
  <c r="AD101" i="18"/>
  <c r="AD117" i="18" s="1"/>
  <c r="M361" i="18"/>
  <c r="AF361" i="18" s="1"/>
  <c r="AF101" i="18"/>
  <c r="AF117" i="18" s="1"/>
  <c r="AK101" i="18"/>
  <c r="AK117" i="18" s="1"/>
  <c r="R361" i="18"/>
  <c r="AK361" i="18" s="1"/>
  <c r="AK370" i="18" s="1"/>
  <c r="L361" i="18"/>
  <c r="AE361" i="18" s="1"/>
  <c r="AE101" i="18"/>
  <c r="AE117" i="18" s="1"/>
  <c r="D636" i="18"/>
  <c r="H636" i="18" s="1"/>
  <c r="AA361" i="18"/>
  <c r="AJ101" i="18"/>
  <c r="Q361" i="18"/>
  <c r="AJ361" i="18" s="1"/>
  <c r="AI101" i="18"/>
  <c r="P361" i="18"/>
  <c r="AI361" i="18" s="1"/>
  <c r="S361" i="18"/>
  <c r="AL361" i="18" s="1"/>
  <c r="AL101" i="18"/>
  <c r="E636" i="18"/>
  <c r="I636" i="18" s="1"/>
  <c r="AB361" i="18"/>
  <c r="AA100" i="18"/>
  <c r="AM100" i="18" s="1"/>
  <c r="I370" i="18"/>
  <c r="AB100" i="18"/>
  <c r="AN100" i="18" s="1"/>
  <c r="T100" i="18"/>
  <c r="I117" i="18"/>
  <c r="H117" i="18"/>
  <c r="E635" i="18"/>
  <c r="I635" i="18" s="1"/>
  <c r="AB360" i="18"/>
  <c r="AN99" i="18"/>
  <c r="J635" i="18"/>
  <c r="AC360" i="18"/>
  <c r="D635" i="18"/>
  <c r="H635" i="18" s="1"/>
  <c r="AA360" i="18"/>
  <c r="T360" i="18"/>
  <c r="AG360" i="18"/>
  <c r="AH360" i="18"/>
  <c r="U360" i="18"/>
  <c r="K635" i="18"/>
  <c r="AD360" i="18"/>
  <c r="AM99" i="18"/>
  <c r="AM98" i="18"/>
  <c r="U98" i="18"/>
  <c r="T98" i="18"/>
  <c r="AN98" i="18"/>
  <c r="H370" i="18"/>
  <c r="AB96" i="18"/>
  <c r="AN96" i="18" s="1"/>
  <c r="G117" i="18"/>
  <c r="T96" i="18"/>
  <c r="F370" i="18"/>
  <c r="AA96" i="18"/>
  <c r="AM96" i="18" s="1"/>
  <c r="G370" i="18"/>
  <c r="D370" i="18"/>
  <c r="U95" i="18"/>
  <c r="AB358" i="18"/>
  <c r="E633" i="18"/>
  <c r="I633" i="18" s="1"/>
  <c r="AH358" i="18"/>
  <c r="AA358" i="18"/>
  <c r="D633" i="18"/>
  <c r="H633" i="18" s="1"/>
  <c r="AG358" i="18"/>
  <c r="T358" i="18"/>
  <c r="AC358" i="18"/>
  <c r="J633" i="18"/>
  <c r="AL95" i="18"/>
  <c r="S358" i="18"/>
  <c r="AL358" i="18" s="1"/>
  <c r="AJ95" i="18"/>
  <c r="Q358" i="18"/>
  <c r="AJ358" i="18" s="1"/>
  <c r="Q117" i="18"/>
  <c r="AD358" i="18"/>
  <c r="AM95" i="18"/>
  <c r="T94" i="18"/>
  <c r="T118" i="18" s="1"/>
  <c r="M118" i="18"/>
  <c r="AN94" i="18"/>
  <c r="K117" i="18"/>
  <c r="D117" i="18"/>
  <c r="M117" i="18"/>
  <c r="U94" i="18"/>
  <c r="U118" i="18" s="1"/>
  <c r="AM94" i="18"/>
  <c r="L117" i="18"/>
  <c r="L118" i="18"/>
  <c r="AG117" i="18"/>
  <c r="J117" i="18"/>
  <c r="P117" i="18"/>
  <c r="R117" i="18"/>
  <c r="AH117" i="18"/>
  <c r="AN93" i="18"/>
  <c r="U357" i="18"/>
  <c r="AH357" i="18"/>
  <c r="AC357" i="18"/>
  <c r="E632" i="18"/>
  <c r="I632" i="18" s="1"/>
  <c r="AB357" i="18"/>
  <c r="T357" i="18"/>
  <c r="AG357" i="18"/>
  <c r="AA357" i="18"/>
  <c r="H632" i="18"/>
  <c r="M371" i="18"/>
  <c r="AF357" i="18"/>
  <c r="L371" i="18"/>
  <c r="AE357" i="18"/>
  <c r="AD357" i="18"/>
  <c r="K632" i="18"/>
  <c r="AM93" i="18"/>
  <c r="N370" i="18"/>
  <c r="I624" i="18"/>
  <c r="E624" i="18"/>
  <c r="K624" i="18"/>
  <c r="AN359" i="18"/>
  <c r="AQ359" i="18" s="1"/>
  <c r="M634" i="18"/>
  <c r="O634" i="18" s="1"/>
  <c r="AM368" i="18"/>
  <c r="AP368" i="18" s="1"/>
  <c r="L634" i="18"/>
  <c r="N634" i="18" s="1"/>
  <c r="E643" i="18"/>
  <c r="AB368" i="18"/>
  <c r="E370" i="18"/>
  <c r="AH368" i="18"/>
  <c r="O370" i="18"/>
  <c r="L643" i="18"/>
  <c r="N643" i="18" s="1"/>
  <c r="AJ368" i="18"/>
  <c r="S117" i="18"/>
  <c r="S368" i="18"/>
  <c r="K643" i="18" s="1"/>
  <c r="AL115" i="18"/>
  <c r="AD368" i="18"/>
  <c r="AP359" i="18"/>
  <c r="AS359" i="18"/>
  <c r="K599" i="17"/>
  <c r="J590" i="17"/>
  <c r="J595" i="17"/>
  <c r="J599" i="17"/>
  <c r="K595" i="17"/>
  <c r="E590" i="17"/>
  <c r="J591" i="17"/>
  <c r="J596" i="17"/>
  <c r="K591" i="17"/>
  <c r="K596" i="17"/>
  <c r="AM114" i="17"/>
  <c r="J598" i="17"/>
  <c r="AN114" i="17"/>
  <c r="D590" i="17"/>
  <c r="H590" i="17" s="1"/>
  <c r="K598" i="17"/>
  <c r="K593" i="17"/>
  <c r="K597" i="17"/>
  <c r="J594" i="17"/>
  <c r="K594" i="17"/>
  <c r="J593" i="17"/>
  <c r="J597" i="17"/>
  <c r="T261" i="17"/>
  <c r="R370" i="18" l="1"/>
  <c r="AA117" i="18"/>
  <c r="L635" i="18"/>
  <c r="AM101" i="18"/>
  <c r="L370" i="18"/>
  <c r="AE370" i="18"/>
  <c r="AN101" i="18"/>
  <c r="AF370" i="18"/>
  <c r="AI117" i="18"/>
  <c r="M370" i="18"/>
  <c r="AD361" i="18"/>
  <c r="AD370" i="18" s="1"/>
  <c r="K636" i="18"/>
  <c r="AC361" i="18"/>
  <c r="AM361" i="18" s="1"/>
  <c r="J636" i="18"/>
  <c r="L636" i="18" s="1"/>
  <c r="M636" i="18"/>
  <c r="T361" i="18"/>
  <c r="T370" i="18" s="1"/>
  <c r="AI370" i="18"/>
  <c r="U361" i="18"/>
  <c r="J370" i="18"/>
  <c r="P370" i="18"/>
  <c r="AM360" i="18"/>
  <c r="AP360" i="18" s="1"/>
  <c r="AN360" i="18"/>
  <c r="AQ360" i="18" s="1"/>
  <c r="AB117" i="18"/>
  <c r="M635" i="18"/>
  <c r="O635" i="18" s="1"/>
  <c r="N635" i="18"/>
  <c r="F372" i="18"/>
  <c r="M632" i="18"/>
  <c r="O632" i="18" s="1"/>
  <c r="K633" i="18"/>
  <c r="M633" i="18" s="1"/>
  <c r="G372" i="18"/>
  <c r="AN95" i="18"/>
  <c r="L632" i="18"/>
  <c r="N632" i="18" s="1"/>
  <c r="AA370" i="18"/>
  <c r="U117" i="18"/>
  <c r="AJ117" i="18"/>
  <c r="AC370" i="18"/>
  <c r="AN358" i="18"/>
  <c r="AL117" i="18"/>
  <c r="AM358" i="18"/>
  <c r="L633" i="18"/>
  <c r="N633" i="18" s="1"/>
  <c r="T117" i="18"/>
  <c r="Q370" i="18"/>
  <c r="U358" i="18"/>
  <c r="T119" i="18"/>
  <c r="U119" i="18"/>
  <c r="AM117" i="18"/>
  <c r="AH370" i="18"/>
  <c r="H645" i="18"/>
  <c r="AT359" i="18"/>
  <c r="AN115" i="18"/>
  <c r="L203" i="18"/>
  <c r="L266" i="18"/>
  <c r="L245" i="18"/>
  <c r="L372" i="18"/>
  <c r="L161" i="18"/>
  <c r="L224" i="18"/>
  <c r="L23" i="18"/>
  <c r="L182" i="18"/>
  <c r="L119" i="18"/>
  <c r="L350" i="18"/>
  <c r="L287" i="18"/>
  <c r="L308" i="18"/>
  <c r="L65" i="18"/>
  <c r="L329" i="18"/>
  <c r="L86" i="18"/>
  <c r="L140" i="18"/>
  <c r="L44" i="18"/>
  <c r="AM357" i="18"/>
  <c r="M65" i="18"/>
  <c r="M161" i="18"/>
  <c r="M350" i="18"/>
  <c r="M245" i="18"/>
  <c r="M224" i="18"/>
  <c r="M287" i="18"/>
  <c r="M308" i="18"/>
  <c r="M372" i="18"/>
  <c r="M86" i="18"/>
  <c r="M203" i="18"/>
  <c r="M23" i="18"/>
  <c r="M182" i="18"/>
  <c r="M140" i="18"/>
  <c r="M329" i="18"/>
  <c r="M266" i="18"/>
  <c r="M44" i="18"/>
  <c r="AB370" i="18"/>
  <c r="H647" i="18"/>
  <c r="D645" i="18"/>
  <c r="AG370" i="18"/>
  <c r="AN357" i="18"/>
  <c r="M119" i="18"/>
  <c r="AJ370" i="18"/>
  <c r="AL368" i="18"/>
  <c r="AL370" i="18" s="1"/>
  <c r="S370" i="18"/>
  <c r="U368" i="18"/>
  <c r="I643" i="18"/>
  <c r="E645" i="18"/>
  <c r="L590" i="17"/>
  <c r="Y111" i="17"/>
  <c r="J647" i="18" l="1"/>
  <c r="AN361" i="18"/>
  <c r="K645" i="18"/>
  <c r="K647" i="18"/>
  <c r="AN117" i="18"/>
  <c r="N636" i="18"/>
  <c r="J373" i="18"/>
  <c r="AP361" i="18"/>
  <c r="J645" i="18"/>
  <c r="AQ361" i="18"/>
  <c r="O636" i="18"/>
  <c r="L647" i="18"/>
  <c r="L645" i="18"/>
  <c r="O633" i="18"/>
  <c r="U370" i="18"/>
  <c r="K373" i="18"/>
  <c r="AP358" i="18"/>
  <c r="AS358" i="18"/>
  <c r="AT358" i="18"/>
  <c r="AQ358" i="18"/>
  <c r="AQ357" i="18"/>
  <c r="AT357" i="18"/>
  <c r="AS357" i="18"/>
  <c r="AP357" i="18"/>
  <c r="AM370" i="18"/>
  <c r="M643" i="18"/>
  <c r="I647" i="18"/>
  <c r="I645" i="18"/>
  <c r="AN368" i="18"/>
  <c r="X92" i="17"/>
  <c r="Y109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AQ368" i="18" l="1"/>
  <c r="AN370" i="18"/>
  <c r="O643" i="18"/>
  <c r="M647" i="18"/>
  <c r="M645" i="18"/>
  <c r="AM108" i="17"/>
  <c r="AN108" i="17"/>
  <c r="Y110" i="17" l="1"/>
  <c r="Y108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Y107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Y106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Y105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Y104" i="17"/>
  <c r="U107" i="17"/>
  <c r="U105" i="17"/>
  <c r="T105" i="17"/>
  <c r="J350" i="17"/>
  <c r="M349" i="17"/>
  <c r="L349" i="17"/>
  <c r="J349" i="17"/>
  <c r="S348" i="17"/>
  <c r="R348" i="17"/>
  <c r="Q348" i="17"/>
  <c r="P348" i="17"/>
  <c r="O348" i="17"/>
  <c r="N348" i="17"/>
  <c r="M348" i="17"/>
  <c r="L348" i="17"/>
  <c r="K348" i="17"/>
  <c r="J348" i="17"/>
  <c r="I348" i="17"/>
  <c r="H348" i="17"/>
  <c r="G348" i="17"/>
  <c r="F348" i="17"/>
  <c r="E348" i="17"/>
  <c r="D348" i="17"/>
  <c r="AO346" i="17"/>
  <c r="AL346" i="17"/>
  <c r="AK346" i="17"/>
  <c r="AJ346" i="17"/>
  <c r="AI346" i="17"/>
  <c r="AH346" i="17"/>
  <c r="AG346" i="17"/>
  <c r="AF346" i="17"/>
  <c r="AE346" i="17"/>
  <c r="AD346" i="17"/>
  <c r="AC346" i="17"/>
  <c r="AB346" i="17"/>
  <c r="AA346" i="17"/>
  <c r="AO345" i="17"/>
  <c r="AL345" i="17"/>
  <c r="AK345" i="17"/>
  <c r="AJ345" i="17"/>
  <c r="AI345" i="17"/>
  <c r="AH345" i="17"/>
  <c r="AG345" i="17"/>
  <c r="AF345" i="17"/>
  <c r="AE345" i="17"/>
  <c r="AD345" i="17"/>
  <c r="AC345" i="17"/>
  <c r="AB345" i="17"/>
  <c r="AA345" i="17"/>
  <c r="U345" i="17"/>
  <c r="T345" i="17"/>
  <c r="AO344" i="17"/>
  <c r="AL344" i="17"/>
  <c r="AK344" i="17"/>
  <c r="AJ344" i="17"/>
  <c r="AI344" i="17"/>
  <c r="AH344" i="17"/>
  <c r="AG344" i="17"/>
  <c r="AF344" i="17"/>
  <c r="AE344" i="17"/>
  <c r="AD344" i="17"/>
  <c r="AC344" i="17"/>
  <c r="AB344" i="17"/>
  <c r="AA344" i="17"/>
  <c r="U344" i="17"/>
  <c r="T344" i="17"/>
  <c r="AO343" i="17"/>
  <c r="AL343" i="17"/>
  <c r="AK343" i="17"/>
  <c r="AJ343" i="17"/>
  <c r="AI343" i="17"/>
  <c r="AH343" i="17"/>
  <c r="AG343" i="17"/>
  <c r="AF343" i="17"/>
  <c r="AE343" i="17"/>
  <c r="AD343" i="17"/>
  <c r="AC343" i="17"/>
  <c r="AB343" i="17"/>
  <c r="AA343" i="17"/>
  <c r="U343" i="17"/>
  <c r="T343" i="17"/>
  <c r="AO342" i="17"/>
  <c r="AL342" i="17"/>
  <c r="AK342" i="17"/>
  <c r="AJ342" i="17"/>
  <c r="AI342" i="17"/>
  <c r="AH342" i="17"/>
  <c r="AG342" i="17"/>
  <c r="AF342" i="17"/>
  <c r="AE342" i="17"/>
  <c r="AD342" i="17"/>
  <c r="AC342" i="17"/>
  <c r="AB342" i="17"/>
  <c r="AA342" i="17"/>
  <c r="U342" i="17"/>
  <c r="T342" i="17"/>
  <c r="AO341" i="17"/>
  <c r="AL341" i="17"/>
  <c r="AK341" i="17"/>
  <c r="AJ341" i="17"/>
  <c r="AI341" i="17"/>
  <c r="AH341" i="17"/>
  <c r="AG341" i="17"/>
  <c r="AF341" i="17"/>
  <c r="AE341" i="17"/>
  <c r="AD341" i="17"/>
  <c r="AC341" i="17"/>
  <c r="AB341" i="17"/>
  <c r="AA341" i="17"/>
  <c r="U341" i="17"/>
  <c r="T341" i="17"/>
  <c r="AO340" i="17"/>
  <c r="AL340" i="17"/>
  <c r="AK340" i="17"/>
  <c r="AJ340" i="17"/>
  <c r="AI340" i="17"/>
  <c r="AH340" i="17"/>
  <c r="AG340" i="17"/>
  <c r="AF340" i="17"/>
  <c r="AE340" i="17"/>
  <c r="AD340" i="17"/>
  <c r="AC340" i="17"/>
  <c r="AB340" i="17"/>
  <c r="AA340" i="17"/>
  <c r="U340" i="17"/>
  <c r="T340" i="17"/>
  <c r="AO339" i="17"/>
  <c r="AL339" i="17"/>
  <c r="AK339" i="17"/>
  <c r="AJ339" i="17"/>
  <c r="AI339" i="17"/>
  <c r="AH339" i="17"/>
  <c r="AG339" i="17"/>
  <c r="AF339" i="17"/>
  <c r="AE339" i="17"/>
  <c r="AD339" i="17"/>
  <c r="AC339" i="17"/>
  <c r="AB339" i="17"/>
  <c r="AA339" i="17"/>
  <c r="U339" i="17"/>
  <c r="T339" i="17"/>
  <c r="AO338" i="17"/>
  <c r="AL338" i="17"/>
  <c r="AK338" i="17"/>
  <c r="AJ338" i="17"/>
  <c r="AI338" i="17"/>
  <c r="AH338" i="17"/>
  <c r="AG338" i="17"/>
  <c r="AF338" i="17"/>
  <c r="AE338" i="17"/>
  <c r="AD338" i="17"/>
  <c r="AC338" i="17"/>
  <c r="AB338" i="17"/>
  <c r="AA338" i="17"/>
  <c r="U338" i="17"/>
  <c r="T338" i="17"/>
  <c r="AO337" i="17"/>
  <c r="AL337" i="17"/>
  <c r="AK337" i="17"/>
  <c r="AJ337" i="17"/>
  <c r="AI337" i="17"/>
  <c r="AH337" i="17"/>
  <c r="AG337" i="17"/>
  <c r="AF337" i="17"/>
  <c r="AE337" i="17"/>
  <c r="AD337" i="17"/>
  <c r="AC337" i="17"/>
  <c r="AB337" i="17"/>
  <c r="AA337" i="17"/>
  <c r="U337" i="17"/>
  <c r="T337" i="17"/>
  <c r="AO336" i="17"/>
  <c r="AL336" i="17"/>
  <c r="AK336" i="17"/>
  <c r="AJ336" i="17"/>
  <c r="AI336" i="17"/>
  <c r="AH336" i="17"/>
  <c r="AG336" i="17"/>
  <c r="AF336" i="17"/>
  <c r="AE336" i="17"/>
  <c r="AD336" i="17"/>
  <c r="AC336" i="17"/>
  <c r="AB336" i="17"/>
  <c r="AA336" i="17"/>
  <c r="U336" i="17"/>
  <c r="T336" i="17"/>
  <c r="AO335" i="17"/>
  <c r="AL335" i="17"/>
  <c r="AK335" i="17"/>
  <c r="AJ335" i="17"/>
  <c r="AI335" i="17"/>
  <c r="AH335" i="17"/>
  <c r="AG335" i="17"/>
  <c r="AF335" i="17"/>
  <c r="AE335" i="17"/>
  <c r="AD335" i="17"/>
  <c r="AC335" i="17"/>
  <c r="AB335" i="17"/>
  <c r="AA335" i="17"/>
  <c r="U335" i="17"/>
  <c r="T335" i="17"/>
  <c r="AN105" i="17" l="1"/>
  <c r="AM104" i="17"/>
  <c r="AN104" i="17"/>
  <c r="AN106" i="17"/>
  <c r="AM106" i="17"/>
  <c r="AM105" i="17"/>
  <c r="AM107" i="17"/>
  <c r="AN107" i="17"/>
  <c r="T107" i="17"/>
  <c r="R120" i="17"/>
  <c r="R115" i="17" s="1"/>
  <c r="P120" i="17"/>
  <c r="P115" i="17" s="1"/>
  <c r="N120" i="17"/>
  <c r="N115" i="17" s="1"/>
  <c r="L120" i="17"/>
  <c r="L115" i="17" s="1"/>
  <c r="J120" i="17"/>
  <c r="J115" i="17" s="1"/>
  <c r="H120" i="17"/>
  <c r="F120" i="17"/>
  <c r="D120" i="17"/>
  <c r="D115" i="17" s="1"/>
  <c r="S120" i="17"/>
  <c r="S115" i="17" s="1"/>
  <c r="Q120" i="17"/>
  <c r="Q115" i="17" s="1"/>
  <c r="O120" i="17"/>
  <c r="O115" i="17" s="1"/>
  <c r="M120" i="17"/>
  <c r="M115" i="17" s="1"/>
  <c r="K120" i="17"/>
  <c r="K115" i="17" s="1"/>
  <c r="I120" i="17"/>
  <c r="G120" i="17"/>
  <c r="E120" i="17"/>
  <c r="E115" i="17" s="1"/>
  <c r="AM346" i="17"/>
  <c r="AP346" i="17" s="1"/>
  <c r="AM342" i="17"/>
  <c r="AP342" i="17" s="1"/>
  <c r="AN344" i="17"/>
  <c r="AQ344" i="17" s="1"/>
  <c r="AM343" i="17"/>
  <c r="AP343" i="17" s="1"/>
  <c r="AN342" i="17"/>
  <c r="AQ342" i="17" s="1"/>
  <c r="AN346" i="17"/>
  <c r="AQ346" i="17" s="1"/>
  <c r="AM345" i="17"/>
  <c r="AP345" i="17" s="1"/>
  <c r="AN345" i="17"/>
  <c r="AQ345" i="17" s="1"/>
  <c r="AM344" i="17"/>
  <c r="AP344" i="17" s="1"/>
  <c r="T349" i="17"/>
  <c r="AN343" i="17"/>
  <c r="AQ343" i="17" s="1"/>
  <c r="U349" i="17"/>
  <c r="AD348" i="17"/>
  <c r="AB348" i="17"/>
  <c r="U348" i="17"/>
  <c r="AE348" i="17"/>
  <c r="AC348" i="17"/>
  <c r="AA348" i="17"/>
  <c r="AM341" i="17"/>
  <c r="AP341" i="17" s="1"/>
  <c r="AM336" i="17"/>
  <c r="AP336" i="17" s="1"/>
  <c r="AN341" i="17"/>
  <c r="AQ341" i="17" s="1"/>
  <c r="AN336" i="17"/>
  <c r="AQ336" i="17" s="1"/>
  <c r="AF348" i="17"/>
  <c r="AG348" i="17"/>
  <c r="AH348" i="17"/>
  <c r="AM340" i="17"/>
  <c r="AP340" i="17" s="1"/>
  <c r="AI348" i="17"/>
  <c r="AN340" i="17"/>
  <c r="AQ340" i="17" s="1"/>
  <c r="AJ348" i="17"/>
  <c r="AK348" i="17"/>
  <c r="AL348" i="17"/>
  <c r="AM339" i="17"/>
  <c r="AP339" i="17" s="1"/>
  <c r="AN339" i="17"/>
  <c r="AQ339" i="17" s="1"/>
  <c r="T348" i="17"/>
  <c r="AM338" i="17"/>
  <c r="AP338" i="17" s="1"/>
  <c r="AN338" i="17"/>
  <c r="AQ338" i="17" s="1"/>
  <c r="AM337" i="17"/>
  <c r="AP337" i="17" s="1"/>
  <c r="AN337" i="17"/>
  <c r="AQ337" i="17" s="1"/>
  <c r="AM335" i="17"/>
  <c r="AN335" i="17"/>
  <c r="Q368" i="17" l="1"/>
  <c r="AJ115" i="17"/>
  <c r="S368" i="17"/>
  <c r="AL115" i="17"/>
  <c r="D368" i="17"/>
  <c r="F367" i="17"/>
  <c r="F115" i="17"/>
  <c r="F368" i="17" s="1"/>
  <c r="H367" i="17"/>
  <c r="H115" i="17"/>
  <c r="H368" i="17" s="1"/>
  <c r="J368" i="17"/>
  <c r="AC115" i="17"/>
  <c r="L368" i="17"/>
  <c r="AE115" i="17"/>
  <c r="N368" i="17"/>
  <c r="AG115" i="17"/>
  <c r="P368" i="17"/>
  <c r="AI115" i="17"/>
  <c r="R368" i="17"/>
  <c r="AK115" i="17"/>
  <c r="E368" i="17"/>
  <c r="G367" i="17"/>
  <c r="G115" i="17"/>
  <c r="G368" i="17" s="1"/>
  <c r="I367" i="17"/>
  <c r="I115" i="17"/>
  <c r="I368" i="17" s="1"/>
  <c r="K368" i="17"/>
  <c r="AD115" i="17"/>
  <c r="M368" i="17"/>
  <c r="AF115" i="17"/>
  <c r="O368" i="17"/>
  <c r="U115" i="17"/>
  <c r="AH115" i="17"/>
  <c r="D367" i="17"/>
  <c r="AA113" i="17"/>
  <c r="Q367" i="17"/>
  <c r="AJ113" i="17"/>
  <c r="J367" i="17"/>
  <c r="AC113" i="17"/>
  <c r="P367" i="17"/>
  <c r="AI113" i="17"/>
  <c r="E367" i="17"/>
  <c r="AB113" i="17"/>
  <c r="S367" i="17"/>
  <c r="AL113" i="17"/>
  <c r="L367" i="17"/>
  <c r="AE113" i="17"/>
  <c r="R367" i="17"/>
  <c r="AK113" i="17"/>
  <c r="K367" i="17"/>
  <c r="AD113" i="17"/>
  <c r="M367" i="17"/>
  <c r="AF113" i="17"/>
  <c r="AH112" i="17"/>
  <c r="AH113" i="17"/>
  <c r="AG112" i="17"/>
  <c r="AG113" i="17"/>
  <c r="AJ111" i="17"/>
  <c r="AJ112" i="17"/>
  <c r="AC111" i="17"/>
  <c r="AC112" i="17"/>
  <c r="AI111" i="17"/>
  <c r="AI112" i="17"/>
  <c r="AL111" i="17"/>
  <c r="AL112" i="17"/>
  <c r="AA111" i="17"/>
  <c r="AA112" i="17"/>
  <c r="AE111" i="17"/>
  <c r="AE112" i="17"/>
  <c r="AK111" i="17"/>
  <c r="AK112" i="17"/>
  <c r="AB112" i="17"/>
  <c r="AD111" i="17"/>
  <c r="AD112" i="17"/>
  <c r="AF111" i="17"/>
  <c r="AF112" i="17"/>
  <c r="T111" i="17"/>
  <c r="AG111" i="17"/>
  <c r="U111" i="17"/>
  <c r="AH111" i="17"/>
  <c r="AB111" i="17"/>
  <c r="AA109" i="17"/>
  <c r="AA110" i="17"/>
  <c r="AG109" i="17"/>
  <c r="AG110" i="17"/>
  <c r="AB109" i="17"/>
  <c r="AB110" i="17"/>
  <c r="AH109" i="17"/>
  <c r="AH110" i="17"/>
  <c r="AJ109" i="17"/>
  <c r="AJ110" i="17"/>
  <c r="AL109" i="17"/>
  <c r="AL110" i="17"/>
  <c r="AC109" i="17"/>
  <c r="AC110" i="17"/>
  <c r="AE109" i="17"/>
  <c r="AE110" i="17"/>
  <c r="AI109" i="17"/>
  <c r="AI110" i="17"/>
  <c r="AK109" i="17"/>
  <c r="AK110" i="17"/>
  <c r="AD109" i="17"/>
  <c r="AD110" i="17"/>
  <c r="AF109" i="17"/>
  <c r="AF110" i="17"/>
  <c r="T109" i="17"/>
  <c r="U109" i="17"/>
  <c r="U120" i="17"/>
  <c r="T120" i="17"/>
  <c r="AN348" i="17"/>
  <c r="AQ335" i="17"/>
  <c r="AM348" i="17"/>
  <c r="AP335" i="17"/>
  <c r="T115" i="17" l="1"/>
  <c r="J601" i="17"/>
  <c r="K601" i="17"/>
  <c r="AA115" i="17"/>
  <c r="D601" i="17"/>
  <c r="AB115" i="17"/>
  <c r="E601" i="17"/>
  <c r="AN115" i="17"/>
  <c r="AM115" i="17"/>
  <c r="AN113" i="17"/>
  <c r="AM113" i="17"/>
  <c r="N367" i="17"/>
  <c r="J600" i="17" s="1"/>
  <c r="T113" i="17"/>
  <c r="O367" i="17"/>
  <c r="K600" i="17" s="1"/>
  <c r="U113" i="17"/>
  <c r="AM112" i="17"/>
  <c r="AN112" i="17"/>
  <c r="AM111" i="17"/>
  <c r="AP111" i="17" s="1"/>
  <c r="AN109" i="17"/>
  <c r="AQ109" i="17" s="1"/>
  <c r="AN111" i="17"/>
  <c r="AQ111" i="17" s="1"/>
  <c r="AM109" i="17"/>
  <c r="AP109" i="17" s="1"/>
  <c r="AM110" i="17"/>
  <c r="AN110" i="17"/>
  <c r="AL102" i="17"/>
  <c r="AK102" i="17"/>
  <c r="AJ102" i="17"/>
  <c r="AI102" i="17"/>
  <c r="AH102" i="17"/>
  <c r="AG102" i="17"/>
  <c r="AF102" i="17"/>
  <c r="AE102" i="17"/>
  <c r="AD102" i="17"/>
  <c r="AC102" i="17"/>
  <c r="AB102" i="17"/>
  <c r="AA102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AL103" i="17" l="1"/>
  <c r="AN103" i="17" s="1"/>
  <c r="U103" i="17"/>
  <c r="T103" i="17"/>
  <c r="AM103" i="17"/>
  <c r="Y103" i="17"/>
  <c r="T13" i="17"/>
  <c r="U13" i="17"/>
  <c r="AL100" i="17" l="1"/>
  <c r="AK100" i="17"/>
  <c r="AJ100" i="17"/>
  <c r="AI100" i="17"/>
  <c r="AH100" i="17"/>
  <c r="AG100" i="17"/>
  <c r="AF100" i="17"/>
  <c r="AE100" i="17"/>
  <c r="AD100" i="17"/>
  <c r="AC100" i="17"/>
  <c r="AB100" i="17"/>
  <c r="AA100" i="17"/>
  <c r="AL101" i="17"/>
  <c r="AK101" i="17"/>
  <c r="AJ101" i="17"/>
  <c r="AI101" i="17"/>
  <c r="AH101" i="17"/>
  <c r="AG101" i="17"/>
  <c r="AF101" i="17"/>
  <c r="AE101" i="17"/>
  <c r="AD101" i="17"/>
  <c r="AC101" i="17"/>
  <c r="Y101" i="17"/>
  <c r="D593" i="17"/>
  <c r="H593" i="17" l="1"/>
  <c r="L593" i="17" s="1"/>
  <c r="E593" i="17"/>
  <c r="AN100" i="17"/>
  <c r="AM100" i="17"/>
  <c r="AA101" i="17"/>
  <c r="AB101" i="17"/>
  <c r="AN101" i="17" s="1"/>
  <c r="AM101" i="17"/>
  <c r="U101" i="17"/>
  <c r="T101" i="17"/>
  <c r="AL99" i="17" l="1"/>
  <c r="AK99" i="17"/>
  <c r="AJ99" i="17"/>
  <c r="AI99" i="17"/>
  <c r="AH99" i="17"/>
  <c r="AC99" i="17"/>
  <c r="Y99" i="17"/>
  <c r="U99" i="17"/>
  <c r="AG99" i="17"/>
  <c r="AF99" i="17"/>
  <c r="AE99" i="17"/>
  <c r="AD99" i="17"/>
  <c r="AB99" i="17"/>
  <c r="AA99" i="17"/>
  <c r="E596" i="17" l="1"/>
  <c r="AM99" i="17"/>
  <c r="AN99" i="17"/>
  <c r="T99" i="17"/>
  <c r="D596" i="17" l="1"/>
  <c r="T11" i="17" l="1"/>
  <c r="U11" i="17"/>
  <c r="K579" i="17" l="1"/>
  <c r="J579" i="17"/>
  <c r="I579" i="17"/>
  <c r="H579" i="17"/>
  <c r="G579" i="17"/>
  <c r="F579" i="17"/>
  <c r="E579" i="17"/>
  <c r="D579" i="17"/>
  <c r="K578" i="17"/>
  <c r="J578" i="17"/>
  <c r="I578" i="17"/>
  <c r="H578" i="17"/>
  <c r="G578" i="17"/>
  <c r="F578" i="17"/>
  <c r="E578" i="17"/>
  <c r="D578" i="17"/>
  <c r="K577" i="17"/>
  <c r="J577" i="17"/>
  <c r="I577" i="17"/>
  <c r="H577" i="17"/>
  <c r="G577" i="17"/>
  <c r="F577" i="17"/>
  <c r="E577" i="17"/>
  <c r="D577" i="17"/>
  <c r="K576" i="17"/>
  <c r="J576" i="17"/>
  <c r="I576" i="17"/>
  <c r="H576" i="17"/>
  <c r="G576" i="17"/>
  <c r="F576" i="17"/>
  <c r="E576" i="17"/>
  <c r="D576" i="17"/>
  <c r="K575" i="17"/>
  <c r="J575" i="17"/>
  <c r="I575" i="17"/>
  <c r="H575" i="17"/>
  <c r="G575" i="17"/>
  <c r="F575" i="17"/>
  <c r="E575" i="17"/>
  <c r="D575" i="17"/>
  <c r="K574" i="17"/>
  <c r="J574" i="17"/>
  <c r="I574" i="17"/>
  <c r="H574" i="17"/>
  <c r="G574" i="17"/>
  <c r="F574" i="17"/>
  <c r="E574" i="17"/>
  <c r="D574" i="17"/>
  <c r="K573" i="17"/>
  <c r="J573" i="17"/>
  <c r="I573" i="17"/>
  <c r="H573" i="17"/>
  <c r="G573" i="17"/>
  <c r="F573" i="17"/>
  <c r="E573" i="17"/>
  <c r="D573" i="17"/>
  <c r="K572" i="17"/>
  <c r="J572" i="17"/>
  <c r="I572" i="17"/>
  <c r="H572" i="17"/>
  <c r="G572" i="17"/>
  <c r="F572" i="17"/>
  <c r="E572" i="17"/>
  <c r="D572" i="17"/>
  <c r="K571" i="17"/>
  <c r="J571" i="17"/>
  <c r="I571" i="17"/>
  <c r="H571" i="17"/>
  <c r="G571" i="17"/>
  <c r="F571" i="17"/>
  <c r="E571" i="17"/>
  <c r="D571" i="17"/>
  <c r="K570" i="17"/>
  <c r="J570" i="17"/>
  <c r="I570" i="17"/>
  <c r="H570" i="17"/>
  <c r="G570" i="17"/>
  <c r="F570" i="17"/>
  <c r="E570" i="17"/>
  <c r="D570" i="17"/>
  <c r="K569" i="17"/>
  <c r="J569" i="17"/>
  <c r="I569" i="17"/>
  <c r="H569" i="17"/>
  <c r="G569" i="17"/>
  <c r="F569" i="17"/>
  <c r="E569" i="17"/>
  <c r="D569" i="17"/>
  <c r="K568" i="17"/>
  <c r="J568" i="17"/>
  <c r="I568" i="17"/>
  <c r="H568" i="17"/>
  <c r="G568" i="17"/>
  <c r="F568" i="17"/>
  <c r="E568" i="17"/>
  <c r="D568" i="17"/>
  <c r="K560" i="17"/>
  <c r="J560" i="17"/>
  <c r="I560" i="17"/>
  <c r="H560" i="17"/>
  <c r="G560" i="17"/>
  <c r="F560" i="17"/>
  <c r="E560" i="17"/>
  <c r="D560" i="17"/>
  <c r="M558" i="17"/>
  <c r="O558" i="17" s="1"/>
  <c r="L558" i="17"/>
  <c r="N558" i="17" s="1"/>
  <c r="M557" i="17"/>
  <c r="O557" i="17" s="1"/>
  <c r="L557" i="17"/>
  <c r="N557" i="17" s="1"/>
  <c r="M556" i="17"/>
  <c r="O556" i="17" s="1"/>
  <c r="L556" i="17"/>
  <c r="N556" i="17" s="1"/>
  <c r="M555" i="17"/>
  <c r="O555" i="17" s="1"/>
  <c r="L555" i="17"/>
  <c r="N555" i="17" s="1"/>
  <c r="M554" i="17"/>
  <c r="O554" i="17" s="1"/>
  <c r="L554" i="17"/>
  <c r="N554" i="17" s="1"/>
  <c r="M553" i="17"/>
  <c r="O553" i="17" s="1"/>
  <c r="L553" i="17"/>
  <c r="N553" i="17" s="1"/>
  <c r="M552" i="17"/>
  <c r="O552" i="17" s="1"/>
  <c r="L552" i="17"/>
  <c r="N552" i="17" s="1"/>
  <c r="M551" i="17"/>
  <c r="O551" i="17" s="1"/>
  <c r="L551" i="17"/>
  <c r="N551" i="17" s="1"/>
  <c r="M550" i="17"/>
  <c r="O550" i="17" s="1"/>
  <c r="L550" i="17"/>
  <c r="N550" i="17" s="1"/>
  <c r="M549" i="17"/>
  <c r="L549" i="17"/>
  <c r="M548" i="17"/>
  <c r="O548" i="17" s="1"/>
  <c r="L548" i="17"/>
  <c r="N548" i="17" s="1"/>
  <c r="M547" i="17"/>
  <c r="O547" i="17" s="1"/>
  <c r="L547" i="17"/>
  <c r="N547" i="17" s="1"/>
  <c r="K539" i="17"/>
  <c r="J539" i="17"/>
  <c r="I539" i="17"/>
  <c r="H539" i="17"/>
  <c r="G539" i="17"/>
  <c r="F539" i="17"/>
  <c r="E539" i="17"/>
  <c r="D539" i="17"/>
  <c r="M537" i="17"/>
  <c r="O537" i="17" s="1"/>
  <c r="L537" i="17"/>
  <c r="N537" i="17" s="1"/>
  <c r="M536" i="17"/>
  <c r="O536" i="17" s="1"/>
  <c r="L536" i="17"/>
  <c r="N536" i="17" s="1"/>
  <c r="M535" i="17"/>
  <c r="O535" i="17" s="1"/>
  <c r="L535" i="17"/>
  <c r="N535" i="17" s="1"/>
  <c r="M534" i="17"/>
  <c r="O534" i="17" s="1"/>
  <c r="L534" i="17"/>
  <c r="N534" i="17" s="1"/>
  <c r="M533" i="17"/>
  <c r="O533" i="17" s="1"/>
  <c r="L533" i="17"/>
  <c r="N533" i="17" s="1"/>
  <c r="M532" i="17"/>
  <c r="O532" i="17" s="1"/>
  <c r="L532" i="17"/>
  <c r="M531" i="17"/>
  <c r="O531" i="17" s="1"/>
  <c r="L531" i="17"/>
  <c r="N531" i="17" s="1"/>
  <c r="M530" i="17"/>
  <c r="O530" i="17" s="1"/>
  <c r="L530" i="17"/>
  <c r="N530" i="17" s="1"/>
  <c r="M529" i="17"/>
  <c r="O529" i="17" s="1"/>
  <c r="L529" i="17"/>
  <c r="N529" i="17" s="1"/>
  <c r="M528" i="17"/>
  <c r="O528" i="17" s="1"/>
  <c r="L528" i="17"/>
  <c r="N528" i="17" s="1"/>
  <c r="M527" i="17"/>
  <c r="O527" i="17" s="1"/>
  <c r="L527" i="17"/>
  <c r="N527" i="17" s="1"/>
  <c r="M526" i="17"/>
  <c r="O526" i="17" s="1"/>
  <c r="L526" i="17"/>
  <c r="N526" i="17" s="1"/>
  <c r="K518" i="17"/>
  <c r="J518" i="17"/>
  <c r="I518" i="17"/>
  <c r="H518" i="17"/>
  <c r="G518" i="17"/>
  <c r="F518" i="17"/>
  <c r="E518" i="17"/>
  <c r="D518" i="17"/>
  <c r="M516" i="17"/>
  <c r="O516" i="17" s="1"/>
  <c r="L516" i="17"/>
  <c r="N516" i="17" s="1"/>
  <c r="M515" i="17"/>
  <c r="O515" i="17" s="1"/>
  <c r="L515" i="17"/>
  <c r="N515" i="17" s="1"/>
  <c r="M514" i="17"/>
  <c r="O514" i="17" s="1"/>
  <c r="L514" i="17"/>
  <c r="N514" i="17" s="1"/>
  <c r="M513" i="17"/>
  <c r="O513" i="17" s="1"/>
  <c r="L513" i="17"/>
  <c r="N513" i="17" s="1"/>
  <c r="M512" i="17"/>
  <c r="O512" i="17" s="1"/>
  <c r="L512" i="17"/>
  <c r="N512" i="17" s="1"/>
  <c r="M511" i="17"/>
  <c r="O511" i="17" s="1"/>
  <c r="L511" i="17"/>
  <c r="N511" i="17" s="1"/>
  <c r="M510" i="17"/>
  <c r="O510" i="17" s="1"/>
  <c r="L510" i="17"/>
  <c r="N510" i="17" s="1"/>
  <c r="M509" i="17"/>
  <c r="O509" i="17" s="1"/>
  <c r="L509" i="17"/>
  <c r="N509" i="17" s="1"/>
  <c r="M508" i="17"/>
  <c r="O508" i="17" s="1"/>
  <c r="L508" i="17"/>
  <c r="N508" i="17" s="1"/>
  <c r="M507" i="17"/>
  <c r="O507" i="17" s="1"/>
  <c r="L507" i="17"/>
  <c r="N507" i="17" s="1"/>
  <c r="M506" i="17"/>
  <c r="O506" i="17" s="1"/>
  <c r="L506" i="17"/>
  <c r="M505" i="17"/>
  <c r="O505" i="17" s="1"/>
  <c r="L505" i="17"/>
  <c r="N505" i="17" s="1"/>
  <c r="K497" i="17"/>
  <c r="J497" i="17"/>
  <c r="I497" i="17"/>
  <c r="H497" i="17"/>
  <c r="G497" i="17"/>
  <c r="F497" i="17"/>
  <c r="E497" i="17"/>
  <c r="D497" i="17"/>
  <c r="M495" i="17"/>
  <c r="O495" i="17" s="1"/>
  <c r="L495" i="17"/>
  <c r="N495" i="17" s="1"/>
  <c r="M494" i="17"/>
  <c r="O494" i="17" s="1"/>
  <c r="L494" i="17"/>
  <c r="N494" i="17" s="1"/>
  <c r="M493" i="17"/>
  <c r="O493" i="17" s="1"/>
  <c r="L493" i="17"/>
  <c r="N493" i="17" s="1"/>
  <c r="M492" i="17"/>
  <c r="O492" i="17" s="1"/>
  <c r="L492" i="17"/>
  <c r="N492" i="17" s="1"/>
  <c r="M491" i="17"/>
  <c r="O491" i="17" s="1"/>
  <c r="L491" i="17"/>
  <c r="N491" i="17" s="1"/>
  <c r="M490" i="17"/>
  <c r="O490" i="17" s="1"/>
  <c r="L490" i="17"/>
  <c r="N490" i="17" s="1"/>
  <c r="M489" i="17"/>
  <c r="O489" i="17" s="1"/>
  <c r="L489" i="17"/>
  <c r="N489" i="17" s="1"/>
  <c r="M488" i="17"/>
  <c r="O488" i="17" s="1"/>
  <c r="L488" i="17"/>
  <c r="N488" i="17" s="1"/>
  <c r="M487" i="17"/>
  <c r="O487" i="17" s="1"/>
  <c r="L487" i="17"/>
  <c r="N487" i="17" s="1"/>
  <c r="M486" i="17"/>
  <c r="O486" i="17" s="1"/>
  <c r="L486" i="17"/>
  <c r="N486" i="17" s="1"/>
  <c r="M485" i="17"/>
  <c r="O485" i="17" s="1"/>
  <c r="L485" i="17"/>
  <c r="N485" i="17" s="1"/>
  <c r="M484" i="17"/>
  <c r="O484" i="17" s="1"/>
  <c r="L484" i="17"/>
  <c r="N484" i="17" s="1"/>
  <c r="K476" i="17"/>
  <c r="J476" i="17"/>
  <c r="I476" i="17"/>
  <c r="H476" i="17"/>
  <c r="G476" i="17"/>
  <c r="F476" i="17"/>
  <c r="E476" i="17"/>
  <c r="D476" i="17"/>
  <c r="M474" i="17"/>
  <c r="O474" i="17" s="1"/>
  <c r="L474" i="17"/>
  <c r="N474" i="17" s="1"/>
  <c r="M473" i="17"/>
  <c r="O473" i="17" s="1"/>
  <c r="L473" i="17"/>
  <c r="N473" i="17" s="1"/>
  <c r="M472" i="17"/>
  <c r="O472" i="17" s="1"/>
  <c r="L472" i="17"/>
  <c r="N472" i="17" s="1"/>
  <c r="M471" i="17"/>
  <c r="O471" i="17" s="1"/>
  <c r="L471" i="17"/>
  <c r="N471" i="17" s="1"/>
  <c r="M470" i="17"/>
  <c r="O470" i="17" s="1"/>
  <c r="L470" i="17"/>
  <c r="N470" i="17" s="1"/>
  <c r="M469" i="17"/>
  <c r="O469" i="17" s="1"/>
  <c r="L469" i="17"/>
  <c r="N469" i="17" s="1"/>
  <c r="M468" i="17"/>
  <c r="O468" i="17" s="1"/>
  <c r="L468" i="17"/>
  <c r="N468" i="17" s="1"/>
  <c r="M467" i="17"/>
  <c r="O467" i="17" s="1"/>
  <c r="L467" i="17"/>
  <c r="N467" i="17" s="1"/>
  <c r="M466" i="17"/>
  <c r="O466" i="17" s="1"/>
  <c r="L466" i="17"/>
  <c r="N466" i="17" s="1"/>
  <c r="M465" i="17"/>
  <c r="O465" i="17" s="1"/>
  <c r="L465" i="17"/>
  <c r="N465" i="17" s="1"/>
  <c r="M464" i="17"/>
  <c r="O464" i="17" s="1"/>
  <c r="L464" i="17"/>
  <c r="N464" i="17" s="1"/>
  <c r="M463" i="17"/>
  <c r="L463" i="17"/>
  <c r="N463" i="17" s="1"/>
  <c r="K455" i="17"/>
  <c r="J455" i="17"/>
  <c r="I455" i="17"/>
  <c r="H455" i="17"/>
  <c r="G455" i="17"/>
  <c r="F455" i="17"/>
  <c r="E455" i="17"/>
  <c r="D455" i="17"/>
  <c r="M453" i="17"/>
  <c r="O453" i="17" s="1"/>
  <c r="L453" i="17"/>
  <c r="N453" i="17" s="1"/>
  <c r="M452" i="17"/>
  <c r="O452" i="17" s="1"/>
  <c r="L452" i="17"/>
  <c r="N452" i="17" s="1"/>
  <c r="M451" i="17"/>
  <c r="O451" i="17" s="1"/>
  <c r="L451" i="17"/>
  <c r="N451" i="17" s="1"/>
  <c r="M450" i="17"/>
  <c r="O450" i="17" s="1"/>
  <c r="L450" i="17"/>
  <c r="N450" i="17" s="1"/>
  <c r="M449" i="17"/>
  <c r="O449" i="17" s="1"/>
  <c r="L449" i="17"/>
  <c r="N449" i="17" s="1"/>
  <c r="M448" i="17"/>
  <c r="O448" i="17" s="1"/>
  <c r="L448" i="17"/>
  <c r="N448" i="17" s="1"/>
  <c r="M447" i="17"/>
  <c r="O447" i="17" s="1"/>
  <c r="L447" i="17"/>
  <c r="N447" i="17" s="1"/>
  <c r="M446" i="17"/>
  <c r="O446" i="17" s="1"/>
  <c r="L446" i="17"/>
  <c r="N446" i="17" s="1"/>
  <c r="M445" i="17"/>
  <c r="O445" i="17" s="1"/>
  <c r="L445" i="17"/>
  <c r="N445" i="17" s="1"/>
  <c r="M444" i="17"/>
  <c r="O444" i="17" s="1"/>
  <c r="L444" i="17"/>
  <c r="N444" i="17" s="1"/>
  <c r="M443" i="17"/>
  <c r="O443" i="17" s="1"/>
  <c r="L443" i="17"/>
  <c r="N443" i="17" s="1"/>
  <c r="M442" i="17"/>
  <c r="L442" i="17"/>
  <c r="K434" i="17"/>
  <c r="J434" i="17"/>
  <c r="I434" i="17"/>
  <c r="H434" i="17"/>
  <c r="G434" i="17"/>
  <c r="F434" i="17"/>
  <c r="E434" i="17"/>
  <c r="D434" i="17"/>
  <c r="M432" i="17"/>
  <c r="O432" i="17" s="1"/>
  <c r="L432" i="17"/>
  <c r="N432" i="17" s="1"/>
  <c r="M431" i="17"/>
  <c r="O431" i="17" s="1"/>
  <c r="L431" i="17"/>
  <c r="N431" i="17" s="1"/>
  <c r="M430" i="17"/>
  <c r="O430" i="17" s="1"/>
  <c r="L430" i="17"/>
  <c r="N430" i="17" s="1"/>
  <c r="M429" i="17"/>
  <c r="O429" i="17" s="1"/>
  <c r="L429" i="17"/>
  <c r="N429" i="17" s="1"/>
  <c r="M428" i="17"/>
  <c r="O428" i="17" s="1"/>
  <c r="L428" i="17"/>
  <c r="N428" i="17" s="1"/>
  <c r="M427" i="17"/>
  <c r="O427" i="17" s="1"/>
  <c r="L427" i="17"/>
  <c r="N427" i="17" s="1"/>
  <c r="M426" i="17"/>
  <c r="O426" i="17" s="1"/>
  <c r="L426" i="17"/>
  <c r="N426" i="17" s="1"/>
  <c r="M425" i="17"/>
  <c r="O425" i="17" s="1"/>
  <c r="L425" i="17"/>
  <c r="N425" i="17" s="1"/>
  <c r="M424" i="17"/>
  <c r="O424" i="17" s="1"/>
  <c r="L424" i="17"/>
  <c r="N424" i="17" s="1"/>
  <c r="M423" i="17"/>
  <c r="O423" i="17" s="1"/>
  <c r="L423" i="17"/>
  <c r="N423" i="17" s="1"/>
  <c r="M422" i="17"/>
  <c r="L422" i="17"/>
  <c r="N422" i="17" s="1"/>
  <c r="M421" i="17"/>
  <c r="O421" i="17" s="1"/>
  <c r="L421" i="17"/>
  <c r="N421" i="17" s="1"/>
  <c r="K413" i="17"/>
  <c r="J413" i="17"/>
  <c r="I413" i="17"/>
  <c r="H413" i="17"/>
  <c r="G413" i="17"/>
  <c r="F413" i="17"/>
  <c r="E413" i="17"/>
  <c r="D413" i="17"/>
  <c r="M411" i="17"/>
  <c r="O411" i="17" s="1"/>
  <c r="L411" i="17"/>
  <c r="N411" i="17" s="1"/>
  <c r="M410" i="17"/>
  <c r="O410" i="17" s="1"/>
  <c r="L410" i="17"/>
  <c r="N410" i="17" s="1"/>
  <c r="M409" i="17"/>
  <c r="O409" i="17" s="1"/>
  <c r="L409" i="17"/>
  <c r="N409" i="17" s="1"/>
  <c r="M408" i="17"/>
  <c r="O408" i="17" s="1"/>
  <c r="L408" i="17"/>
  <c r="N408" i="17" s="1"/>
  <c r="M407" i="17"/>
  <c r="O407" i="17" s="1"/>
  <c r="L407" i="17"/>
  <c r="N407" i="17" s="1"/>
  <c r="M406" i="17"/>
  <c r="O406" i="17" s="1"/>
  <c r="L406" i="17"/>
  <c r="N406" i="17" s="1"/>
  <c r="M405" i="17"/>
  <c r="O405" i="17" s="1"/>
  <c r="L405" i="17"/>
  <c r="N405" i="17" s="1"/>
  <c r="M404" i="17"/>
  <c r="O404" i="17" s="1"/>
  <c r="L404" i="17"/>
  <c r="N404" i="17" s="1"/>
  <c r="M403" i="17"/>
  <c r="O403" i="17" s="1"/>
  <c r="L403" i="17"/>
  <c r="M402" i="17"/>
  <c r="O402" i="17" s="1"/>
  <c r="L402" i="17"/>
  <c r="N402" i="17" s="1"/>
  <c r="M401" i="17"/>
  <c r="O401" i="17" s="1"/>
  <c r="L401" i="17"/>
  <c r="N401" i="17" s="1"/>
  <c r="M400" i="17"/>
  <c r="O400" i="17" s="1"/>
  <c r="L400" i="17"/>
  <c r="N400" i="17" s="1"/>
  <c r="G392" i="17"/>
  <c r="F392" i="17"/>
  <c r="S391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F391" i="17"/>
  <c r="E391" i="17"/>
  <c r="D391" i="17"/>
  <c r="U389" i="17"/>
  <c r="G601" i="17" s="1"/>
  <c r="I601" i="17" s="1"/>
  <c r="M601" i="17" s="1"/>
  <c r="T389" i="17"/>
  <c r="F601" i="17" s="1"/>
  <c r="H601" i="17" s="1"/>
  <c r="L601" i="17" s="1"/>
  <c r="U388" i="17"/>
  <c r="G600" i="17" s="1"/>
  <c r="T388" i="17"/>
  <c r="F600" i="17" s="1"/>
  <c r="U387" i="17"/>
  <c r="G599" i="17" s="1"/>
  <c r="T387" i="17"/>
  <c r="F599" i="17" s="1"/>
  <c r="U386" i="17"/>
  <c r="G598" i="17" s="1"/>
  <c r="T386" i="17"/>
  <c r="F598" i="17" s="1"/>
  <c r="U385" i="17"/>
  <c r="G597" i="17" s="1"/>
  <c r="T385" i="17"/>
  <c r="F597" i="17" s="1"/>
  <c r="U384" i="17"/>
  <c r="G596" i="17" s="1"/>
  <c r="T384" i="17"/>
  <c r="F596" i="17" s="1"/>
  <c r="U383" i="17"/>
  <c r="G595" i="17" s="1"/>
  <c r="T383" i="17"/>
  <c r="F595" i="17" s="1"/>
  <c r="U382" i="17"/>
  <c r="G594" i="17" s="1"/>
  <c r="T382" i="17"/>
  <c r="F594" i="17" s="1"/>
  <c r="U381" i="17"/>
  <c r="G593" i="17" s="1"/>
  <c r="U380" i="17"/>
  <c r="G592" i="17" s="1"/>
  <c r="U379" i="17"/>
  <c r="G591" i="17" s="1"/>
  <c r="U378" i="17"/>
  <c r="G590" i="17" s="1"/>
  <c r="I590" i="17" s="1"/>
  <c r="J372" i="17"/>
  <c r="J371" i="17"/>
  <c r="AL368" i="17"/>
  <c r="AK368" i="17"/>
  <c r="AJ368" i="17"/>
  <c r="AI368" i="17"/>
  <c r="AE368" i="17"/>
  <c r="AL367" i="17"/>
  <c r="AK367" i="17"/>
  <c r="AJ367" i="17"/>
  <c r="AI367" i="17"/>
  <c r="AH367" i="17"/>
  <c r="AG367" i="17"/>
  <c r="AF367" i="17"/>
  <c r="AE367" i="17"/>
  <c r="AL366" i="17"/>
  <c r="AK366" i="17"/>
  <c r="AJ366" i="17"/>
  <c r="AI366" i="17"/>
  <c r="AH366" i="17"/>
  <c r="AF366" i="17"/>
  <c r="AE366" i="17"/>
  <c r="AL365" i="17"/>
  <c r="AK365" i="17"/>
  <c r="AJ365" i="17"/>
  <c r="AI365" i="17"/>
  <c r="AH365" i="17"/>
  <c r="AG365" i="17"/>
  <c r="AF365" i="17"/>
  <c r="AL364" i="17"/>
  <c r="AK364" i="17"/>
  <c r="AJ364" i="17"/>
  <c r="AI364" i="17"/>
  <c r="AH364" i="17"/>
  <c r="AF364" i="17"/>
  <c r="AE364" i="17"/>
  <c r="AL363" i="17"/>
  <c r="AK363" i="17"/>
  <c r="AJ363" i="17"/>
  <c r="AI363" i="17"/>
  <c r="AH363" i="17"/>
  <c r="AG363" i="17"/>
  <c r="AF363" i="17"/>
  <c r="AE363" i="17"/>
  <c r="AD363" i="17"/>
  <c r="AC363" i="17"/>
  <c r="AK362" i="17"/>
  <c r="AJ362" i="17"/>
  <c r="AI362" i="17"/>
  <c r="AH362" i="17"/>
  <c r="AF362" i="17"/>
  <c r="AE362" i="17"/>
  <c r="D595" i="17"/>
  <c r="E595" i="17"/>
  <c r="AL361" i="17"/>
  <c r="AK361" i="17"/>
  <c r="AJ361" i="17"/>
  <c r="AI361" i="17"/>
  <c r="AH361" i="17"/>
  <c r="AF361" i="17"/>
  <c r="AE361" i="17"/>
  <c r="AL360" i="17"/>
  <c r="AK360" i="17"/>
  <c r="AJ360" i="17"/>
  <c r="AI360" i="17"/>
  <c r="AG360" i="17"/>
  <c r="AF360" i="17"/>
  <c r="AE360" i="17"/>
  <c r="AD360" i="17"/>
  <c r="AC360" i="17"/>
  <c r="AL358" i="17"/>
  <c r="AK358" i="17"/>
  <c r="AJ358" i="17"/>
  <c r="AI358" i="17"/>
  <c r="AH358" i="17"/>
  <c r="AF358" i="17"/>
  <c r="AJ357" i="17"/>
  <c r="AI357" i="17"/>
  <c r="AH357" i="17"/>
  <c r="AG357" i="17"/>
  <c r="AF357" i="17"/>
  <c r="AE357" i="17"/>
  <c r="J329" i="17"/>
  <c r="M328" i="17"/>
  <c r="L328" i="17"/>
  <c r="J328" i="17"/>
  <c r="S327" i="17"/>
  <c r="R327" i="17"/>
  <c r="Q327" i="17"/>
  <c r="P327" i="17"/>
  <c r="O327" i="17"/>
  <c r="N327" i="17"/>
  <c r="M327" i="17"/>
  <c r="L327" i="17"/>
  <c r="K327" i="17"/>
  <c r="J327" i="17"/>
  <c r="I327" i="17"/>
  <c r="H327" i="17"/>
  <c r="G327" i="17"/>
  <c r="F327" i="17"/>
  <c r="E327" i="17"/>
  <c r="D327" i="17"/>
  <c r="AO325" i="17"/>
  <c r="AL325" i="17"/>
  <c r="AK325" i="17"/>
  <c r="AJ325" i="17"/>
  <c r="AI325" i="17"/>
  <c r="AH325" i="17"/>
  <c r="AG325" i="17"/>
  <c r="AF325" i="17"/>
  <c r="AE325" i="17"/>
  <c r="AD325" i="17"/>
  <c r="AC325" i="17"/>
  <c r="AB325" i="17"/>
  <c r="AA325" i="17"/>
  <c r="U325" i="17"/>
  <c r="T325" i="17"/>
  <c r="AO324" i="17"/>
  <c r="AL324" i="17"/>
  <c r="AK324" i="17"/>
  <c r="AJ324" i="17"/>
  <c r="AI324" i="17"/>
  <c r="AH324" i="17"/>
  <c r="AG324" i="17"/>
  <c r="AF324" i="17"/>
  <c r="AE324" i="17"/>
  <c r="AD324" i="17"/>
  <c r="AC324" i="17"/>
  <c r="AB324" i="17"/>
  <c r="AA324" i="17"/>
  <c r="U324" i="17"/>
  <c r="T324" i="17"/>
  <c r="AO323" i="17"/>
  <c r="AL323" i="17"/>
  <c r="AK323" i="17"/>
  <c r="AJ323" i="17"/>
  <c r="AI323" i="17"/>
  <c r="AH323" i="17"/>
  <c r="AG323" i="17"/>
  <c r="AF323" i="17"/>
  <c r="AE323" i="17"/>
  <c r="AD323" i="17"/>
  <c r="AC323" i="17"/>
  <c r="AB323" i="17"/>
  <c r="AA323" i="17"/>
  <c r="U323" i="17"/>
  <c r="T323" i="17"/>
  <c r="AO322" i="17"/>
  <c r="AL322" i="17"/>
  <c r="AK322" i="17"/>
  <c r="AJ322" i="17"/>
  <c r="AI322" i="17"/>
  <c r="AH322" i="17"/>
  <c r="AG322" i="17"/>
  <c r="AF322" i="17"/>
  <c r="AE322" i="17"/>
  <c r="AD322" i="17"/>
  <c r="AC322" i="17"/>
  <c r="AB322" i="17"/>
  <c r="AA322" i="17"/>
  <c r="U322" i="17"/>
  <c r="T322" i="17"/>
  <c r="AO321" i="17"/>
  <c r="AL321" i="17"/>
  <c r="AK321" i="17"/>
  <c r="AJ321" i="17"/>
  <c r="AI321" i="17"/>
  <c r="AH321" i="17"/>
  <c r="AG321" i="17"/>
  <c r="AF321" i="17"/>
  <c r="AE321" i="17"/>
  <c r="AD321" i="17"/>
  <c r="AC321" i="17"/>
  <c r="AB321" i="17"/>
  <c r="AA321" i="17"/>
  <c r="U321" i="17"/>
  <c r="T321" i="17"/>
  <c r="AO320" i="17"/>
  <c r="AL320" i="17"/>
  <c r="AK320" i="17"/>
  <c r="AJ320" i="17"/>
  <c r="AI320" i="17"/>
  <c r="AH320" i="17"/>
  <c r="AG320" i="17"/>
  <c r="AF320" i="17"/>
  <c r="AE320" i="17"/>
  <c r="AD320" i="17"/>
  <c r="AC320" i="17"/>
  <c r="AB320" i="17"/>
  <c r="AA320" i="17"/>
  <c r="U320" i="17"/>
  <c r="T320" i="17"/>
  <c r="AO319" i="17"/>
  <c r="AL319" i="17"/>
  <c r="AK319" i="17"/>
  <c r="AJ319" i="17"/>
  <c r="AI319" i="17"/>
  <c r="AH319" i="17"/>
  <c r="AG319" i="17"/>
  <c r="AF319" i="17"/>
  <c r="AE319" i="17"/>
  <c r="AD319" i="17"/>
  <c r="AC319" i="17"/>
  <c r="AB319" i="17"/>
  <c r="AA319" i="17"/>
  <c r="U319" i="17"/>
  <c r="T319" i="17"/>
  <c r="AO318" i="17"/>
  <c r="AL318" i="17"/>
  <c r="AK318" i="17"/>
  <c r="AJ318" i="17"/>
  <c r="AI318" i="17"/>
  <c r="AH318" i="17"/>
  <c r="AG318" i="17"/>
  <c r="AF318" i="17"/>
  <c r="AE318" i="17"/>
  <c r="AD318" i="17"/>
  <c r="AC318" i="17"/>
  <c r="AB318" i="17"/>
  <c r="AA318" i="17"/>
  <c r="U318" i="17"/>
  <c r="T318" i="17"/>
  <c r="AO317" i="17"/>
  <c r="AL317" i="17"/>
  <c r="AK317" i="17"/>
  <c r="AJ317" i="17"/>
  <c r="AI317" i="17"/>
  <c r="AH317" i="17"/>
  <c r="AG317" i="17"/>
  <c r="AF317" i="17"/>
  <c r="AE317" i="17"/>
  <c r="AD317" i="17"/>
  <c r="AC317" i="17"/>
  <c r="AB317" i="17"/>
  <c r="AA317" i="17"/>
  <c r="U317" i="17"/>
  <c r="T317" i="17"/>
  <c r="AO316" i="17"/>
  <c r="AL316" i="17"/>
  <c r="AK316" i="17"/>
  <c r="AJ316" i="17"/>
  <c r="AI316" i="17"/>
  <c r="AH316" i="17"/>
  <c r="AG316" i="17"/>
  <c r="AF316" i="17"/>
  <c r="AE316" i="17"/>
  <c r="AD316" i="17"/>
  <c r="AC316" i="17"/>
  <c r="AB316" i="17"/>
  <c r="AA316" i="17"/>
  <c r="U316" i="17"/>
  <c r="T316" i="17"/>
  <c r="AO315" i="17"/>
  <c r="AL315" i="17"/>
  <c r="AK315" i="17"/>
  <c r="AJ315" i="17"/>
  <c r="AI315" i="17"/>
  <c r="AH315" i="17"/>
  <c r="AG315" i="17"/>
  <c r="AF315" i="17"/>
  <c r="AE315" i="17"/>
  <c r="AD315" i="17"/>
  <c r="AC315" i="17"/>
  <c r="AB315" i="17"/>
  <c r="AA315" i="17"/>
  <c r="U315" i="17"/>
  <c r="T315" i="17"/>
  <c r="AO314" i="17"/>
  <c r="AL314" i="17"/>
  <c r="AK314" i="17"/>
  <c r="AJ314" i="17"/>
  <c r="AI314" i="17"/>
  <c r="AH314" i="17"/>
  <c r="AG314" i="17"/>
  <c r="AF314" i="17"/>
  <c r="AE314" i="17"/>
  <c r="AD314" i="17"/>
  <c r="AC314" i="17"/>
  <c r="AB314" i="17"/>
  <c r="AA314" i="17"/>
  <c r="U314" i="17"/>
  <c r="T314" i="17"/>
  <c r="J308" i="17"/>
  <c r="M307" i="17"/>
  <c r="L307" i="17"/>
  <c r="J307" i="17"/>
  <c r="S306" i="17"/>
  <c r="R306" i="17"/>
  <c r="Q306" i="17"/>
  <c r="P306" i="17"/>
  <c r="O306" i="17"/>
  <c r="N306" i="17"/>
  <c r="M306" i="17"/>
  <c r="L306" i="17"/>
  <c r="K306" i="17"/>
  <c r="J306" i="17"/>
  <c r="I306" i="17"/>
  <c r="H306" i="17"/>
  <c r="G306" i="17"/>
  <c r="F306" i="17"/>
  <c r="E306" i="17"/>
  <c r="D306" i="17"/>
  <c r="AO304" i="17"/>
  <c r="AL304" i="17"/>
  <c r="AK304" i="17"/>
  <c r="AJ304" i="17"/>
  <c r="AI304" i="17"/>
  <c r="AH304" i="17"/>
  <c r="AG304" i="17"/>
  <c r="AF304" i="17"/>
  <c r="AE304" i="17"/>
  <c r="AD304" i="17"/>
  <c r="AC304" i="17"/>
  <c r="AB304" i="17"/>
  <c r="AA304" i="17"/>
  <c r="U304" i="17"/>
  <c r="T304" i="17"/>
  <c r="AO303" i="17"/>
  <c r="AL303" i="17"/>
  <c r="AK303" i="17"/>
  <c r="AJ303" i="17"/>
  <c r="AI303" i="17"/>
  <c r="AH303" i="17"/>
  <c r="AG303" i="17"/>
  <c r="AF303" i="17"/>
  <c r="AE303" i="17"/>
  <c r="AD303" i="17"/>
  <c r="AC303" i="17"/>
  <c r="AB303" i="17"/>
  <c r="AA303" i="17"/>
  <c r="U303" i="17"/>
  <c r="T303" i="17"/>
  <c r="AO302" i="17"/>
  <c r="AL302" i="17"/>
  <c r="AK302" i="17"/>
  <c r="AJ302" i="17"/>
  <c r="AI302" i="17"/>
  <c r="AH302" i="17"/>
  <c r="AG302" i="17"/>
  <c r="AF302" i="17"/>
  <c r="AE302" i="17"/>
  <c r="AD302" i="17"/>
  <c r="AC302" i="17"/>
  <c r="AB302" i="17"/>
  <c r="AA302" i="17"/>
  <c r="U302" i="17"/>
  <c r="T302" i="17"/>
  <c r="AO301" i="17"/>
  <c r="AL301" i="17"/>
  <c r="AK301" i="17"/>
  <c r="AJ301" i="17"/>
  <c r="AI301" i="17"/>
  <c r="AH301" i="17"/>
  <c r="AG301" i="17"/>
  <c r="AF301" i="17"/>
  <c r="AE301" i="17"/>
  <c r="AD301" i="17"/>
  <c r="AC301" i="17"/>
  <c r="AB301" i="17"/>
  <c r="AA301" i="17"/>
  <c r="U301" i="17"/>
  <c r="T301" i="17"/>
  <c r="AO300" i="17"/>
  <c r="AL300" i="17"/>
  <c r="AK300" i="17"/>
  <c r="AJ300" i="17"/>
  <c r="AI300" i="17"/>
  <c r="AH300" i="17"/>
  <c r="AG300" i="17"/>
  <c r="AF300" i="17"/>
  <c r="AE300" i="17"/>
  <c r="AD300" i="17"/>
  <c r="AC300" i="17"/>
  <c r="AB300" i="17"/>
  <c r="AA300" i="17"/>
  <c r="U300" i="17"/>
  <c r="T300" i="17"/>
  <c r="AO299" i="17"/>
  <c r="AL299" i="17"/>
  <c r="AK299" i="17"/>
  <c r="AJ299" i="17"/>
  <c r="AI299" i="17"/>
  <c r="AH299" i="17"/>
  <c r="AG299" i="17"/>
  <c r="AF299" i="17"/>
  <c r="AE299" i="17"/>
  <c r="AD299" i="17"/>
  <c r="AC299" i="17"/>
  <c r="AB299" i="17"/>
  <c r="AA299" i="17"/>
  <c r="U299" i="17"/>
  <c r="T299" i="17"/>
  <c r="AO298" i="17"/>
  <c r="AL298" i="17"/>
  <c r="AK298" i="17"/>
  <c r="AJ298" i="17"/>
  <c r="AI298" i="17"/>
  <c r="AH298" i="17"/>
  <c r="AG298" i="17"/>
  <c r="AF298" i="17"/>
  <c r="AE298" i="17"/>
  <c r="AD298" i="17"/>
  <c r="AC298" i="17"/>
  <c r="AB298" i="17"/>
  <c r="AA298" i="17"/>
  <c r="U298" i="17"/>
  <c r="T298" i="17"/>
  <c r="AO297" i="17"/>
  <c r="AL297" i="17"/>
  <c r="AK297" i="17"/>
  <c r="AJ297" i="17"/>
  <c r="AI297" i="17"/>
  <c r="AH297" i="17"/>
  <c r="AG297" i="17"/>
  <c r="AF297" i="17"/>
  <c r="AE297" i="17"/>
  <c r="AD297" i="17"/>
  <c r="AC297" i="17"/>
  <c r="AB297" i="17"/>
  <c r="AA297" i="17"/>
  <c r="U297" i="17"/>
  <c r="T297" i="17"/>
  <c r="AO296" i="17"/>
  <c r="AL296" i="17"/>
  <c r="AK296" i="17"/>
  <c r="AJ296" i="17"/>
  <c r="AI296" i="17"/>
  <c r="AH296" i="17"/>
  <c r="AG296" i="17"/>
  <c r="AF296" i="17"/>
  <c r="AE296" i="17"/>
  <c r="AD296" i="17"/>
  <c r="AC296" i="17"/>
  <c r="AB296" i="17"/>
  <c r="AA296" i="17"/>
  <c r="U296" i="17"/>
  <c r="T296" i="17"/>
  <c r="AO295" i="17"/>
  <c r="AL295" i="17"/>
  <c r="AK295" i="17"/>
  <c r="AJ295" i="17"/>
  <c r="AI295" i="17"/>
  <c r="AH295" i="17"/>
  <c r="AG295" i="17"/>
  <c r="AF295" i="17"/>
  <c r="AE295" i="17"/>
  <c r="AD295" i="17"/>
  <c r="AC295" i="17"/>
  <c r="AB295" i="17"/>
  <c r="AA295" i="17"/>
  <c r="U295" i="17"/>
  <c r="T295" i="17"/>
  <c r="AO294" i="17"/>
  <c r="AL294" i="17"/>
  <c r="AK294" i="17"/>
  <c r="AJ294" i="17"/>
  <c r="AI294" i="17"/>
  <c r="AH294" i="17"/>
  <c r="AG294" i="17"/>
  <c r="AF294" i="17"/>
  <c r="AE294" i="17"/>
  <c r="AD294" i="17"/>
  <c r="AC294" i="17"/>
  <c r="AB294" i="17"/>
  <c r="AA294" i="17"/>
  <c r="U294" i="17"/>
  <c r="T294" i="17"/>
  <c r="AO293" i="17"/>
  <c r="AL293" i="17"/>
  <c r="AK293" i="17"/>
  <c r="AJ293" i="17"/>
  <c r="AI293" i="17"/>
  <c r="AH293" i="17"/>
  <c r="AG293" i="17"/>
  <c r="AF293" i="17"/>
  <c r="AE293" i="17"/>
  <c r="AD293" i="17"/>
  <c r="AC293" i="17"/>
  <c r="AB293" i="17"/>
  <c r="AA293" i="17"/>
  <c r="U293" i="17"/>
  <c r="U307" i="17" s="1"/>
  <c r="T293" i="17"/>
  <c r="T307" i="17" s="1"/>
  <c r="J287" i="17"/>
  <c r="M286" i="17"/>
  <c r="L286" i="17"/>
  <c r="J286" i="17"/>
  <c r="S285" i="17"/>
  <c r="R285" i="17"/>
  <c r="Q285" i="17"/>
  <c r="P285" i="17"/>
  <c r="O285" i="17"/>
  <c r="N285" i="17"/>
  <c r="M285" i="17"/>
  <c r="L285" i="17"/>
  <c r="K285" i="17"/>
  <c r="J285" i="17"/>
  <c r="I285" i="17"/>
  <c r="H285" i="17"/>
  <c r="G285" i="17"/>
  <c r="F285" i="17"/>
  <c r="E285" i="17"/>
  <c r="D285" i="17"/>
  <c r="AO283" i="17"/>
  <c r="AL283" i="17"/>
  <c r="AK283" i="17"/>
  <c r="AJ283" i="17"/>
  <c r="AI283" i="17"/>
  <c r="AH283" i="17"/>
  <c r="AG283" i="17"/>
  <c r="AF283" i="17"/>
  <c r="AE283" i="17"/>
  <c r="AD283" i="17"/>
  <c r="AC283" i="17"/>
  <c r="AB283" i="17"/>
  <c r="AA283" i="17"/>
  <c r="U283" i="17"/>
  <c r="T283" i="17"/>
  <c r="AO282" i="17"/>
  <c r="AL282" i="17"/>
  <c r="AK282" i="17"/>
  <c r="AJ282" i="17"/>
  <c r="AI282" i="17"/>
  <c r="AH282" i="17"/>
  <c r="AG282" i="17"/>
  <c r="AF282" i="17"/>
  <c r="AE282" i="17"/>
  <c r="AD282" i="17"/>
  <c r="AC282" i="17"/>
  <c r="AB282" i="17"/>
  <c r="AA282" i="17"/>
  <c r="U282" i="17"/>
  <c r="T282" i="17"/>
  <c r="AO281" i="17"/>
  <c r="AL281" i="17"/>
  <c r="AK281" i="17"/>
  <c r="AJ281" i="17"/>
  <c r="AI281" i="17"/>
  <c r="AH281" i="17"/>
  <c r="AG281" i="17"/>
  <c r="AF281" i="17"/>
  <c r="AE281" i="17"/>
  <c r="AD281" i="17"/>
  <c r="AC281" i="17"/>
  <c r="AB281" i="17"/>
  <c r="AA281" i="17"/>
  <c r="U281" i="17"/>
  <c r="T281" i="17"/>
  <c r="AO280" i="17"/>
  <c r="AL280" i="17"/>
  <c r="AK280" i="17"/>
  <c r="AJ280" i="17"/>
  <c r="AI280" i="17"/>
  <c r="AH280" i="17"/>
  <c r="AG280" i="17"/>
  <c r="AF280" i="17"/>
  <c r="AE280" i="17"/>
  <c r="AD280" i="17"/>
  <c r="AC280" i="17"/>
  <c r="AB280" i="17"/>
  <c r="AA280" i="17"/>
  <c r="U280" i="17"/>
  <c r="T280" i="17"/>
  <c r="AO279" i="17"/>
  <c r="AL279" i="17"/>
  <c r="AK279" i="17"/>
  <c r="AJ279" i="17"/>
  <c r="AI279" i="17"/>
  <c r="AH279" i="17"/>
  <c r="AG279" i="17"/>
  <c r="AF279" i="17"/>
  <c r="AE279" i="17"/>
  <c r="AD279" i="17"/>
  <c r="AC279" i="17"/>
  <c r="AB279" i="17"/>
  <c r="AA279" i="17"/>
  <c r="U279" i="17"/>
  <c r="T279" i="17"/>
  <c r="AO278" i="17"/>
  <c r="AL278" i="17"/>
  <c r="AK278" i="17"/>
  <c r="AJ278" i="17"/>
  <c r="AI278" i="17"/>
  <c r="AH278" i="17"/>
  <c r="AG278" i="17"/>
  <c r="AF278" i="17"/>
  <c r="AE278" i="17"/>
  <c r="AD278" i="17"/>
  <c r="AC278" i="17"/>
  <c r="AB278" i="17"/>
  <c r="AA278" i="17"/>
  <c r="U278" i="17"/>
  <c r="T278" i="17"/>
  <c r="AO277" i="17"/>
  <c r="AL277" i="17"/>
  <c r="AK277" i="17"/>
  <c r="AJ277" i="17"/>
  <c r="AI277" i="17"/>
  <c r="AH277" i="17"/>
  <c r="AG277" i="17"/>
  <c r="AF277" i="17"/>
  <c r="AE277" i="17"/>
  <c r="AD277" i="17"/>
  <c r="AC277" i="17"/>
  <c r="AB277" i="17"/>
  <c r="AA277" i="17"/>
  <c r="U277" i="17"/>
  <c r="T277" i="17"/>
  <c r="AO276" i="17"/>
  <c r="AL276" i="17"/>
  <c r="AK276" i="17"/>
  <c r="AJ276" i="17"/>
  <c r="AI276" i="17"/>
  <c r="AH276" i="17"/>
  <c r="AG276" i="17"/>
  <c r="AF276" i="17"/>
  <c r="AE276" i="17"/>
  <c r="AD276" i="17"/>
  <c r="AC276" i="17"/>
  <c r="AB276" i="17"/>
  <c r="AA276" i="17"/>
  <c r="U276" i="17"/>
  <c r="T276" i="17"/>
  <c r="AO275" i="17"/>
  <c r="AL275" i="17"/>
  <c r="AK275" i="17"/>
  <c r="AJ275" i="17"/>
  <c r="AI275" i="17"/>
  <c r="AH275" i="17"/>
  <c r="AG275" i="17"/>
  <c r="AF275" i="17"/>
  <c r="AE275" i="17"/>
  <c r="AD275" i="17"/>
  <c r="AC275" i="17"/>
  <c r="AB275" i="17"/>
  <c r="AA275" i="17"/>
  <c r="U275" i="17"/>
  <c r="T275" i="17"/>
  <c r="AO274" i="17"/>
  <c r="AL274" i="17"/>
  <c r="AK274" i="17"/>
  <c r="AJ274" i="17"/>
  <c r="AI274" i="17"/>
  <c r="AH274" i="17"/>
  <c r="AG274" i="17"/>
  <c r="AF274" i="17"/>
  <c r="AE274" i="17"/>
  <c r="AD274" i="17"/>
  <c r="AC274" i="17"/>
  <c r="AB274" i="17"/>
  <c r="AA274" i="17"/>
  <c r="U274" i="17"/>
  <c r="T274" i="17"/>
  <c r="AO273" i="17"/>
  <c r="AL273" i="17"/>
  <c r="AK273" i="17"/>
  <c r="AJ273" i="17"/>
  <c r="AI273" i="17"/>
  <c r="AH273" i="17"/>
  <c r="AG273" i="17"/>
  <c r="AF273" i="17"/>
  <c r="AE273" i="17"/>
  <c r="AD273" i="17"/>
  <c r="AC273" i="17"/>
  <c r="AB273" i="17"/>
  <c r="AA273" i="17"/>
  <c r="U273" i="17"/>
  <c r="T273" i="17"/>
  <c r="AO272" i="17"/>
  <c r="AL272" i="17"/>
  <c r="AK272" i="17"/>
  <c r="AJ272" i="17"/>
  <c r="AI272" i="17"/>
  <c r="AH272" i="17"/>
  <c r="AG272" i="17"/>
  <c r="AF272" i="17"/>
  <c r="AE272" i="17"/>
  <c r="AD272" i="17"/>
  <c r="AC272" i="17"/>
  <c r="AB272" i="17"/>
  <c r="AA272" i="17"/>
  <c r="U272" i="17"/>
  <c r="T272" i="17"/>
  <c r="J266" i="17"/>
  <c r="M265" i="17"/>
  <c r="L265" i="17"/>
  <c r="J265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AO262" i="17"/>
  <c r="AL262" i="17"/>
  <c r="AK262" i="17"/>
  <c r="AJ262" i="17"/>
  <c r="AI262" i="17"/>
  <c r="AH262" i="17"/>
  <c r="AG262" i="17"/>
  <c r="AF262" i="17"/>
  <c r="AE262" i="17"/>
  <c r="AD262" i="17"/>
  <c r="AC262" i="17"/>
  <c r="AB262" i="17"/>
  <c r="AA262" i="17"/>
  <c r="U262" i="17"/>
  <c r="T262" i="17"/>
  <c r="AO261" i="17"/>
  <c r="AL261" i="17"/>
  <c r="AK261" i="17"/>
  <c r="AJ261" i="17"/>
  <c r="AI261" i="17"/>
  <c r="AH261" i="17"/>
  <c r="AG261" i="17"/>
  <c r="AF261" i="17"/>
  <c r="AE261" i="17"/>
  <c r="AD261" i="17"/>
  <c r="AC261" i="17"/>
  <c r="AB261" i="17"/>
  <c r="AA261" i="17"/>
  <c r="U261" i="17"/>
  <c r="AO260" i="17"/>
  <c r="AL260" i="17"/>
  <c r="AK260" i="17"/>
  <c r="AJ260" i="17"/>
  <c r="AI260" i="17"/>
  <c r="AH260" i="17"/>
  <c r="AG260" i="17"/>
  <c r="AF260" i="17"/>
  <c r="AE260" i="17"/>
  <c r="AD260" i="17"/>
  <c r="AC260" i="17"/>
  <c r="AB260" i="17"/>
  <c r="AA260" i="17"/>
  <c r="U260" i="17"/>
  <c r="T260" i="17"/>
  <c r="AO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U259" i="17"/>
  <c r="T259" i="17"/>
  <c r="AO258" i="17"/>
  <c r="AL258" i="17"/>
  <c r="AK258" i="17"/>
  <c r="AJ258" i="17"/>
  <c r="AI258" i="17"/>
  <c r="AH258" i="17"/>
  <c r="AG258" i="17"/>
  <c r="AF258" i="17"/>
  <c r="AE258" i="17"/>
  <c r="AD258" i="17"/>
  <c r="AC258" i="17"/>
  <c r="AB258" i="17"/>
  <c r="AA258" i="17"/>
  <c r="U258" i="17"/>
  <c r="T258" i="17"/>
  <c r="AO257" i="17"/>
  <c r="AL257" i="17"/>
  <c r="AK257" i="17"/>
  <c r="AJ257" i="17"/>
  <c r="AI257" i="17"/>
  <c r="AH257" i="17"/>
  <c r="AG257" i="17"/>
  <c r="AF257" i="17"/>
  <c r="AE257" i="17"/>
  <c r="AD257" i="17"/>
  <c r="AC257" i="17"/>
  <c r="AB257" i="17"/>
  <c r="AA257" i="17"/>
  <c r="U257" i="17"/>
  <c r="T257" i="17"/>
  <c r="AO256" i="17"/>
  <c r="AL256" i="17"/>
  <c r="AK256" i="17"/>
  <c r="AJ256" i="17"/>
  <c r="AI256" i="17"/>
  <c r="AH256" i="17"/>
  <c r="AG256" i="17"/>
  <c r="AF256" i="17"/>
  <c r="AE256" i="17"/>
  <c r="AD256" i="17"/>
  <c r="AC256" i="17"/>
  <c r="AB256" i="17"/>
  <c r="AA256" i="17"/>
  <c r="U256" i="17"/>
  <c r="T256" i="17"/>
  <c r="AO255" i="17"/>
  <c r="AL255" i="17"/>
  <c r="AK255" i="17"/>
  <c r="AJ255" i="17"/>
  <c r="AI255" i="17"/>
  <c r="AH255" i="17"/>
  <c r="AG255" i="17"/>
  <c r="AF255" i="17"/>
  <c r="AE255" i="17"/>
  <c r="AD255" i="17"/>
  <c r="AC255" i="17"/>
  <c r="AB255" i="17"/>
  <c r="AA255" i="17"/>
  <c r="U255" i="17"/>
  <c r="T255" i="17"/>
  <c r="AO254" i="17"/>
  <c r="AL254" i="17"/>
  <c r="AK254" i="17"/>
  <c r="AJ254" i="17"/>
  <c r="AI254" i="17"/>
  <c r="AH254" i="17"/>
  <c r="AG254" i="17"/>
  <c r="AF254" i="17"/>
  <c r="AE254" i="17"/>
  <c r="AD254" i="17"/>
  <c r="AC254" i="17"/>
  <c r="AB254" i="17"/>
  <c r="AA254" i="17"/>
  <c r="U254" i="17"/>
  <c r="T254" i="17"/>
  <c r="AO253" i="17"/>
  <c r="AL253" i="17"/>
  <c r="AK253" i="17"/>
  <c r="AJ253" i="17"/>
  <c r="AI253" i="17"/>
  <c r="AH253" i="17"/>
  <c r="AG253" i="17"/>
  <c r="AF253" i="17"/>
  <c r="AE253" i="17"/>
  <c r="AD253" i="17"/>
  <c r="AC253" i="17"/>
  <c r="AB253" i="17"/>
  <c r="AA253" i="17"/>
  <c r="U253" i="17"/>
  <c r="T253" i="17"/>
  <c r="AO252" i="17"/>
  <c r="AL252" i="17"/>
  <c r="AK252" i="17"/>
  <c r="AJ252" i="17"/>
  <c r="AI252" i="17"/>
  <c r="AH252" i="17"/>
  <c r="AG252" i="17"/>
  <c r="AF252" i="17"/>
  <c r="AE252" i="17"/>
  <c r="AD252" i="17"/>
  <c r="AC252" i="17"/>
  <c r="AB252" i="17"/>
  <c r="AA252" i="17"/>
  <c r="U252" i="17"/>
  <c r="T252" i="17"/>
  <c r="AO251" i="17"/>
  <c r="AL251" i="17"/>
  <c r="AK251" i="17"/>
  <c r="AJ251" i="17"/>
  <c r="AI251" i="17"/>
  <c r="AH251" i="17"/>
  <c r="AG251" i="17"/>
  <c r="AF251" i="17"/>
  <c r="AE251" i="17"/>
  <c r="AD251" i="17"/>
  <c r="AC251" i="17"/>
  <c r="AB251" i="17"/>
  <c r="AA251" i="17"/>
  <c r="U251" i="17"/>
  <c r="T251" i="17"/>
  <c r="J245" i="17"/>
  <c r="M244" i="17"/>
  <c r="L244" i="17"/>
  <c r="J244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AO241" i="17"/>
  <c r="AL241" i="17"/>
  <c r="AK241" i="17"/>
  <c r="AJ241" i="17"/>
  <c r="AI241" i="17"/>
  <c r="AH241" i="17"/>
  <c r="AG241" i="17"/>
  <c r="AF241" i="17"/>
  <c r="AE241" i="17"/>
  <c r="AD241" i="17"/>
  <c r="AC241" i="17"/>
  <c r="AB241" i="17"/>
  <c r="AA241" i="17"/>
  <c r="U241" i="17"/>
  <c r="T241" i="17"/>
  <c r="AO240" i="17"/>
  <c r="AL240" i="17"/>
  <c r="AK240" i="17"/>
  <c r="AJ240" i="17"/>
  <c r="AI240" i="17"/>
  <c r="AH240" i="17"/>
  <c r="AG240" i="17"/>
  <c r="AF240" i="17"/>
  <c r="AE240" i="17"/>
  <c r="AD240" i="17"/>
  <c r="AC240" i="17"/>
  <c r="AB240" i="17"/>
  <c r="AA240" i="17"/>
  <c r="U240" i="17"/>
  <c r="T240" i="17"/>
  <c r="AO239" i="17"/>
  <c r="AL239" i="17"/>
  <c r="AK239" i="17"/>
  <c r="AJ239" i="17"/>
  <c r="AI239" i="17"/>
  <c r="AH239" i="17"/>
  <c r="AG239" i="17"/>
  <c r="AF239" i="17"/>
  <c r="AE239" i="17"/>
  <c r="AD239" i="17"/>
  <c r="AC239" i="17"/>
  <c r="AB239" i="17"/>
  <c r="AA239" i="17"/>
  <c r="U239" i="17"/>
  <c r="T239" i="17"/>
  <c r="AO238" i="17"/>
  <c r="AL238" i="17"/>
  <c r="AK238" i="17"/>
  <c r="AJ238" i="17"/>
  <c r="AI238" i="17"/>
  <c r="AH238" i="17"/>
  <c r="AG238" i="17"/>
  <c r="AF238" i="17"/>
  <c r="AE238" i="17"/>
  <c r="AD238" i="17"/>
  <c r="AC238" i="17"/>
  <c r="AB238" i="17"/>
  <c r="AA238" i="17"/>
  <c r="U238" i="17"/>
  <c r="T238" i="17"/>
  <c r="AO237" i="17"/>
  <c r="AL237" i="17"/>
  <c r="AK237" i="17"/>
  <c r="AJ237" i="17"/>
  <c r="AI237" i="17"/>
  <c r="AH237" i="17"/>
  <c r="AG237" i="17"/>
  <c r="AF237" i="17"/>
  <c r="AE237" i="17"/>
  <c r="AD237" i="17"/>
  <c r="AC237" i="17"/>
  <c r="AB237" i="17"/>
  <c r="AA237" i="17"/>
  <c r="U237" i="17"/>
  <c r="T237" i="17"/>
  <c r="AO236" i="17"/>
  <c r="AL236" i="17"/>
  <c r="AK236" i="17"/>
  <c r="AJ236" i="17"/>
  <c r="AI236" i="17"/>
  <c r="AH236" i="17"/>
  <c r="AG236" i="17"/>
  <c r="AF236" i="17"/>
  <c r="AE236" i="17"/>
  <c r="AD236" i="17"/>
  <c r="AC236" i="17"/>
  <c r="AB236" i="17"/>
  <c r="AA236" i="17"/>
  <c r="U236" i="17"/>
  <c r="T236" i="17"/>
  <c r="AO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U235" i="17"/>
  <c r="T235" i="17"/>
  <c r="AO234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A234" i="17"/>
  <c r="U234" i="17"/>
  <c r="T234" i="17"/>
  <c r="AO233" i="17"/>
  <c r="AL233" i="17"/>
  <c r="AK233" i="17"/>
  <c r="AJ233" i="17"/>
  <c r="AI233" i="17"/>
  <c r="AH233" i="17"/>
  <c r="AG233" i="17"/>
  <c r="AF233" i="17"/>
  <c r="AE233" i="17"/>
  <c r="AD233" i="17"/>
  <c r="AC233" i="17"/>
  <c r="AB233" i="17"/>
  <c r="AA233" i="17"/>
  <c r="U233" i="17"/>
  <c r="T233" i="17"/>
  <c r="AO232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A232" i="17"/>
  <c r="U232" i="17"/>
  <c r="T232" i="17"/>
  <c r="AO231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A231" i="17"/>
  <c r="U231" i="17"/>
  <c r="T231" i="17"/>
  <c r="AO230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A230" i="17"/>
  <c r="U230" i="17"/>
  <c r="T230" i="17"/>
  <c r="J224" i="17"/>
  <c r="M223" i="17"/>
  <c r="L223" i="17"/>
  <c r="J223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AO220" i="17"/>
  <c r="AL220" i="17"/>
  <c r="AK220" i="17"/>
  <c r="AJ220" i="17"/>
  <c r="AI220" i="17"/>
  <c r="AH220" i="17"/>
  <c r="AG220" i="17"/>
  <c r="AF220" i="17"/>
  <c r="AE220" i="17"/>
  <c r="AD220" i="17"/>
  <c r="AC220" i="17"/>
  <c r="AB220" i="17"/>
  <c r="AA220" i="17"/>
  <c r="U220" i="17"/>
  <c r="T220" i="17"/>
  <c r="AO219" i="17"/>
  <c r="AL219" i="17"/>
  <c r="AK219" i="17"/>
  <c r="AJ219" i="17"/>
  <c r="AI219" i="17"/>
  <c r="AH219" i="17"/>
  <c r="AG219" i="17"/>
  <c r="AF219" i="17"/>
  <c r="AE219" i="17"/>
  <c r="AD219" i="17"/>
  <c r="AC219" i="17"/>
  <c r="AB219" i="17"/>
  <c r="AA219" i="17"/>
  <c r="U219" i="17"/>
  <c r="T219" i="17"/>
  <c r="AO218" i="17"/>
  <c r="AL218" i="17"/>
  <c r="AK218" i="17"/>
  <c r="AJ218" i="17"/>
  <c r="AI218" i="17"/>
  <c r="AH218" i="17"/>
  <c r="AG218" i="17"/>
  <c r="AF218" i="17"/>
  <c r="AE218" i="17"/>
  <c r="AD218" i="17"/>
  <c r="AC218" i="17"/>
  <c r="AB218" i="17"/>
  <c r="AA218" i="17"/>
  <c r="U218" i="17"/>
  <c r="T218" i="17"/>
  <c r="AO217" i="17"/>
  <c r="AL217" i="17"/>
  <c r="AK217" i="17"/>
  <c r="AJ217" i="17"/>
  <c r="AI217" i="17"/>
  <c r="AH217" i="17"/>
  <c r="AG217" i="17"/>
  <c r="AF217" i="17"/>
  <c r="AE217" i="17"/>
  <c r="AD217" i="17"/>
  <c r="AC217" i="17"/>
  <c r="AB217" i="17"/>
  <c r="AA217" i="17"/>
  <c r="U217" i="17"/>
  <c r="T217" i="17"/>
  <c r="AO216" i="17"/>
  <c r="AL216" i="17"/>
  <c r="AK216" i="17"/>
  <c r="AJ216" i="17"/>
  <c r="AI216" i="17"/>
  <c r="AH216" i="17"/>
  <c r="AG216" i="17"/>
  <c r="AF216" i="17"/>
  <c r="AE216" i="17"/>
  <c r="AD216" i="17"/>
  <c r="AC216" i="17"/>
  <c r="AB216" i="17"/>
  <c r="AA216" i="17"/>
  <c r="U216" i="17"/>
  <c r="T216" i="17"/>
  <c r="AO215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A215" i="17"/>
  <c r="U215" i="17"/>
  <c r="T215" i="17"/>
  <c r="AO214" i="17"/>
  <c r="AL214" i="17"/>
  <c r="AK214" i="17"/>
  <c r="AJ214" i="17"/>
  <c r="AI214" i="17"/>
  <c r="AH214" i="17"/>
  <c r="AG214" i="17"/>
  <c r="AF214" i="17"/>
  <c r="AE214" i="17"/>
  <c r="AD214" i="17"/>
  <c r="AC214" i="17"/>
  <c r="AB214" i="17"/>
  <c r="AA214" i="17"/>
  <c r="U214" i="17"/>
  <c r="T214" i="17"/>
  <c r="AO213" i="17"/>
  <c r="AL213" i="17"/>
  <c r="AK213" i="17"/>
  <c r="AJ213" i="17"/>
  <c r="AI213" i="17"/>
  <c r="AH213" i="17"/>
  <c r="AG213" i="17"/>
  <c r="AF213" i="17"/>
  <c r="AE213" i="17"/>
  <c r="AD213" i="17"/>
  <c r="AC213" i="17"/>
  <c r="AB213" i="17"/>
  <c r="AA213" i="17"/>
  <c r="U213" i="17"/>
  <c r="T213" i="17"/>
  <c r="AO212" i="17"/>
  <c r="AL212" i="17"/>
  <c r="AK212" i="17"/>
  <c r="AJ212" i="17"/>
  <c r="AI212" i="17"/>
  <c r="AH212" i="17"/>
  <c r="AG212" i="17"/>
  <c r="AF212" i="17"/>
  <c r="AE212" i="17"/>
  <c r="AD212" i="17"/>
  <c r="AC212" i="17"/>
  <c r="AB212" i="17"/>
  <c r="AA212" i="17"/>
  <c r="U212" i="17"/>
  <c r="T212" i="17"/>
  <c r="AO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U211" i="17"/>
  <c r="T211" i="17"/>
  <c r="AO210" i="17"/>
  <c r="AL210" i="17"/>
  <c r="AK210" i="17"/>
  <c r="AJ210" i="17"/>
  <c r="AI210" i="17"/>
  <c r="AH210" i="17"/>
  <c r="AG210" i="17"/>
  <c r="AF210" i="17"/>
  <c r="AE210" i="17"/>
  <c r="AD210" i="17"/>
  <c r="AC210" i="17"/>
  <c r="AB210" i="17"/>
  <c r="AA210" i="17"/>
  <c r="U210" i="17"/>
  <c r="T210" i="17"/>
  <c r="AO209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A209" i="17"/>
  <c r="U209" i="17"/>
  <c r="T209" i="17"/>
  <c r="J203" i="17"/>
  <c r="M202" i="17"/>
  <c r="L202" i="17"/>
  <c r="J202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AO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U199" i="17"/>
  <c r="T199" i="17"/>
  <c r="AO198" i="17"/>
  <c r="AL198" i="17"/>
  <c r="AK198" i="17"/>
  <c r="AJ198" i="17"/>
  <c r="AI198" i="17"/>
  <c r="AH198" i="17"/>
  <c r="AG198" i="17"/>
  <c r="AF198" i="17"/>
  <c r="AE198" i="17"/>
  <c r="AD198" i="17"/>
  <c r="AC198" i="17"/>
  <c r="AB198" i="17"/>
  <c r="AA198" i="17"/>
  <c r="U198" i="17"/>
  <c r="T198" i="17"/>
  <c r="AO197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A197" i="17"/>
  <c r="U197" i="17"/>
  <c r="T197" i="17"/>
  <c r="AO196" i="17"/>
  <c r="AL196" i="17"/>
  <c r="AK196" i="17"/>
  <c r="AJ196" i="17"/>
  <c r="AI196" i="17"/>
  <c r="AH196" i="17"/>
  <c r="AG196" i="17"/>
  <c r="AF196" i="17"/>
  <c r="AE196" i="17"/>
  <c r="AD196" i="17"/>
  <c r="AC196" i="17"/>
  <c r="AB196" i="17"/>
  <c r="AA196" i="17"/>
  <c r="U196" i="17"/>
  <c r="T196" i="17"/>
  <c r="AO195" i="17"/>
  <c r="AL195" i="17"/>
  <c r="AK195" i="17"/>
  <c r="AJ195" i="17"/>
  <c r="AI195" i="17"/>
  <c r="AH195" i="17"/>
  <c r="AG195" i="17"/>
  <c r="AF195" i="17"/>
  <c r="AE195" i="17"/>
  <c r="AD195" i="17"/>
  <c r="AC195" i="17"/>
  <c r="AB195" i="17"/>
  <c r="AA195" i="17"/>
  <c r="U195" i="17"/>
  <c r="T195" i="17"/>
  <c r="AO194" i="17"/>
  <c r="AL194" i="17"/>
  <c r="AK194" i="17"/>
  <c r="AJ194" i="17"/>
  <c r="AI194" i="17"/>
  <c r="AH194" i="17"/>
  <c r="AG194" i="17"/>
  <c r="AF194" i="17"/>
  <c r="AE194" i="17"/>
  <c r="AD194" i="17"/>
  <c r="AC194" i="17"/>
  <c r="AB194" i="17"/>
  <c r="AA194" i="17"/>
  <c r="U194" i="17"/>
  <c r="T194" i="17"/>
  <c r="AO193" i="17"/>
  <c r="AL193" i="17"/>
  <c r="AK193" i="17"/>
  <c r="AJ193" i="17"/>
  <c r="AI193" i="17"/>
  <c r="AH193" i="17"/>
  <c r="AG193" i="17"/>
  <c r="AF193" i="17"/>
  <c r="AE193" i="17"/>
  <c r="AD193" i="17"/>
  <c r="AC193" i="17"/>
  <c r="AB193" i="17"/>
  <c r="AA193" i="17"/>
  <c r="U193" i="17"/>
  <c r="T193" i="17"/>
  <c r="AO192" i="17"/>
  <c r="AL192" i="17"/>
  <c r="AK192" i="17"/>
  <c r="AJ192" i="17"/>
  <c r="AI192" i="17"/>
  <c r="AH192" i="17"/>
  <c r="AG192" i="17"/>
  <c r="AF192" i="17"/>
  <c r="AE192" i="17"/>
  <c r="AD192" i="17"/>
  <c r="AC192" i="17"/>
  <c r="AB192" i="17"/>
  <c r="AA192" i="17"/>
  <c r="U192" i="17"/>
  <c r="T192" i="17"/>
  <c r="AO191" i="17"/>
  <c r="AL191" i="17"/>
  <c r="AK191" i="17"/>
  <c r="AJ191" i="17"/>
  <c r="AI191" i="17"/>
  <c r="AH191" i="17"/>
  <c r="AG191" i="17"/>
  <c r="AF191" i="17"/>
  <c r="AE191" i="17"/>
  <c r="AD191" i="17"/>
  <c r="AC191" i="17"/>
  <c r="AB191" i="17"/>
  <c r="AA191" i="17"/>
  <c r="U191" i="17"/>
  <c r="T191" i="17"/>
  <c r="AO190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A190" i="17"/>
  <c r="U190" i="17"/>
  <c r="T190" i="17"/>
  <c r="AO189" i="17"/>
  <c r="AL189" i="17"/>
  <c r="AK189" i="17"/>
  <c r="AJ189" i="17"/>
  <c r="AI189" i="17"/>
  <c r="AH189" i="17"/>
  <c r="AG189" i="17"/>
  <c r="AF189" i="17"/>
  <c r="AE189" i="17"/>
  <c r="AD189" i="17"/>
  <c r="AC189" i="17"/>
  <c r="AB189" i="17"/>
  <c r="AA189" i="17"/>
  <c r="U189" i="17"/>
  <c r="T189" i="17"/>
  <c r="AO188" i="17"/>
  <c r="AL188" i="17"/>
  <c r="AK188" i="17"/>
  <c r="AJ188" i="17"/>
  <c r="AI188" i="17"/>
  <c r="AH188" i="17"/>
  <c r="AG188" i="17"/>
  <c r="AF188" i="17"/>
  <c r="AE188" i="17"/>
  <c r="AD188" i="17"/>
  <c r="AC188" i="17"/>
  <c r="AB188" i="17"/>
  <c r="AA188" i="17"/>
  <c r="U188" i="17"/>
  <c r="T188" i="17"/>
  <c r="J182" i="17"/>
  <c r="M181" i="17"/>
  <c r="L181" i="17"/>
  <c r="J181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AO178" i="17"/>
  <c r="AL178" i="17"/>
  <c r="AK178" i="17"/>
  <c r="AJ178" i="17"/>
  <c r="AI178" i="17"/>
  <c r="AH178" i="17"/>
  <c r="AG178" i="17"/>
  <c r="AF178" i="17"/>
  <c r="AE178" i="17"/>
  <c r="AD178" i="17"/>
  <c r="AC178" i="17"/>
  <c r="AB178" i="17"/>
  <c r="AA178" i="17"/>
  <c r="U178" i="17"/>
  <c r="T178" i="17"/>
  <c r="AO177" i="17"/>
  <c r="AL177" i="17"/>
  <c r="AK177" i="17"/>
  <c r="AJ177" i="17"/>
  <c r="AI177" i="17"/>
  <c r="AH177" i="17"/>
  <c r="AG177" i="17"/>
  <c r="AF177" i="17"/>
  <c r="AE177" i="17"/>
  <c r="AD177" i="17"/>
  <c r="AC177" i="17"/>
  <c r="AB177" i="17"/>
  <c r="AA177" i="17"/>
  <c r="U177" i="17"/>
  <c r="T177" i="17"/>
  <c r="AO176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A176" i="17"/>
  <c r="U176" i="17"/>
  <c r="T176" i="17"/>
  <c r="AO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U175" i="17"/>
  <c r="T175" i="17"/>
  <c r="AO174" i="17"/>
  <c r="AL174" i="17"/>
  <c r="AK174" i="17"/>
  <c r="AJ174" i="17"/>
  <c r="AI174" i="17"/>
  <c r="AH174" i="17"/>
  <c r="AG174" i="17"/>
  <c r="AF174" i="17"/>
  <c r="AE174" i="17"/>
  <c r="AD174" i="17"/>
  <c r="AC174" i="17"/>
  <c r="AB174" i="17"/>
  <c r="AA174" i="17"/>
  <c r="U174" i="17"/>
  <c r="T174" i="17"/>
  <c r="AO173" i="17"/>
  <c r="AL173" i="17"/>
  <c r="AK173" i="17"/>
  <c r="AJ173" i="17"/>
  <c r="AI173" i="17"/>
  <c r="AH173" i="17"/>
  <c r="AG173" i="17"/>
  <c r="AF173" i="17"/>
  <c r="AE173" i="17"/>
  <c r="AD173" i="17"/>
  <c r="AC173" i="17"/>
  <c r="AB173" i="17"/>
  <c r="AA173" i="17"/>
  <c r="U173" i="17"/>
  <c r="T173" i="17"/>
  <c r="AO172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A172" i="17"/>
  <c r="U172" i="17"/>
  <c r="T172" i="17"/>
  <c r="AO171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A171" i="17"/>
  <c r="U171" i="17"/>
  <c r="T171" i="17"/>
  <c r="AO170" i="17"/>
  <c r="AL170" i="17"/>
  <c r="AK170" i="17"/>
  <c r="AJ170" i="17"/>
  <c r="AI170" i="17"/>
  <c r="AH170" i="17"/>
  <c r="AG170" i="17"/>
  <c r="AF170" i="17"/>
  <c r="AE170" i="17"/>
  <c r="AD170" i="17"/>
  <c r="AC170" i="17"/>
  <c r="AB170" i="17"/>
  <c r="AA170" i="17"/>
  <c r="U170" i="17"/>
  <c r="T170" i="17"/>
  <c r="AO169" i="17"/>
  <c r="AL169" i="17"/>
  <c r="AK169" i="17"/>
  <c r="AJ169" i="17"/>
  <c r="AI169" i="17"/>
  <c r="AH169" i="17"/>
  <c r="AG169" i="17"/>
  <c r="AF169" i="17"/>
  <c r="AE169" i="17"/>
  <c r="AD169" i="17"/>
  <c r="AC169" i="17"/>
  <c r="AB169" i="17"/>
  <c r="AA169" i="17"/>
  <c r="U169" i="17"/>
  <c r="T169" i="17"/>
  <c r="AO168" i="17"/>
  <c r="AL168" i="17"/>
  <c r="AK168" i="17"/>
  <c r="AJ168" i="17"/>
  <c r="AI168" i="17"/>
  <c r="AH168" i="17"/>
  <c r="AG168" i="17"/>
  <c r="AF168" i="17"/>
  <c r="AE168" i="17"/>
  <c r="AD168" i="17"/>
  <c r="AC168" i="17"/>
  <c r="AB168" i="17"/>
  <c r="AA168" i="17"/>
  <c r="U168" i="17"/>
  <c r="T168" i="17"/>
  <c r="AO167" i="17"/>
  <c r="AL167" i="17"/>
  <c r="AK167" i="17"/>
  <c r="AJ167" i="17"/>
  <c r="AI167" i="17"/>
  <c r="AH167" i="17"/>
  <c r="AG167" i="17"/>
  <c r="AF167" i="17"/>
  <c r="AE167" i="17"/>
  <c r="AD167" i="17"/>
  <c r="AC167" i="17"/>
  <c r="AB167" i="17"/>
  <c r="AA167" i="17"/>
  <c r="U167" i="17"/>
  <c r="T167" i="17"/>
  <c r="J161" i="17"/>
  <c r="M160" i="17"/>
  <c r="L160" i="17"/>
  <c r="J160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AO157" i="17"/>
  <c r="AL157" i="17"/>
  <c r="AK157" i="17"/>
  <c r="AJ157" i="17"/>
  <c r="AI157" i="17"/>
  <c r="AH157" i="17"/>
  <c r="AG157" i="17"/>
  <c r="AF157" i="17"/>
  <c r="AE157" i="17"/>
  <c r="AD157" i="17"/>
  <c r="AC157" i="17"/>
  <c r="AB157" i="17"/>
  <c r="AA157" i="17"/>
  <c r="U157" i="17"/>
  <c r="T157" i="17"/>
  <c r="AO156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U156" i="17"/>
  <c r="T156" i="17"/>
  <c r="AO155" i="17"/>
  <c r="AL155" i="17"/>
  <c r="AK155" i="17"/>
  <c r="AJ155" i="17"/>
  <c r="AI155" i="17"/>
  <c r="AH155" i="17"/>
  <c r="AG155" i="17"/>
  <c r="AF155" i="17"/>
  <c r="AE155" i="17"/>
  <c r="AD155" i="17"/>
  <c r="AC155" i="17"/>
  <c r="AB155" i="17"/>
  <c r="AA155" i="17"/>
  <c r="U155" i="17"/>
  <c r="T155" i="17"/>
  <c r="AO154" i="17"/>
  <c r="AL154" i="17"/>
  <c r="AK154" i="17"/>
  <c r="AJ154" i="17"/>
  <c r="AI154" i="17"/>
  <c r="AH154" i="17"/>
  <c r="AG154" i="17"/>
  <c r="AF154" i="17"/>
  <c r="AE154" i="17"/>
  <c r="AD154" i="17"/>
  <c r="AC154" i="17"/>
  <c r="AB154" i="17"/>
  <c r="AA154" i="17"/>
  <c r="U154" i="17"/>
  <c r="T154" i="17"/>
  <c r="AO153" i="17"/>
  <c r="AL153" i="17"/>
  <c r="AK153" i="17"/>
  <c r="AJ153" i="17"/>
  <c r="AI153" i="17"/>
  <c r="AH153" i="17"/>
  <c r="AG153" i="17"/>
  <c r="AF153" i="17"/>
  <c r="AE153" i="17"/>
  <c r="AD153" i="17"/>
  <c r="AC153" i="17"/>
  <c r="AB153" i="17"/>
  <c r="AA153" i="17"/>
  <c r="U153" i="17"/>
  <c r="T153" i="17"/>
  <c r="AO152" i="17"/>
  <c r="AL152" i="17"/>
  <c r="AK152" i="17"/>
  <c r="AJ152" i="17"/>
  <c r="AI152" i="17"/>
  <c r="AH152" i="17"/>
  <c r="AG152" i="17"/>
  <c r="AF152" i="17"/>
  <c r="AE152" i="17"/>
  <c r="AD152" i="17"/>
  <c r="AC152" i="17"/>
  <c r="AB152" i="17"/>
  <c r="AA152" i="17"/>
  <c r="U152" i="17"/>
  <c r="T152" i="17"/>
  <c r="AO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U151" i="17"/>
  <c r="T151" i="17"/>
  <c r="AO150" i="17"/>
  <c r="AL150" i="17"/>
  <c r="AK150" i="17"/>
  <c r="AJ150" i="17"/>
  <c r="AI150" i="17"/>
  <c r="AH150" i="17"/>
  <c r="AG150" i="17"/>
  <c r="AF150" i="17"/>
  <c r="AE150" i="17"/>
  <c r="AD150" i="17"/>
  <c r="AC150" i="17"/>
  <c r="AB150" i="17"/>
  <c r="AA150" i="17"/>
  <c r="U150" i="17"/>
  <c r="T150" i="17"/>
  <c r="AO149" i="17"/>
  <c r="AL149" i="17"/>
  <c r="AK149" i="17"/>
  <c r="AJ149" i="17"/>
  <c r="AI149" i="17"/>
  <c r="AH149" i="17"/>
  <c r="AG149" i="17"/>
  <c r="AF149" i="17"/>
  <c r="AE149" i="17"/>
  <c r="AD149" i="17"/>
  <c r="AC149" i="17"/>
  <c r="AB149" i="17"/>
  <c r="AA149" i="17"/>
  <c r="U149" i="17"/>
  <c r="T149" i="17"/>
  <c r="AO148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A148" i="17"/>
  <c r="U148" i="17"/>
  <c r="T148" i="17"/>
  <c r="AO147" i="17"/>
  <c r="AL147" i="17"/>
  <c r="AK147" i="17"/>
  <c r="AJ147" i="17"/>
  <c r="AI147" i="17"/>
  <c r="AH147" i="17"/>
  <c r="AG147" i="17"/>
  <c r="AF147" i="17"/>
  <c r="AE147" i="17"/>
  <c r="AD147" i="17"/>
  <c r="AC147" i="17"/>
  <c r="AB147" i="17"/>
  <c r="AA147" i="17"/>
  <c r="U147" i="17"/>
  <c r="T147" i="17"/>
  <c r="AO146" i="17"/>
  <c r="AL146" i="17"/>
  <c r="AK146" i="17"/>
  <c r="AJ146" i="17"/>
  <c r="AI146" i="17"/>
  <c r="AH146" i="17"/>
  <c r="AG146" i="17"/>
  <c r="AF146" i="17"/>
  <c r="AE146" i="17"/>
  <c r="AD146" i="17"/>
  <c r="AC146" i="17"/>
  <c r="AB146" i="17"/>
  <c r="AA146" i="17"/>
  <c r="U146" i="17"/>
  <c r="T146" i="17"/>
  <c r="J140" i="17"/>
  <c r="M139" i="17"/>
  <c r="L139" i="17"/>
  <c r="J139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AO136" i="17"/>
  <c r="AL136" i="17"/>
  <c r="AK136" i="17"/>
  <c r="AJ136" i="17"/>
  <c r="AI136" i="17"/>
  <c r="AH136" i="17"/>
  <c r="AG136" i="17"/>
  <c r="AF136" i="17"/>
  <c r="AE136" i="17"/>
  <c r="AD136" i="17"/>
  <c r="AC136" i="17"/>
  <c r="AB136" i="17"/>
  <c r="AA136" i="17"/>
  <c r="U136" i="17"/>
  <c r="T136" i="17"/>
  <c r="AO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U135" i="17"/>
  <c r="T135" i="17"/>
  <c r="AO134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A134" i="17"/>
  <c r="U134" i="17"/>
  <c r="T134" i="17"/>
  <c r="AO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U133" i="17"/>
  <c r="T133" i="17"/>
  <c r="AO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U132" i="17"/>
  <c r="T132" i="17"/>
  <c r="AO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U131" i="17"/>
  <c r="T131" i="17"/>
  <c r="AO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U130" i="17"/>
  <c r="T130" i="17"/>
  <c r="AO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U129" i="17"/>
  <c r="T129" i="17"/>
  <c r="AO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U128" i="17"/>
  <c r="T128" i="17"/>
  <c r="AO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U127" i="17"/>
  <c r="T127" i="17"/>
  <c r="AO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U126" i="17"/>
  <c r="T126" i="17"/>
  <c r="AO125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A125" i="17"/>
  <c r="U125" i="17"/>
  <c r="T125" i="17"/>
  <c r="J119" i="17"/>
  <c r="M118" i="17"/>
  <c r="L118" i="17"/>
  <c r="J118" i="17"/>
  <c r="D117" i="17"/>
  <c r="Y115" i="17"/>
  <c r="Y112" i="17"/>
  <c r="U112" i="17"/>
  <c r="T112" i="17"/>
  <c r="U110" i="17"/>
  <c r="T110" i="17"/>
  <c r="U108" i="17"/>
  <c r="T108" i="17"/>
  <c r="U106" i="17"/>
  <c r="T106" i="17"/>
  <c r="U104" i="17"/>
  <c r="T104" i="17"/>
  <c r="Y102" i="17"/>
  <c r="U102" i="17"/>
  <c r="T102" i="17"/>
  <c r="Y100" i="17"/>
  <c r="U100" i="17"/>
  <c r="T100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Y98" i="17"/>
  <c r="U98" i="17"/>
  <c r="T98" i="17"/>
  <c r="Y97" i="17"/>
  <c r="S97" i="17"/>
  <c r="R97" i="17"/>
  <c r="Q97" i="17"/>
  <c r="Q359" i="17" s="1"/>
  <c r="AJ359" i="17" s="1"/>
  <c r="P97" i="17"/>
  <c r="O97" i="17"/>
  <c r="N97" i="17"/>
  <c r="M97" i="17"/>
  <c r="L97" i="17"/>
  <c r="K97" i="17"/>
  <c r="J97" i="17"/>
  <c r="J359" i="17" s="1"/>
  <c r="I97" i="17"/>
  <c r="H97" i="17"/>
  <c r="G97" i="17"/>
  <c r="F97" i="17"/>
  <c r="F359" i="17" s="1"/>
  <c r="E97" i="17"/>
  <c r="E359" i="17" s="1"/>
  <c r="D97" i="17"/>
  <c r="D359" i="17" s="1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Y96" i="17"/>
  <c r="U96" i="17"/>
  <c r="T96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Y95" i="17"/>
  <c r="U95" i="17"/>
  <c r="T95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Y94" i="17"/>
  <c r="U94" i="17"/>
  <c r="T94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Y93" i="17"/>
  <c r="U93" i="17"/>
  <c r="T93" i="17"/>
  <c r="AL92" i="17"/>
  <c r="AK92" i="17"/>
  <c r="AJ92" i="17"/>
  <c r="AI92" i="17"/>
  <c r="AH92" i="17"/>
  <c r="AG92" i="17"/>
  <c r="AF92" i="17"/>
  <c r="AE92" i="17"/>
  <c r="AD92" i="17"/>
  <c r="AC92" i="17"/>
  <c r="AB92" i="17"/>
  <c r="AA92" i="17"/>
  <c r="Y92" i="17"/>
  <c r="U92" i="17"/>
  <c r="T92" i="17"/>
  <c r="J86" i="17"/>
  <c r="M85" i="17"/>
  <c r="L85" i="17"/>
  <c r="J85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AO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U82" i="17"/>
  <c r="T82" i="17"/>
  <c r="AO81" i="17"/>
  <c r="AL81" i="17"/>
  <c r="AK81" i="17"/>
  <c r="AJ81" i="17"/>
  <c r="AI81" i="17"/>
  <c r="AH81" i="17"/>
  <c r="AG81" i="17"/>
  <c r="AF81" i="17"/>
  <c r="AE81" i="17"/>
  <c r="AD81" i="17"/>
  <c r="AC81" i="17"/>
  <c r="AB81" i="17"/>
  <c r="AA81" i="17"/>
  <c r="U81" i="17"/>
  <c r="T81" i="17"/>
  <c r="AO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U80" i="17"/>
  <c r="T80" i="17"/>
  <c r="AO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U79" i="17"/>
  <c r="T79" i="17"/>
  <c r="AO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U78" i="17"/>
  <c r="T78" i="17"/>
  <c r="AO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U77" i="17"/>
  <c r="T77" i="17"/>
  <c r="AO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U76" i="17"/>
  <c r="T76" i="17"/>
  <c r="AO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U75" i="17"/>
  <c r="T75" i="17"/>
  <c r="AO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U74" i="17"/>
  <c r="T74" i="17"/>
  <c r="AO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U73" i="17"/>
  <c r="T73" i="17"/>
  <c r="AO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U72" i="17"/>
  <c r="T72" i="17"/>
  <c r="AO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U71" i="17"/>
  <c r="T71" i="17"/>
  <c r="J65" i="17"/>
  <c r="M64" i="17"/>
  <c r="L64" i="17"/>
  <c r="J64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AO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U61" i="17"/>
  <c r="T61" i="17"/>
  <c r="AO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U60" i="17"/>
  <c r="T60" i="17"/>
  <c r="AO59" i="17"/>
  <c r="AL59" i="17"/>
  <c r="AK59" i="17"/>
  <c r="AJ59" i="17"/>
  <c r="AI59" i="17"/>
  <c r="AH59" i="17"/>
  <c r="AG59" i="17"/>
  <c r="AF59" i="17"/>
  <c r="AE59" i="17"/>
  <c r="AD59" i="17"/>
  <c r="AC59" i="17"/>
  <c r="AB59" i="17"/>
  <c r="AA59" i="17"/>
  <c r="U59" i="17"/>
  <c r="T59" i="17"/>
  <c r="AO58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U58" i="17"/>
  <c r="T58" i="17"/>
  <c r="AO57" i="17"/>
  <c r="AL57" i="17"/>
  <c r="AK57" i="17"/>
  <c r="AJ57" i="17"/>
  <c r="AI57" i="17"/>
  <c r="AH57" i="17"/>
  <c r="AG57" i="17"/>
  <c r="AF57" i="17"/>
  <c r="AE57" i="17"/>
  <c r="AD57" i="17"/>
  <c r="AC57" i="17"/>
  <c r="AB57" i="17"/>
  <c r="AA57" i="17"/>
  <c r="U57" i="17"/>
  <c r="T57" i="17"/>
  <c r="AO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U56" i="17"/>
  <c r="T56" i="17"/>
  <c r="AO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U55" i="17"/>
  <c r="T55" i="17"/>
  <c r="AO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U54" i="17"/>
  <c r="T54" i="17"/>
  <c r="AO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U53" i="17"/>
  <c r="T53" i="17"/>
  <c r="AO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U52" i="17"/>
  <c r="T52" i="17"/>
  <c r="AO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U51" i="17"/>
  <c r="T51" i="17"/>
  <c r="AO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U50" i="17"/>
  <c r="T50" i="17"/>
  <c r="J44" i="17"/>
  <c r="M43" i="17"/>
  <c r="L43" i="17"/>
  <c r="J43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AO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U40" i="17"/>
  <c r="T40" i="17"/>
  <c r="AO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U39" i="17"/>
  <c r="T39" i="17"/>
  <c r="AO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U38" i="17"/>
  <c r="T38" i="17"/>
  <c r="AO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U37" i="17"/>
  <c r="T37" i="17"/>
  <c r="AO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U36" i="17"/>
  <c r="T36" i="17"/>
  <c r="AO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U35" i="17"/>
  <c r="T35" i="17"/>
  <c r="AO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U34" i="17"/>
  <c r="T34" i="17"/>
  <c r="AO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U33" i="17"/>
  <c r="T33" i="17"/>
  <c r="AO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U32" i="17"/>
  <c r="T32" i="17"/>
  <c r="AO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U31" i="17"/>
  <c r="T31" i="17"/>
  <c r="AO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U30" i="17"/>
  <c r="T30" i="17"/>
  <c r="AO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U29" i="17"/>
  <c r="T29" i="17"/>
  <c r="J23" i="17"/>
  <c r="M22" i="17"/>
  <c r="L22" i="17"/>
  <c r="J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AO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U19" i="17"/>
  <c r="T19" i="17"/>
  <c r="AO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U18" i="17"/>
  <c r="T18" i="17"/>
  <c r="AO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U17" i="17"/>
  <c r="T17" i="17"/>
  <c r="AO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U16" i="17"/>
  <c r="T16" i="17"/>
  <c r="AO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U15" i="17"/>
  <c r="T15" i="17"/>
  <c r="AO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U14" i="17"/>
  <c r="T14" i="17"/>
  <c r="AO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AO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U12" i="17"/>
  <c r="T12" i="17"/>
  <c r="AO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AO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U10" i="17"/>
  <c r="T10" i="17"/>
  <c r="AO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U9" i="17"/>
  <c r="T9" i="17"/>
  <c r="AO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U8" i="17"/>
  <c r="T8" i="17"/>
  <c r="I595" i="17" l="1"/>
  <c r="M595" i="17" s="1"/>
  <c r="H595" i="17"/>
  <c r="L595" i="17" s="1"/>
  <c r="I593" i="17"/>
  <c r="M593" i="17" s="1"/>
  <c r="H596" i="17"/>
  <c r="L596" i="17" s="1"/>
  <c r="I596" i="17"/>
  <c r="M596" i="17" s="1"/>
  <c r="E117" i="17"/>
  <c r="F117" i="17"/>
  <c r="O117" i="17"/>
  <c r="O359" i="17"/>
  <c r="AH359" i="17" s="1"/>
  <c r="P117" i="17"/>
  <c r="P359" i="17"/>
  <c r="AI359" i="17" s="1"/>
  <c r="AI370" i="17" s="1"/>
  <c r="S117" i="17"/>
  <c r="S359" i="17"/>
  <c r="AL359" i="17" s="1"/>
  <c r="G117" i="17"/>
  <c r="G359" i="17"/>
  <c r="H117" i="17"/>
  <c r="H359" i="17"/>
  <c r="AE97" i="17"/>
  <c r="AE117" i="17" s="1"/>
  <c r="L359" i="17"/>
  <c r="M117" i="17"/>
  <c r="M359" i="17"/>
  <c r="AF359" i="17" s="1"/>
  <c r="R117" i="17"/>
  <c r="R359" i="17"/>
  <c r="AK359" i="17" s="1"/>
  <c r="I117" i="17"/>
  <c r="I359" i="17"/>
  <c r="I370" i="17" s="1"/>
  <c r="K117" i="17"/>
  <c r="K359" i="17"/>
  <c r="K370" i="17" s="1"/>
  <c r="N117" i="17"/>
  <c r="AG359" i="17"/>
  <c r="AC362" i="17"/>
  <c r="AC361" i="17"/>
  <c r="AD361" i="17"/>
  <c r="AC366" i="17"/>
  <c r="D591" i="17"/>
  <c r="H591" i="17" s="1"/>
  <c r="E597" i="17"/>
  <c r="F603" i="17"/>
  <c r="AD364" i="17"/>
  <c r="E600" i="17"/>
  <c r="AC368" i="17"/>
  <c r="AD368" i="17"/>
  <c r="E594" i="17"/>
  <c r="E599" i="17"/>
  <c r="AC367" i="17"/>
  <c r="AD362" i="17"/>
  <c r="E598" i="17"/>
  <c r="I598" i="17" s="1"/>
  <c r="M598" i="17" s="1"/>
  <c r="D598" i="17"/>
  <c r="AD366" i="17"/>
  <c r="E591" i="17"/>
  <c r="I591" i="17" s="1"/>
  <c r="M591" i="17" s="1"/>
  <c r="AC359" i="17"/>
  <c r="D597" i="17"/>
  <c r="AC365" i="17"/>
  <c r="G603" i="17"/>
  <c r="AD365" i="17"/>
  <c r="AC358" i="17"/>
  <c r="AD358" i="17"/>
  <c r="AC364" i="17"/>
  <c r="T361" i="17"/>
  <c r="D600" i="17"/>
  <c r="AD357" i="17"/>
  <c r="K590" i="17"/>
  <c r="D599" i="17"/>
  <c r="AD367" i="17"/>
  <c r="AA97" i="17"/>
  <c r="AA117" i="17" s="1"/>
  <c r="AB362" i="17"/>
  <c r="U328" i="17"/>
  <c r="U351" i="17" s="1"/>
  <c r="AM146" i="17"/>
  <c r="AP146" i="17" s="1"/>
  <c r="AD97" i="17"/>
  <c r="AD117" i="17" s="1"/>
  <c r="AF97" i="17"/>
  <c r="AF117" i="17" s="1"/>
  <c r="AG97" i="17"/>
  <c r="AG117" i="17" s="1"/>
  <c r="AH97" i="17"/>
  <c r="AH117" i="17" s="1"/>
  <c r="AI97" i="17"/>
  <c r="AI117" i="17" s="1"/>
  <c r="L117" i="17"/>
  <c r="AK97" i="17"/>
  <c r="AK117" i="17" s="1"/>
  <c r="AL97" i="17"/>
  <c r="AL117" i="17" s="1"/>
  <c r="T181" i="17"/>
  <c r="T182" i="17" s="1"/>
  <c r="AM135" i="17"/>
  <c r="AP135" i="17" s="1"/>
  <c r="AN52" i="17"/>
  <c r="AQ52" i="17" s="1"/>
  <c r="AM18" i="17"/>
  <c r="AP18" i="17" s="1"/>
  <c r="T43" i="17"/>
  <c r="T44" i="17" s="1"/>
  <c r="AA357" i="17"/>
  <c r="U43" i="17"/>
  <c r="U44" i="17" s="1"/>
  <c r="U64" i="17"/>
  <c r="U65" i="17" s="1"/>
  <c r="AA358" i="17"/>
  <c r="AM130" i="17"/>
  <c r="AP130" i="17" s="1"/>
  <c r="AM304" i="17"/>
  <c r="AP304" i="17" s="1"/>
  <c r="AM274" i="17"/>
  <c r="AP274" i="17" s="1"/>
  <c r="AJ264" i="17"/>
  <c r="AM38" i="17"/>
  <c r="AP38" i="17" s="1"/>
  <c r="AA367" i="17"/>
  <c r="T22" i="17"/>
  <c r="T23" i="17" s="1"/>
  <c r="AB366" i="17"/>
  <c r="AB327" i="17"/>
  <c r="AN51" i="17"/>
  <c r="AQ51" i="17" s="1"/>
  <c r="T85" i="17"/>
  <c r="T86" i="17" s="1"/>
  <c r="AN168" i="17"/>
  <c r="AQ168" i="17" s="1"/>
  <c r="AM134" i="17"/>
  <c r="AP134" i="17" s="1"/>
  <c r="AE138" i="17"/>
  <c r="AN276" i="17"/>
  <c r="AQ276" i="17" s="1"/>
  <c r="AN280" i="17"/>
  <c r="AQ280" i="17" s="1"/>
  <c r="AN19" i="17"/>
  <c r="AQ19" i="17" s="1"/>
  <c r="U139" i="17"/>
  <c r="U140" i="17" s="1"/>
  <c r="AM148" i="17"/>
  <c r="AP148" i="17" s="1"/>
  <c r="AN157" i="17"/>
  <c r="AQ157" i="17" s="1"/>
  <c r="AM294" i="17"/>
  <c r="AP294" i="17" s="1"/>
  <c r="AN295" i="17"/>
  <c r="AQ295" i="17" s="1"/>
  <c r="U306" i="17"/>
  <c r="AC306" i="17"/>
  <c r="T118" i="17"/>
  <c r="T119" i="17" s="1"/>
  <c r="U223" i="17"/>
  <c r="U224" i="17" s="1"/>
  <c r="AJ306" i="17"/>
  <c r="U118" i="17"/>
  <c r="U119" i="17" s="1"/>
  <c r="U180" i="17"/>
  <c r="AM147" i="17"/>
  <c r="AP147" i="17" s="1"/>
  <c r="AH159" i="17"/>
  <c r="AM240" i="17"/>
  <c r="AP240" i="17" s="1"/>
  <c r="AM324" i="17"/>
  <c r="AP324" i="17" s="1"/>
  <c r="T244" i="17"/>
  <c r="T245" i="17" s="1"/>
  <c r="AN304" i="17"/>
  <c r="AQ304" i="17" s="1"/>
  <c r="AM136" i="17"/>
  <c r="AP136" i="17" s="1"/>
  <c r="AC42" i="17"/>
  <c r="AL63" i="17"/>
  <c r="AM156" i="17"/>
  <c r="AP156" i="17" s="1"/>
  <c r="AA222" i="17"/>
  <c r="AN240" i="17"/>
  <c r="AQ240" i="17" s="1"/>
  <c r="AN293" i="17"/>
  <c r="AQ293" i="17" s="1"/>
  <c r="AB306" i="17"/>
  <c r="AN172" i="17"/>
  <c r="AQ172" i="17" s="1"/>
  <c r="AN156" i="17"/>
  <c r="AQ156" i="17" s="1"/>
  <c r="AN211" i="17"/>
  <c r="AQ211" i="17" s="1"/>
  <c r="AM220" i="17"/>
  <c r="AP220" i="17" s="1"/>
  <c r="AM279" i="17"/>
  <c r="AP279" i="17" s="1"/>
  <c r="AD42" i="17"/>
  <c r="AM195" i="17"/>
  <c r="AP195" i="17" s="1"/>
  <c r="AN195" i="17"/>
  <c r="AQ195" i="17" s="1"/>
  <c r="AG201" i="17"/>
  <c r="AN319" i="17"/>
  <c r="AQ319" i="17" s="1"/>
  <c r="AM40" i="17"/>
  <c r="AP40" i="17" s="1"/>
  <c r="AN136" i="17"/>
  <c r="AQ136" i="17" s="1"/>
  <c r="AN279" i="17"/>
  <c r="AQ279" i="17" s="1"/>
  <c r="AM168" i="17"/>
  <c r="AP168" i="17" s="1"/>
  <c r="AP108" i="17"/>
  <c r="AN253" i="17"/>
  <c r="AQ253" i="17" s="1"/>
  <c r="AM190" i="17"/>
  <c r="AP190" i="17" s="1"/>
  <c r="AF243" i="17"/>
  <c r="AN189" i="17"/>
  <c r="AQ189" i="17" s="1"/>
  <c r="AN323" i="17"/>
  <c r="AQ323" i="17" s="1"/>
  <c r="AN134" i="17"/>
  <c r="AQ134" i="17" s="1"/>
  <c r="AN214" i="17"/>
  <c r="AQ214" i="17" s="1"/>
  <c r="AN40" i="17"/>
  <c r="AQ40" i="17" s="1"/>
  <c r="AM95" i="17"/>
  <c r="U181" i="17"/>
  <c r="U182" i="17" s="1"/>
  <c r="AM192" i="17"/>
  <c r="AP192" i="17" s="1"/>
  <c r="AN273" i="17"/>
  <c r="AQ273" i="17" s="1"/>
  <c r="T328" i="17"/>
  <c r="T351" i="17" s="1"/>
  <c r="AM39" i="17"/>
  <c r="AP39" i="17" s="1"/>
  <c r="AN39" i="17"/>
  <c r="AQ39" i="17" s="1"/>
  <c r="AM209" i="17"/>
  <c r="AP209" i="17" s="1"/>
  <c r="AN150" i="17"/>
  <c r="AQ150" i="17" s="1"/>
  <c r="AM150" i="17"/>
  <c r="AP150" i="17" s="1"/>
  <c r="AM194" i="17"/>
  <c r="AP194" i="17" s="1"/>
  <c r="AN218" i="17"/>
  <c r="AQ218" i="17" s="1"/>
  <c r="AM323" i="17"/>
  <c r="AP323" i="17" s="1"/>
  <c r="AN171" i="17"/>
  <c r="AQ171" i="17" s="1"/>
  <c r="T306" i="17"/>
  <c r="T139" i="17"/>
  <c r="T140" i="17" s="1"/>
  <c r="AN196" i="17"/>
  <c r="AQ196" i="17" s="1"/>
  <c r="AN210" i="17"/>
  <c r="AQ210" i="17" s="1"/>
  <c r="AM254" i="17"/>
  <c r="AP254" i="17" s="1"/>
  <c r="M570" i="17"/>
  <c r="O570" i="17" s="1"/>
  <c r="L575" i="17"/>
  <c r="N575" i="17" s="1"/>
  <c r="L578" i="17"/>
  <c r="N578" i="17" s="1"/>
  <c r="M573" i="17"/>
  <c r="O573" i="17" s="1"/>
  <c r="M578" i="17"/>
  <c r="O578" i="17" s="1"/>
  <c r="M568" i="17"/>
  <c r="O568" i="17" s="1"/>
  <c r="M575" i="17"/>
  <c r="O575" i="17" s="1"/>
  <c r="L569" i="17"/>
  <c r="N569" i="17" s="1"/>
  <c r="M577" i="17"/>
  <c r="O577" i="17" s="1"/>
  <c r="L579" i="17"/>
  <c r="N579" i="17" s="1"/>
  <c r="L574" i="17"/>
  <c r="N574" i="17" s="1"/>
  <c r="L577" i="17"/>
  <c r="N577" i="17" s="1"/>
  <c r="M579" i="17"/>
  <c r="O579" i="17" s="1"/>
  <c r="L570" i="17"/>
  <c r="N570" i="17" s="1"/>
  <c r="L573" i="17"/>
  <c r="N573" i="17" s="1"/>
  <c r="AG285" i="17"/>
  <c r="AM283" i="17"/>
  <c r="AP283" i="17" s="1"/>
  <c r="AM133" i="17"/>
  <c r="AP133" i="17" s="1"/>
  <c r="AG243" i="17"/>
  <c r="AN37" i="17"/>
  <c r="AQ37" i="17" s="1"/>
  <c r="AN133" i="17"/>
  <c r="AQ133" i="17" s="1"/>
  <c r="AH243" i="17"/>
  <c r="AL264" i="17"/>
  <c r="AN318" i="17"/>
  <c r="AQ318" i="17" s="1"/>
  <c r="AN190" i="17"/>
  <c r="AQ190" i="17" s="1"/>
  <c r="AM211" i="17"/>
  <c r="AP211" i="17" s="1"/>
  <c r="AJ243" i="17"/>
  <c r="AM252" i="17"/>
  <c r="AP252" i="17" s="1"/>
  <c r="AM17" i="17"/>
  <c r="AP17" i="17" s="1"/>
  <c r="AN58" i="17"/>
  <c r="AQ58" i="17" s="1"/>
  <c r="AQ108" i="17"/>
  <c r="AM132" i="17"/>
  <c r="AP132" i="17" s="1"/>
  <c r="AM155" i="17"/>
  <c r="AP155" i="17" s="1"/>
  <c r="AN174" i="17"/>
  <c r="AQ174" i="17" s="1"/>
  <c r="AM177" i="17"/>
  <c r="AP177" i="17" s="1"/>
  <c r="AM232" i="17"/>
  <c r="AP232" i="17" s="1"/>
  <c r="AM277" i="17"/>
  <c r="AP277" i="17" s="1"/>
  <c r="AC84" i="17"/>
  <c r="AN125" i="17"/>
  <c r="AQ125" i="17" s="1"/>
  <c r="AL159" i="17"/>
  <c r="AA180" i="17"/>
  <c r="AN177" i="17"/>
  <c r="AQ177" i="17" s="1"/>
  <c r="AM189" i="17"/>
  <c r="AP189" i="17" s="1"/>
  <c r="AN277" i="17"/>
  <c r="AQ277" i="17" s="1"/>
  <c r="AN198" i="17"/>
  <c r="AQ198" i="17" s="1"/>
  <c r="T308" i="17"/>
  <c r="AM301" i="17"/>
  <c r="AP301" i="17" s="1"/>
  <c r="AM321" i="17"/>
  <c r="AP321" i="17" s="1"/>
  <c r="AF138" i="17"/>
  <c r="AM61" i="17"/>
  <c r="AP61" i="17" s="1"/>
  <c r="AN220" i="17"/>
  <c r="AQ220" i="17" s="1"/>
  <c r="AM276" i="17"/>
  <c r="AP276" i="17" s="1"/>
  <c r="T138" i="17"/>
  <c r="AN173" i="17"/>
  <c r="AQ173" i="17" s="1"/>
  <c r="AM197" i="17"/>
  <c r="AP197" i="17" s="1"/>
  <c r="AM260" i="17"/>
  <c r="AP260" i="17" s="1"/>
  <c r="AB358" i="17"/>
  <c r="AB367" i="17"/>
  <c r="AN213" i="17"/>
  <c r="AQ213" i="17" s="1"/>
  <c r="AN129" i="17"/>
  <c r="AQ129" i="17" s="1"/>
  <c r="AN127" i="17"/>
  <c r="AQ127" i="17" s="1"/>
  <c r="AN199" i="17"/>
  <c r="AQ199" i="17" s="1"/>
  <c r="AN194" i="17"/>
  <c r="AQ194" i="17" s="1"/>
  <c r="AN31" i="17"/>
  <c r="AQ31" i="17" s="1"/>
  <c r="AM173" i="17"/>
  <c r="AP173" i="17" s="1"/>
  <c r="U138" i="17"/>
  <c r="AN131" i="17"/>
  <c r="AQ131" i="17" s="1"/>
  <c r="AL222" i="17"/>
  <c r="AM219" i="17"/>
  <c r="AP219" i="17" s="1"/>
  <c r="AB264" i="17"/>
  <c r="AN296" i="17"/>
  <c r="AQ296" i="17" s="1"/>
  <c r="AM297" i="17"/>
  <c r="AP297" i="17" s="1"/>
  <c r="AN325" i="17"/>
  <c r="AQ325" i="17" s="1"/>
  <c r="AN16" i="17"/>
  <c r="AQ16" i="17" s="1"/>
  <c r="AC201" i="17"/>
  <c r="AN278" i="17"/>
  <c r="AQ278" i="17" s="1"/>
  <c r="AM303" i="17"/>
  <c r="AP303" i="17" s="1"/>
  <c r="AN252" i="17"/>
  <c r="AQ252" i="17" s="1"/>
  <c r="AM31" i="17"/>
  <c r="AP31" i="17" s="1"/>
  <c r="AN297" i="17"/>
  <c r="AQ297" i="17" s="1"/>
  <c r="AM60" i="17"/>
  <c r="AP60" i="17" s="1"/>
  <c r="AM102" i="17"/>
  <c r="AN215" i="17"/>
  <c r="AQ215" i="17" s="1"/>
  <c r="T357" i="17"/>
  <c r="N590" i="17" s="1"/>
  <c r="AM37" i="17"/>
  <c r="AP37" i="17" s="1"/>
  <c r="AM171" i="17"/>
  <c r="AP171" i="17" s="1"/>
  <c r="AM191" i="17"/>
  <c r="AP191" i="17" s="1"/>
  <c r="AN234" i="17"/>
  <c r="AQ234" i="17" s="1"/>
  <c r="AM213" i="17"/>
  <c r="AP213" i="17" s="1"/>
  <c r="AM281" i="17"/>
  <c r="AP281" i="17" s="1"/>
  <c r="AN17" i="17"/>
  <c r="AQ17" i="17" s="1"/>
  <c r="AM30" i="17"/>
  <c r="AP30" i="17" s="1"/>
  <c r="AN102" i="17"/>
  <c r="AN148" i="17"/>
  <c r="AQ148" i="17" s="1"/>
  <c r="T180" i="17"/>
  <c r="AD327" i="17"/>
  <c r="AA368" i="17"/>
  <c r="AM210" i="17"/>
  <c r="AP210" i="17" s="1"/>
  <c r="AM322" i="17"/>
  <c r="AP322" i="17" s="1"/>
  <c r="AM302" i="17"/>
  <c r="AP302" i="17" s="1"/>
  <c r="AM58" i="17"/>
  <c r="AP58" i="17" s="1"/>
  <c r="AN154" i="17"/>
  <c r="AQ154" i="17" s="1"/>
  <c r="AN30" i="17"/>
  <c r="AQ30" i="17" s="1"/>
  <c r="AN57" i="17"/>
  <c r="AQ57" i="17" s="1"/>
  <c r="AN61" i="17"/>
  <c r="AQ61" i="17" s="1"/>
  <c r="AN135" i="17"/>
  <c r="AQ135" i="17" s="1"/>
  <c r="AM157" i="17"/>
  <c r="AP157" i="17" s="1"/>
  <c r="AM172" i="17"/>
  <c r="AP172" i="17" s="1"/>
  <c r="AM193" i="17"/>
  <c r="AP193" i="17" s="1"/>
  <c r="AM296" i="17"/>
  <c r="AP296" i="17" s="1"/>
  <c r="AN324" i="17"/>
  <c r="AQ324" i="17" s="1"/>
  <c r="AM212" i="17"/>
  <c r="AP212" i="17" s="1"/>
  <c r="U366" i="17"/>
  <c r="AM36" i="17"/>
  <c r="AP36" i="17" s="1"/>
  <c r="AN281" i="17"/>
  <c r="AQ281" i="17" s="1"/>
  <c r="AN36" i="17"/>
  <c r="AQ36" i="17" s="1"/>
  <c r="AN78" i="17"/>
  <c r="AQ78" i="17" s="1"/>
  <c r="AN147" i="17"/>
  <c r="AQ147" i="17" s="1"/>
  <c r="AA159" i="17"/>
  <c r="AN239" i="17"/>
  <c r="AQ239" i="17" s="1"/>
  <c r="AM295" i="17"/>
  <c r="AP295" i="17" s="1"/>
  <c r="AM282" i="17"/>
  <c r="AP282" i="17" s="1"/>
  <c r="AN303" i="17"/>
  <c r="AQ303" i="17" s="1"/>
  <c r="U160" i="17"/>
  <c r="U161" i="17" s="1"/>
  <c r="AM178" i="17"/>
  <c r="AP178" i="17" s="1"/>
  <c r="AL285" i="17"/>
  <c r="AM278" i="17"/>
  <c r="AP278" i="17" s="1"/>
  <c r="AN322" i="17"/>
  <c r="AQ322" i="17" s="1"/>
  <c r="AN155" i="17"/>
  <c r="AQ155" i="17" s="1"/>
  <c r="AN73" i="17"/>
  <c r="AQ73" i="17" s="1"/>
  <c r="AM149" i="17"/>
  <c r="AP149" i="17" s="1"/>
  <c r="AM34" i="17"/>
  <c r="AP34" i="17" s="1"/>
  <c r="AN38" i="17"/>
  <c r="AQ38" i="17" s="1"/>
  <c r="AN146" i="17"/>
  <c r="AQ146" i="17" s="1"/>
  <c r="AN192" i="17"/>
  <c r="AQ192" i="17" s="1"/>
  <c r="AC243" i="17"/>
  <c r="AM239" i="17"/>
  <c r="AP239" i="17" s="1"/>
  <c r="AN259" i="17"/>
  <c r="AQ259" i="17" s="1"/>
  <c r="AN283" i="17"/>
  <c r="AQ283" i="17" s="1"/>
  <c r="L571" i="17"/>
  <c r="N571" i="17" s="1"/>
  <c r="K581" i="17"/>
  <c r="L434" i="17"/>
  <c r="AM33" i="17"/>
  <c r="AP33" i="17" s="1"/>
  <c r="AG42" i="17"/>
  <c r="AN32" i="17"/>
  <c r="AQ32" i="17" s="1"/>
  <c r="AL327" i="17"/>
  <c r="AC327" i="17"/>
  <c r="AN317" i="17"/>
  <c r="AQ317" i="17" s="1"/>
  <c r="AM275" i="17"/>
  <c r="AP275" i="17" s="1"/>
  <c r="AH285" i="17"/>
  <c r="AK264" i="17"/>
  <c r="AA264" i="17"/>
  <c r="AE264" i="17"/>
  <c r="AF264" i="17"/>
  <c r="AG264" i="17"/>
  <c r="AL243" i="17"/>
  <c r="AM233" i="17"/>
  <c r="AP233" i="17" s="1"/>
  <c r="AN212" i="17"/>
  <c r="AQ212" i="17" s="1"/>
  <c r="U222" i="17"/>
  <c r="AN191" i="17"/>
  <c r="AQ191" i="17" s="1"/>
  <c r="AM170" i="17"/>
  <c r="AP170" i="17" s="1"/>
  <c r="AK180" i="17"/>
  <c r="AL180" i="17"/>
  <c r="AN149" i="17"/>
  <c r="AQ149" i="17" s="1"/>
  <c r="AK159" i="17"/>
  <c r="AM128" i="17"/>
  <c r="AP128" i="17" s="1"/>
  <c r="AC138" i="17"/>
  <c r="U362" i="17"/>
  <c r="AM98" i="17"/>
  <c r="AE84" i="17"/>
  <c r="AH63" i="17"/>
  <c r="AA63" i="17"/>
  <c r="AB63" i="17"/>
  <c r="AB361" i="17"/>
  <c r="AK63" i="17"/>
  <c r="AF42" i="17"/>
  <c r="T42" i="17"/>
  <c r="AA42" i="17"/>
  <c r="F370" i="17"/>
  <c r="AB360" i="17"/>
  <c r="AA360" i="17"/>
  <c r="AM360" i="17" s="1"/>
  <c r="AN33" i="17"/>
  <c r="AQ33" i="17" s="1"/>
  <c r="AH42" i="17"/>
  <c r="AJ159" i="17"/>
  <c r="U202" i="17"/>
  <c r="U203" i="17" s="1"/>
  <c r="U201" i="17"/>
  <c r="AM32" i="17"/>
  <c r="AP32" i="17" s="1"/>
  <c r="AE42" i="17"/>
  <c r="AG84" i="17"/>
  <c r="AM78" i="17"/>
  <c r="AP78" i="17" s="1"/>
  <c r="AM154" i="17"/>
  <c r="AP154" i="17" s="1"/>
  <c r="AH264" i="17"/>
  <c r="T360" i="17"/>
  <c r="N593" i="17" s="1"/>
  <c r="AN15" i="17"/>
  <c r="AQ15" i="17" s="1"/>
  <c r="AA138" i="17"/>
  <c r="AG138" i="17"/>
  <c r="AN128" i="17"/>
  <c r="AQ128" i="17" s="1"/>
  <c r="T223" i="17"/>
  <c r="T224" i="17" s="1"/>
  <c r="T222" i="17"/>
  <c r="AD264" i="17"/>
  <c r="AM315" i="17"/>
  <c r="AP315" i="17" s="1"/>
  <c r="D581" i="17"/>
  <c r="L568" i="17"/>
  <c r="T21" i="17"/>
  <c r="AC21" i="17"/>
  <c r="AF84" i="17"/>
  <c r="AN81" i="17"/>
  <c r="AQ81" i="17" s="1"/>
  <c r="U22" i="17"/>
  <c r="U23" i="17" s="1"/>
  <c r="U21" i="17"/>
  <c r="AN72" i="17"/>
  <c r="AQ72" i="17" s="1"/>
  <c r="AJ84" i="17"/>
  <c r="AM153" i="17"/>
  <c r="AP153" i="17" s="1"/>
  <c r="L560" i="17"/>
  <c r="AA21" i="17"/>
  <c r="AJ63" i="17"/>
  <c r="AH84" i="17"/>
  <c r="M560" i="17"/>
  <c r="O549" i="17"/>
  <c r="G581" i="17"/>
  <c r="J581" i="17"/>
  <c r="AB21" i="17"/>
  <c r="AM71" i="17"/>
  <c r="AM199" i="17"/>
  <c r="AP199" i="17" s="1"/>
  <c r="AM256" i="17"/>
  <c r="AP256" i="17" s="1"/>
  <c r="N549" i="17"/>
  <c r="T159" i="17"/>
  <c r="T160" i="17"/>
  <c r="T161" i="17" s="1"/>
  <c r="T358" i="17"/>
  <c r="AG358" i="17"/>
  <c r="AM51" i="17"/>
  <c r="AP51" i="17" s="1"/>
  <c r="AK357" i="17"/>
  <c r="AC63" i="17"/>
  <c r="AM50" i="17"/>
  <c r="AN176" i="17"/>
  <c r="AQ176" i="17" s="1"/>
  <c r="AL357" i="17"/>
  <c r="AJ21" i="17"/>
  <c r="AD63" i="17"/>
  <c r="AM176" i="17"/>
  <c r="AP176" i="17" s="1"/>
  <c r="AF201" i="17"/>
  <c r="AM325" i="17"/>
  <c r="AP325" i="17" s="1"/>
  <c r="AA327" i="17"/>
  <c r="AF368" i="17"/>
  <c r="AN98" i="17"/>
  <c r="AF63" i="17"/>
  <c r="AN50" i="17"/>
  <c r="AB180" i="17"/>
  <c r="AN302" i="17"/>
  <c r="AQ302" i="17" s="1"/>
  <c r="AM94" i="17"/>
  <c r="AC180" i="17"/>
  <c r="AN216" i="17"/>
  <c r="AQ216" i="17" s="1"/>
  <c r="AJ222" i="17"/>
  <c r="AA364" i="17"/>
  <c r="AN167" i="17"/>
  <c r="AH180" i="17"/>
  <c r="AN193" i="17"/>
  <c r="AQ193" i="17" s="1"/>
  <c r="AC264" i="17"/>
  <c r="U327" i="17"/>
  <c r="AB364" i="17"/>
  <c r="L455" i="17"/>
  <c r="N442" i="17"/>
  <c r="AM167" i="17"/>
  <c r="AI180" i="17"/>
  <c r="AM316" i="17"/>
  <c r="AP316" i="17" s="1"/>
  <c r="M455" i="17"/>
  <c r="O442" i="17"/>
  <c r="AM9" i="17"/>
  <c r="AP9" i="17" s="1"/>
  <c r="AM14" i="17"/>
  <c r="AP14" i="17" s="1"/>
  <c r="AE201" i="17"/>
  <c r="AK243" i="17"/>
  <c r="AN258" i="17"/>
  <c r="AQ258" i="17" s="1"/>
  <c r="AN315" i="17"/>
  <c r="AQ315" i="17" s="1"/>
  <c r="AN152" i="17"/>
  <c r="AQ152" i="17" s="1"/>
  <c r="AF285" i="17"/>
  <c r="AN282" i="17"/>
  <c r="AQ282" i="17" s="1"/>
  <c r="AF327" i="17"/>
  <c r="AD21" i="17"/>
  <c r="AN8" i="17"/>
  <c r="AN55" i="17"/>
  <c r="AQ55" i="17" s="1"/>
  <c r="AH138" i="17"/>
  <c r="AN126" i="17"/>
  <c r="AQ126" i="17" s="1"/>
  <c r="AN257" i="17"/>
  <c r="AQ257" i="17" s="1"/>
  <c r="AG327" i="17"/>
  <c r="AM314" i="17"/>
  <c r="N403" i="17"/>
  <c r="L413" i="17"/>
  <c r="AN9" i="17"/>
  <c r="AQ9" i="17" s="1"/>
  <c r="AN132" i="17"/>
  <c r="AQ132" i="17" s="1"/>
  <c r="AM151" i="17"/>
  <c r="AM257" i="17"/>
  <c r="AP257" i="17" s="1"/>
  <c r="AM59" i="17"/>
  <c r="AP59" i="17" s="1"/>
  <c r="N532" i="17"/>
  <c r="L539" i="17"/>
  <c r="AG21" i="17"/>
  <c r="AM8" i="17"/>
  <c r="AN209" i="17"/>
  <c r="AM273" i="17"/>
  <c r="AP273" i="17" s="1"/>
  <c r="AK306" i="17"/>
  <c r="AD201" i="17"/>
  <c r="AD243" i="17"/>
  <c r="AN232" i="17"/>
  <c r="AQ232" i="17" s="1"/>
  <c r="AM280" i="17"/>
  <c r="AP280" i="17" s="1"/>
  <c r="AN294" i="17"/>
  <c r="AQ294" i="17" s="1"/>
  <c r="AL306" i="17"/>
  <c r="AM80" i="17"/>
  <c r="AP80" i="17" s="1"/>
  <c r="T363" i="17"/>
  <c r="AN80" i="17"/>
  <c r="AQ80" i="17" s="1"/>
  <c r="Q117" i="17"/>
  <c r="AJ97" i="17"/>
  <c r="AK138" i="17"/>
  <c r="AN169" i="17"/>
  <c r="AQ169" i="17" s="1"/>
  <c r="AG222" i="17"/>
  <c r="AM217" i="17"/>
  <c r="AP217" i="17" s="1"/>
  <c r="AK222" i="17"/>
  <c r="AM231" i="17"/>
  <c r="AP231" i="17" s="1"/>
  <c r="AC285" i="17"/>
  <c r="AN275" i="17"/>
  <c r="AQ275" i="17" s="1"/>
  <c r="AM300" i="17"/>
  <c r="AP300" i="17" s="1"/>
  <c r="AA306" i="17"/>
  <c r="AA362" i="17"/>
  <c r="AL21" i="17"/>
  <c r="AK42" i="17"/>
  <c r="AL138" i="17"/>
  <c r="U159" i="17"/>
  <c r="AD180" i="17"/>
  <c r="AB201" i="17"/>
  <c r="AH222" i="17"/>
  <c r="AM216" i="17"/>
  <c r="AP216" i="17" s="1"/>
  <c r="AN217" i="17"/>
  <c r="AQ217" i="17" s="1"/>
  <c r="AM261" i="17"/>
  <c r="AP261" i="17" s="1"/>
  <c r="AD285" i="17"/>
  <c r="AN272" i="17"/>
  <c r="AN300" i="17"/>
  <c r="AQ300" i="17" s="1"/>
  <c r="AL362" i="17"/>
  <c r="U364" i="17"/>
  <c r="U365" i="17"/>
  <c r="U42" i="17"/>
  <c r="AM12" i="17"/>
  <c r="AP12" i="17" s="1"/>
  <c r="AL42" i="17"/>
  <c r="AM96" i="17"/>
  <c r="AN130" i="17"/>
  <c r="AQ130" i="17" s="1"/>
  <c r="AJ180" i="17"/>
  <c r="AI222" i="17"/>
  <c r="AN261" i="17"/>
  <c r="AQ261" i="17" s="1"/>
  <c r="AE285" i="17"/>
  <c r="AM272" i="17"/>
  <c r="AN274" i="17"/>
  <c r="AQ274" i="17" s="1"/>
  <c r="AM318" i="17"/>
  <c r="AP318" i="17" s="1"/>
  <c r="U360" i="17"/>
  <c r="AH360" i="17"/>
  <c r="U391" i="17"/>
  <c r="M574" i="17"/>
  <c r="O574" i="17" s="1"/>
  <c r="AM126" i="17"/>
  <c r="AP126" i="17" s="1"/>
  <c r="AI84" i="17"/>
  <c r="AL84" i="17"/>
  <c r="AM127" i="17"/>
  <c r="AP127" i="17" s="1"/>
  <c r="T327" i="17"/>
  <c r="AA366" i="17"/>
  <c r="L518" i="17"/>
  <c r="AM175" i="17"/>
  <c r="AP175" i="17" s="1"/>
  <c r="AM258" i="17"/>
  <c r="AP258" i="17" s="1"/>
  <c r="AK84" i="17"/>
  <c r="AM81" i="17"/>
  <c r="AP81" i="17" s="1"/>
  <c r="AM152" i="17"/>
  <c r="AP152" i="17" s="1"/>
  <c r="AN175" i="17"/>
  <c r="AQ175" i="17" s="1"/>
  <c r="AM218" i="17"/>
  <c r="AP218" i="17" s="1"/>
  <c r="AM262" i="17"/>
  <c r="AP262" i="17" s="1"/>
  <c r="N506" i="17"/>
  <c r="AD138" i="17"/>
  <c r="AN233" i="17"/>
  <c r="AQ233" i="17" s="1"/>
  <c r="AM238" i="17"/>
  <c r="AP238" i="17" s="1"/>
  <c r="AH327" i="17"/>
  <c r="AN314" i="17"/>
  <c r="AB159" i="17"/>
  <c r="AN238" i="17"/>
  <c r="AQ238" i="17" s="1"/>
  <c r="AB285" i="17"/>
  <c r="AN18" i="17"/>
  <c r="AQ18" i="17" s="1"/>
  <c r="AN59" i="17"/>
  <c r="AQ59" i="17" s="1"/>
  <c r="AC159" i="17"/>
  <c r="AE180" i="17"/>
  <c r="AM54" i="17"/>
  <c r="AP54" i="17" s="1"/>
  <c r="AI63" i="17"/>
  <c r="AI138" i="17"/>
  <c r="AM125" i="17"/>
  <c r="AD159" i="17"/>
  <c r="AN151" i="17"/>
  <c r="AQ151" i="17" s="1"/>
  <c r="AM174" i="17"/>
  <c r="AP174" i="17" s="1"/>
  <c r="AA285" i="17"/>
  <c r="AK327" i="17"/>
  <c r="AE365" i="17"/>
  <c r="T365" i="17"/>
  <c r="AN13" i="17"/>
  <c r="AQ13" i="17" s="1"/>
  <c r="AI42" i="17"/>
  <c r="AM35" i="17"/>
  <c r="AP35" i="17" s="1"/>
  <c r="AM169" i="17"/>
  <c r="AP169" i="17" s="1"/>
  <c r="AL201" i="17"/>
  <c r="AN188" i="17"/>
  <c r="AE243" i="17"/>
  <c r="AH21" i="17"/>
  <c r="AN35" i="17"/>
  <c r="AQ35" i="17" s="1"/>
  <c r="AM29" i="17"/>
  <c r="AN53" i="17"/>
  <c r="AQ53" i="17" s="1"/>
  <c r="T97" i="17"/>
  <c r="T117" i="17" s="1"/>
  <c r="AI159" i="17"/>
  <c r="AF180" i="17"/>
  <c r="AG361" i="17"/>
  <c r="M539" i="17"/>
  <c r="AK21" i="17"/>
  <c r="AN34" i="17"/>
  <c r="AQ34" i="17" s="1"/>
  <c r="T63" i="17"/>
  <c r="T64" i="17"/>
  <c r="T65" i="17" s="1"/>
  <c r="AM57" i="17"/>
  <c r="AP57" i="17" s="1"/>
  <c r="AN178" i="17"/>
  <c r="AQ178" i="17" s="1"/>
  <c r="T201" i="17"/>
  <c r="T202" i="17"/>
  <c r="T203" i="17" s="1"/>
  <c r="AM317" i="17"/>
  <c r="AP317" i="17" s="1"/>
  <c r="U361" i="17"/>
  <c r="AB363" i="17"/>
  <c r="AN363" i="17" s="1"/>
  <c r="U363" i="17"/>
  <c r="E371" i="17"/>
  <c r="M413" i="17"/>
  <c r="L371" i="17"/>
  <c r="AE358" i="17"/>
  <c r="T364" i="17"/>
  <c r="AG364" i="17"/>
  <c r="AA365" i="17"/>
  <c r="T368" i="17"/>
  <c r="N601" i="17" s="1"/>
  <c r="AN10" i="17"/>
  <c r="AQ10" i="17" s="1"/>
  <c r="AM16" i="17"/>
  <c r="AP16" i="17" s="1"/>
  <c r="AJ42" i="17"/>
  <c r="AN29" i="17"/>
  <c r="U63" i="17"/>
  <c r="T84" i="17"/>
  <c r="AM82" i="17"/>
  <c r="AP82" i="17" s="1"/>
  <c r="U97" i="17"/>
  <c r="U117" i="17" s="1"/>
  <c r="AM131" i="17"/>
  <c r="AP131" i="17" s="1"/>
  <c r="AN153" i="17"/>
  <c r="AQ153" i="17" s="1"/>
  <c r="AG180" i="17"/>
  <c r="AM198" i="17"/>
  <c r="AP198" i="17" s="1"/>
  <c r="AB243" i="17"/>
  <c r="AM251" i="17"/>
  <c r="AI264" i="17"/>
  <c r="AM259" i="17"/>
  <c r="AP259" i="17" s="1"/>
  <c r="AN301" i="17"/>
  <c r="AQ301" i="17" s="1"/>
  <c r="AE327" i="17"/>
  <c r="AN316" i="17"/>
  <c r="AQ316" i="17" s="1"/>
  <c r="U357" i="17"/>
  <c r="U368" i="17"/>
  <c r="O601" i="17" s="1"/>
  <c r="AF159" i="17"/>
  <c r="AM215" i="17"/>
  <c r="AP215" i="17" s="1"/>
  <c r="AI243" i="17"/>
  <c r="AN256" i="17"/>
  <c r="AQ256" i="17" s="1"/>
  <c r="AJ370" i="17"/>
  <c r="AM56" i="17"/>
  <c r="AP56" i="17" s="1"/>
  <c r="AN93" i="17"/>
  <c r="AB138" i="17"/>
  <c r="AA201" i="17"/>
  <c r="AN237" i="17"/>
  <c r="AQ237" i="17" s="1"/>
  <c r="T265" i="17"/>
  <c r="T266" i="17" s="1"/>
  <c r="T264" i="17"/>
  <c r="AN255" i="17"/>
  <c r="AQ255" i="17" s="1"/>
  <c r="AM299" i="17"/>
  <c r="AP299" i="17" s="1"/>
  <c r="U308" i="17"/>
  <c r="AM320" i="17"/>
  <c r="AP320" i="17" s="1"/>
  <c r="AB357" i="17"/>
  <c r="AG366" i="17"/>
  <c r="T366" i="17"/>
  <c r="AG368" i="17"/>
  <c r="H581" i="17"/>
  <c r="AN14" i="17"/>
  <c r="AQ14" i="17" s="1"/>
  <c r="AN56" i="17"/>
  <c r="AQ56" i="17" s="1"/>
  <c r="AN75" i="17"/>
  <c r="AQ75" i="17" s="1"/>
  <c r="AN197" i="17"/>
  <c r="AQ197" i="17" s="1"/>
  <c r="AB222" i="17"/>
  <c r="AE306" i="17"/>
  <c r="AD306" i="17"/>
  <c r="AN299" i="17"/>
  <c r="AQ299" i="17" s="1"/>
  <c r="AN320" i="17"/>
  <c r="AQ320" i="17" s="1"/>
  <c r="J370" i="17"/>
  <c r="AC357" i="17"/>
  <c r="AG362" i="17"/>
  <c r="T362" i="17"/>
  <c r="AA363" i="17"/>
  <c r="AM363" i="17" s="1"/>
  <c r="U367" i="17"/>
  <c r="AH368" i="17"/>
  <c r="I581" i="17"/>
  <c r="T243" i="17"/>
  <c r="T367" i="17"/>
  <c r="M434" i="17"/>
  <c r="O422" i="17"/>
  <c r="M572" i="17"/>
  <c r="O572" i="17" s="1"/>
  <c r="L576" i="17"/>
  <c r="N576" i="17" s="1"/>
  <c r="AM237" i="17"/>
  <c r="AP237" i="17" s="1"/>
  <c r="AM93" i="17"/>
  <c r="AB84" i="17"/>
  <c r="AM74" i="17"/>
  <c r="AP74" i="17" s="1"/>
  <c r="AD222" i="17"/>
  <c r="AC222" i="17"/>
  <c r="AF306" i="17"/>
  <c r="AB368" i="17"/>
  <c r="AM19" i="17"/>
  <c r="AP19" i="17" s="1"/>
  <c r="AN60" i="17"/>
  <c r="AQ60" i="17" s="1"/>
  <c r="AN74" i="17"/>
  <c r="AQ74" i="17" s="1"/>
  <c r="AM79" i="17"/>
  <c r="AP79" i="17" s="1"/>
  <c r="AN92" i="17"/>
  <c r="AM196" i="17"/>
  <c r="AP196" i="17" s="1"/>
  <c r="AE222" i="17"/>
  <c r="AM214" i="17"/>
  <c r="AP214" i="17" s="1"/>
  <c r="AM230" i="17"/>
  <c r="AM241" i="17"/>
  <c r="AP241" i="17" s="1"/>
  <c r="T285" i="17"/>
  <c r="T286" i="17"/>
  <c r="T287" i="17" s="1"/>
  <c r="AG306" i="17"/>
  <c r="AN298" i="17"/>
  <c r="AQ298" i="17" s="1"/>
  <c r="M576" i="17"/>
  <c r="O576" i="17" s="1"/>
  <c r="AM13" i="17"/>
  <c r="AP13" i="17" s="1"/>
  <c r="AB42" i="17"/>
  <c r="AM55" i="17"/>
  <c r="AP55" i="17" s="1"/>
  <c r="AD84" i="17"/>
  <c r="AM73" i="17"/>
  <c r="AP73" i="17" s="1"/>
  <c r="AN79" i="17"/>
  <c r="AQ79" i="17" s="1"/>
  <c r="AF222" i="17"/>
  <c r="AN219" i="17"/>
  <c r="AQ219" i="17" s="1"/>
  <c r="AM236" i="17"/>
  <c r="AP236" i="17" s="1"/>
  <c r="AN241" i="17"/>
  <c r="AQ241" i="17" s="1"/>
  <c r="U285" i="17"/>
  <c r="U286" i="17"/>
  <c r="U287" i="17" s="1"/>
  <c r="AM319" i="17"/>
  <c r="AP319" i="17" s="1"/>
  <c r="AA361" i="17"/>
  <c r="T391" i="17"/>
  <c r="AN54" i="17"/>
  <c r="AQ54" i="17" s="1"/>
  <c r="AM72" i="17"/>
  <c r="AP72" i="17" s="1"/>
  <c r="AM92" i="17"/>
  <c r="AC97" i="17"/>
  <c r="AC117" i="17" s="1"/>
  <c r="J117" i="17"/>
  <c r="AJ138" i="17"/>
  <c r="AM129" i="17"/>
  <c r="AP129" i="17" s="1"/>
  <c r="AN170" i="17"/>
  <c r="AQ170" i="17" s="1"/>
  <c r="AN231" i="17"/>
  <c r="AQ231" i="17" s="1"/>
  <c r="AN251" i="17"/>
  <c r="AN321" i="17"/>
  <c r="AQ321" i="17" s="1"/>
  <c r="U358" i="17"/>
  <c r="M518" i="17"/>
  <c r="L572" i="17"/>
  <c r="N572" i="17" s="1"/>
  <c r="AM10" i="17"/>
  <c r="AP10" i="17" s="1"/>
  <c r="AM77" i="17"/>
  <c r="AP77" i="17" s="1"/>
  <c r="AN82" i="17"/>
  <c r="AQ82" i="17" s="1"/>
  <c r="AI201" i="17"/>
  <c r="AH201" i="17"/>
  <c r="U243" i="17"/>
  <c r="AN236" i="17"/>
  <c r="AQ236" i="17" s="1"/>
  <c r="U265" i="17"/>
  <c r="U266" i="17" s="1"/>
  <c r="U264" i="17"/>
  <c r="AM255" i="17"/>
  <c r="AP255" i="17" s="1"/>
  <c r="AH306" i="17"/>
  <c r="AM298" i="17"/>
  <c r="AP298" i="17" s="1"/>
  <c r="M371" i="17"/>
  <c r="U84" i="17"/>
  <c r="AN77" i="17"/>
  <c r="AQ77" i="17" s="1"/>
  <c r="AN96" i="17"/>
  <c r="AN254" i="17"/>
  <c r="AQ254" i="17" s="1"/>
  <c r="AI306" i="17"/>
  <c r="AM293" i="17"/>
  <c r="AN235" i="17"/>
  <c r="AQ235" i="17" s="1"/>
  <c r="AM253" i="17"/>
  <c r="AP253" i="17" s="1"/>
  <c r="M571" i="17"/>
  <c r="O571" i="17" s="1"/>
  <c r="AM15" i="17"/>
  <c r="AP15" i="17" s="1"/>
  <c r="AI21" i="17"/>
  <c r="AN76" i="17"/>
  <c r="AQ76" i="17" s="1"/>
  <c r="AN95" i="17"/>
  <c r="AM188" i="17"/>
  <c r="Q370" i="17"/>
  <c r="M569" i="17"/>
  <c r="O569" i="17" s="1"/>
  <c r="AI327" i="17"/>
  <c r="AB365" i="17"/>
  <c r="L497" i="17"/>
  <c r="AN260" i="17"/>
  <c r="AQ260" i="17" s="1"/>
  <c r="AN71" i="17"/>
  <c r="AN94" i="17"/>
  <c r="AB97" i="17"/>
  <c r="AB117" i="17" s="1"/>
  <c r="AN230" i="17"/>
  <c r="AJ327" i="17"/>
  <c r="M497" i="17"/>
  <c r="L476" i="17"/>
  <c r="AN12" i="17"/>
  <c r="AQ12" i="17" s="1"/>
  <c r="AE63" i="17"/>
  <c r="AM53" i="17"/>
  <c r="AP53" i="17" s="1"/>
  <c r="U85" i="17"/>
  <c r="U86" i="17" s="1"/>
  <c r="AM76" i="17"/>
  <c r="AP76" i="17" s="1"/>
  <c r="AE159" i="17"/>
  <c r="U244" i="17"/>
  <c r="U245" i="17" s="1"/>
  <c r="AM235" i="17"/>
  <c r="AP235" i="17" s="1"/>
  <c r="M476" i="17"/>
  <c r="AE21" i="17"/>
  <c r="AM11" i="17"/>
  <c r="AP11" i="17" s="1"/>
  <c r="AG63" i="17"/>
  <c r="AM52" i="17"/>
  <c r="AP52" i="17" s="1"/>
  <c r="AG159" i="17"/>
  <c r="AJ201" i="17"/>
  <c r="AN262" i="17"/>
  <c r="AQ262" i="17" s="1"/>
  <c r="O463" i="17"/>
  <c r="E581" i="17"/>
  <c r="AF21" i="17"/>
  <c r="AN11" i="17"/>
  <c r="AQ11" i="17" s="1"/>
  <c r="AA84" i="17"/>
  <c r="AM75" i="17"/>
  <c r="AP75" i="17" s="1"/>
  <c r="AK201" i="17"/>
  <c r="AA243" i="17"/>
  <c r="AM234" i="17"/>
  <c r="AP234" i="17" s="1"/>
  <c r="AK285" i="17"/>
  <c r="AJ285" i="17"/>
  <c r="AI285" i="17"/>
  <c r="F581" i="17"/>
  <c r="E370" i="17"/>
  <c r="O598" i="17" l="1"/>
  <c r="O591" i="17"/>
  <c r="AA359" i="17"/>
  <c r="AA370" i="17" s="1"/>
  <c r="O596" i="17"/>
  <c r="N596" i="17"/>
  <c r="O593" i="17"/>
  <c r="N595" i="17"/>
  <c r="O595" i="17"/>
  <c r="L591" i="17"/>
  <c r="N591" i="17" s="1"/>
  <c r="G370" i="17"/>
  <c r="G372" i="17" s="1"/>
  <c r="M590" i="17"/>
  <c r="O590" i="17" s="1"/>
  <c r="H600" i="17"/>
  <c r="L600" i="17" s="1"/>
  <c r="N600" i="17" s="1"/>
  <c r="I599" i="17"/>
  <c r="M599" i="17" s="1"/>
  <c r="O599" i="17" s="1"/>
  <c r="I594" i="17"/>
  <c r="M594" i="17" s="1"/>
  <c r="O594" i="17" s="1"/>
  <c r="AD359" i="17"/>
  <c r="AD370" i="17" s="1"/>
  <c r="H597" i="17"/>
  <c r="L597" i="17" s="1"/>
  <c r="N597" i="17" s="1"/>
  <c r="H598" i="17"/>
  <c r="N370" i="17"/>
  <c r="I600" i="17"/>
  <c r="M600" i="17" s="1"/>
  <c r="O600" i="17" s="1"/>
  <c r="O370" i="17"/>
  <c r="I597" i="17"/>
  <c r="M597" i="17" s="1"/>
  <c r="O597" i="17" s="1"/>
  <c r="AN367" i="17"/>
  <c r="AQ367" i="17" s="1"/>
  <c r="H599" i="17"/>
  <c r="L599" i="17" s="1"/>
  <c r="N599" i="17" s="1"/>
  <c r="T359" i="17"/>
  <c r="AK370" i="17"/>
  <c r="R370" i="17"/>
  <c r="E592" i="17"/>
  <c r="I592" i="17" s="1"/>
  <c r="H370" i="17"/>
  <c r="J592" i="17"/>
  <c r="J605" i="17" s="1"/>
  <c r="M370" i="17"/>
  <c r="AF370" i="17"/>
  <c r="AE359" i="17"/>
  <c r="P370" i="17"/>
  <c r="L370" i="17"/>
  <c r="AB359" i="17"/>
  <c r="D592" i="17"/>
  <c r="H592" i="17" s="1"/>
  <c r="U359" i="17"/>
  <c r="S370" i="17"/>
  <c r="K592" i="17"/>
  <c r="K603" i="17" s="1"/>
  <c r="AN365" i="17"/>
  <c r="AQ365" i="17" s="1"/>
  <c r="AN358" i="17"/>
  <c r="AT358" i="17" s="1"/>
  <c r="AN364" i="17"/>
  <c r="AQ364" i="17" s="1"/>
  <c r="AM367" i="17"/>
  <c r="AP367" i="17" s="1"/>
  <c r="AN361" i="17"/>
  <c r="AQ361" i="17" s="1"/>
  <c r="D594" i="17"/>
  <c r="H594" i="17" s="1"/>
  <c r="L594" i="17" s="1"/>
  <c r="N594" i="17" s="1"/>
  <c r="AC370" i="17"/>
  <c r="AN366" i="17"/>
  <c r="AQ366" i="17" s="1"/>
  <c r="D370" i="17"/>
  <c r="AN362" i="17"/>
  <c r="AQ362" i="17" s="1"/>
  <c r="L86" i="17"/>
  <c r="L350" i="17"/>
  <c r="M161" i="17"/>
  <c r="M350" i="17"/>
  <c r="AM368" i="17"/>
  <c r="AP368" i="17" s="1"/>
  <c r="AP363" i="17"/>
  <c r="AN357" i="17"/>
  <c r="AT357" i="17" s="1"/>
  <c r="AN368" i="17"/>
  <c r="AQ368" i="17" s="1"/>
  <c r="AM366" i="17"/>
  <c r="AP366" i="17" s="1"/>
  <c r="L287" i="17"/>
  <c r="AQ363" i="17"/>
  <c r="AH370" i="17"/>
  <c r="M23" i="17"/>
  <c r="M308" i="17"/>
  <c r="AM364" i="17"/>
  <c r="AP364" i="17" s="1"/>
  <c r="AM365" i="17"/>
  <c r="AP365" i="17" s="1"/>
  <c r="AM358" i="17"/>
  <c r="AP358" i="17" s="1"/>
  <c r="M245" i="17"/>
  <c r="M86" i="17"/>
  <c r="M287" i="17"/>
  <c r="AM362" i="17"/>
  <c r="AP362" i="17" s="1"/>
  <c r="AL370" i="17"/>
  <c r="AM361" i="17"/>
  <c r="AP361" i="17" s="1"/>
  <c r="AP360" i="17"/>
  <c r="AM327" i="17"/>
  <c r="AP314" i="17"/>
  <c r="AQ230" i="17"/>
  <c r="AN243" i="17"/>
  <c r="AN180" i="17"/>
  <c r="AQ167" i="17"/>
  <c r="AQ71" i="17"/>
  <c r="AN84" i="17"/>
  <c r="AQ314" i="17"/>
  <c r="AN327" i="17"/>
  <c r="AP125" i="17"/>
  <c r="AM138" i="17"/>
  <c r="AN97" i="17"/>
  <c r="AN117" i="17" s="1"/>
  <c r="AJ117" i="17"/>
  <c r="N568" i="17"/>
  <c r="L581" i="17"/>
  <c r="L65" i="17"/>
  <c r="AM97" i="17"/>
  <c r="AM117" i="17" s="1"/>
  <c r="AN42" i="17"/>
  <c r="AQ29" i="17"/>
  <c r="AG370" i="17"/>
  <c r="AN360" i="17"/>
  <c r="AQ360" i="17" s="1"/>
  <c r="AM222" i="17"/>
  <c r="AP230" i="17"/>
  <c r="AM243" i="17"/>
  <c r="AM201" i="17"/>
  <c r="AP188" i="17"/>
  <c r="AQ188" i="17"/>
  <c r="AN201" i="17"/>
  <c r="AQ50" i="17"/>
  <c r="AN63" i="17"/>
  <c r="AP50" i="17"/>
  <c r="AM63" i="17"/>
  <c r="AQ251" i="17"/>
  <c r="AN264" i="17"/>
  <c r="L224" i="17"/>
  <c r="AN159" i="17"/>
  <c r="AP251" i="17"/>
  <c r="AM264" i="17"/>
  <c r="AM285" i="17"/>
  <c r="AP272" i="17"/>
  <c r="L372" i="17"/>
  <c r="L161" i="17"/>
  <c r="L308" i="17"/>
  <c r="L266" i="17"/>
  <c r="L182" i="17"/>
  <c r="L119" i="17"/>
  <c r="L44" i="17"/>
  <c r="L329" i="17"/>
  <c r="L140" i="17"/>
  <c r="L203" i="17"/>
  <c r="AN138" i="17"/>
  <c r="L245" i="17"/>
  <c r="AM180" i="17"/>
  <c r="AP167" i="17"/>
  <c r="AM42" i="17"/>
  <c r="AP29" i="17"/>
  <c r="AM357" i="17"/>
  <c r="L23" i="17"/>
  <c r="M581" i="17"/>
  <c r="K582" i="17" s="1"/>
  <c r="AP151" i="17"/>
  <c r="AM159" i="17"/>
  <c r="AN306" i="17"/>
  <c r="AN222" i="17"/>
  <c r="AQ209" i="17"/>
  <c r="AP8" i="17"/>
  <c r="AM21" i="17"/>
  <c r="AN21" i="17"/>
  <c r="AQ8" i="17"/>
  <c r="AM306" i="17"/>
  <c r="AP293" i="17"/>
  <c r="M372" i="17"/>
  <c r="M182" i="17"/>
  <c r="M266" i="17"/>
  <c r="M65" i="17"/>
  <c r="M119" i="17"/>
  <c r="M329" i="17"/>
  <c r="M44" i="17"/>
  <c r="M224" i="17"/>
  <c r="M140" i="17"/>
  <c r="M203" i="17"/>
  <c r="AN285" i="17"/>
  <c r="AQ272" i="17"/>
  <c r="AP71" i="17"/>
  <c r="AM84" i="17"/>
  <c r="M592" i="17" l="1"/>
  <c r="M603" i="17" s="1"/>
  <c r="AM359" i="17"/>
  <c r="AS359" i="17" s="1"/>
  <c r="I603" i="17"/>
  <c r="E603" i="17"/>
  <c r="I605" i="17"/>
  <c r="H603" i="17"/>
  <c r="L598" i="17"/>
  <c r="N598" i="17" s="1"/>
  <c r="L592" i="17"/>
  <c r="N592" i="17" s="1"/>
  <c r="K605" i="17"/>
  <c r="H605" i="17"/>
  <c r="AN359" i="17"/>
  <c r="AT359" i="17" s="1"/>
  <c r="F372" i="17"/>
  <c r="T370" i="17"/>
  <c r="J373" i="17"/>
  <c r="AQ358" i="17"/>
  <c r="K373" i="17"/>
  <c r="J603" i="17"/>
  <c r="AE370" i="17"/>
  <c r="AB370" i="17"/>
  <c r="U370" i="17"/>
  <c r="H6" i="15" s="1"/>
  <c r="D603" i="17"/>
  <c r="AQ357" i="17"/>
  <c r="AS358" i="17"/>
  <c r="I582" i="17"/>
  <c r="AP357" i="17"/>
  <c r="AS357" i="17"/>
  <c r="G582" i="17"/>
  <c r="E582" i="17"/>
  <c r="L190" i="13"/>
  <c r="L316" i="13"/>
  <c r="L22" i="13"/>
  <c r="M605" i="17" l="1"/>
  <c r="AP359" i="17"/>
  <c r="AM370" i="17"/>
  <c r="O592" i="17"/>
  <c r="L605" i="17"/>
  <c r="AN370" i="17"/>
  <c r="AQ359" i="17"/>
  <c r="L603" i="17"/>
  <c r="M316" i="13"/>
  <c r="M274" i="13"/>
  <c r="L274" i="13"/>
  <c r="M253" i="13"/>
  <c r="L253" i="13"/>
  <c r="M232" i="13"/>
  <c r="L232" i="13"/>
  <c r="M211" i="13"/>
  <c r="L211" i="13"/>
  <c r="M190" i="13"/>
  <c r="M169" i="13"/>
  <c r="L169" i="13"/>
  <c r="M148" i="13"/>
  <c r="L148" i="13"/>
  <c r="L127" i="13"/>
  <c r="M127" i="13"/>
  <c r="M64" i="13"/>
  <c r="L64" i="13"/>
  <c r="M22" i="13"/>
  <c r="M43" i="13"/>
  <c r="L43" i="13"/>
  <c r="Z302" i="12"/>
  <c r="AB302" i="12"/>
  <c r="Z303" i="12"/>
  <c r="AB303" i="12"/>
  <c r="Z304" i="12"/>
  <c r="AB304" i="12"/>
  <c r="Z305" i="12"/>
  <c r="AB305" i="12"/>
  <c r="Z306" i="12"/>
  <c r="AB306" i="12"/>
  <c r="Z307" i="12"/>
  <c r="AB307" i="12"/>
  <c r="AC292" i="12"/>
  <c r="AA292" i="12"/>
  <c r="AC291" i="12"/>
  <c r="AA291" i="12"/>
  <c r="AC290" i="12"/>
  <c r="AA290" i="12"/>
  <c r="AC289" i="12"/>
  <c r="AA289" i="12"/>
  <c r="AC288" i="12"/>
  <c r="AA288" i="12"/>
  <c r="AC287" i="12"/>
  <c r="AA287" i="12"/>
  <c r="AC286" i="12"/>
  <c r="AA286" i="12"/>
  <c r="AC285" i="12"/>
  <c r="AA285" i="12"/>
  <c r="AC284" i="12"/>
  <c r="AA284" i="12"/>
  <c r="AC269" i="12"/>
  <c r="AA269" i="12"/>
  <c r="AC268" i="12"/>
  <c r="AA268" i="12"/>
  <c r="AC267" i="12"/>
  <c r="AA267" i="12"/>
  <c r="AC266" i="12"/>
  <c r="AA266" i="12"/>
  <c r="AC265" i="12"/>
  <c r="AA265" i="12"/>
  <c r="AC264" i="12"/>
  <c r="AA264" i="12"/>
  <c r="AC263" i="12"/>
  <c r="AA263" i="12"/>
  <c r="AC262" i="12"/>
  <c r="AA262" i="12"/>
  <c r="AC261" i="12"/>
  <c r="AA261" i="12"/>
  <c r="AC260" i="12"/>
  <c r="AA260" i="12"/>
  <c r="AC250" i="12"/>
  <c r="AA250" i="12"/>
  <c r="AC249" i="12"/>
  <c r="AA249" i="12"/>
  <c r="AC248" i="12"/>
  <c r="AA248" i="12"/>
  <c r="AC247" i="12"/>
  <c r="AA247" i="12"/>
  <c r="AC246" i="12"/>
  <c r="AA246" i="12"/>
  <c r="AC245" i="12"/>
  <c r="AA245" i="12"/>
  <c r="AC244" i="12"/>
  <c r="AA244" i="12"/>
  <c r="AC243" i="12"/>
  <c r="AA243" i="12"/>
  <c r="AC242" i="12"/>
  <c r="AA242" i="12"/>
  <c r="AC241" i="12"/>
  <c r="AA241" i="12"/>
  <c r="AC240" i="12"/>
  <c r="AA240" i="12"/>
  <c r="AC239" i="12"/>
  <c r="AA239" i="12"/>
  <c r="AC229" i="12"/>
  <c r="AA229" i="12"/>
  <c r="AC228" i="12"/>
  <c r="AA228" i="12"/>
  <c r="AC227" i="12"/>
  <c r="AA227" i="12"/>
  <c r="AC226" i="12"/>
  <c r="AA226" i="12"/>
  <c r="AC225" i="12"/>
  <c r="AA225" i="12"/>
  <c r="AC224" i="12"/>
  <c r="AA224" i="12"/>
  <c r="AC223" i="12"/>
  <c r="AA223" i="12"/>
  <c r="AC222" i="12"/>
  <c r="AA222" i="12"/>
  <c r="AC221" i="12"/>
  <c r="AA221" i="12"/>
  <c r="AC220" i="12"/>
  <c r="AA220" i="12"/>
  <c r="AC219" i="12"/>
  <c r="AA219" i="12"/>
  <c r="AC218" i="12"/>
  <c r="AA218" i="12"/>
  <c r="AC208" i="12"/>
  <c r="AA208" i="12"/>
  <c r="AC207" i="12"/>
  <c r="AA207" i="12"/>
  <c r="AC206" i="12"/>
  <c r="AA206" i="12"/>
  <c r="AC205" i="12"/>
  <c r="AA205" i="12"/>
  <c r="AC204" i="12"/>
  <c r="AA204" i="12"/>
  <c r="AC203" i="12"/>
  <c r="AA203" i="12"/>
  <c r="AC202" i="12"/>
  <c r="AA202" i="12"/>
  <c r="AC201" i="12"/>
  <c r="AA201" i="12"/>
  <c r="AC200" i="12"/>
  <c r="AA200" i="12"/>
  <c r="AC199" i="12"/>
  <c r="AA199" i="12"/>
  <c r="AC198" i="12"/>
  <c r="AA198" i="12"/>
  <c r="AC197" i="12"/>
  <c r="AA197" i="12"/>
  <c r="AC187" i="12"/>
  <c r="AA187" i="12"/>
  <c r="AC186" i="12"/>
  <c r="AA186" i="12"/>
  <c r="AC185" i="12"/>
  <c r="AA185" i="12"/>
  <c r="AC184" i="12"/>
  <c r="AA184" i="12"/>
  <c r="AC183" i="12"/>
  <c r="AA183" i="12"/>
  <c r="AC182" i="12"/>
  <c r="AA182" i="12"/>
  <c r="AC181" i="12"/>
  <c r="AA181" i="12"/>
  <c r="AC180" i="12"/>
  <c r="AA180" i="12"/>
  <c r="AC179" i="12"/>
  <c r="AA179" i="12"/>
  <c r="AC178" i="12"/>
  <c r="AA178" i="12"/>
  <c r="AC177" i="12"/>
  <c r="AA177" i="12"/>
  <c r="AC176" i="12"/>
  <c r="AA176" i="12"/>
  <c r="AC166" i="12"/>
  <c r="AA166" i="12"/>
  <c r="AC165" i="12"/>
  <c r="AA165" i="12"/>
  <c r="AC164" i="12"/>
  <c r="AA164" i="12"/>
  <c r="AC163" i="12"/>
  <c r="AA163" i="12"/>
  <c r="AC162" i="12"/>
  <c r="AA162" i="12"/>
  <c r="AC161" i="12"/>
  <c r="AA161" i="12"/>
  <c r="AC160" i="12"/>
  <c r="AA160" i="12"/>
  <c r="AC159" i="12"/>
  <c r="AA159" i="12"/>
  <c r="AC158" i="12"/>
  <c r="AA158" i="12"/>
  <c r="AC157" i="12"/>
  <c r="AA157" i="12"/>
  <c r="AC156" i="12"/>
  <c r="AA156" i="12"/>
  <c r="AC155" i="12"/>
  <c r="AA155" i="12"/>
  <c r="AC124" i="12"/>
  <c r="AA124" i="12"/>
  <c r="AC123" i="12"/>
  <c r="AA123" i="12"/>
  <c r="AC122" i="12"/>
  <c r="AA122" i="12"/>
  <c r="AC121" i="12"/>
  <c r="AA121" i="12"/>
  <c r="AC120" i="12"/>
  <c r="AA120" i="12"/>
  <c r="AC119" i="12"/>
  <c r="AA119" i="12"/>
  <c r="AC118" i="12"/>
  <c r="AA118" i="12"/>
  <c r="AC117" i="12"/>
  <c r="AA117" i="12"/>
  <c r="AC116" i="12"/>
  <c r="AA116" i="12"/>
  <c r="AC115" i="12"/>
  <c r="AA115" i="12"/>
  <c r="AC114" i="12"/>
  <c r="AA114" i="12"/>
  <c r="AC113" i="12"/>
  <c r="AA113" i="12"/>
  <c r="AC103" i="12"/>
  <c r="AA103" i="12"/>
  <c r="AC102" i="12"/>
  <c r="AA102" i="12"/>
  <c r="AC101" i="12"/>
  <c r="AA101" i="12"/>
  <c r="AC100" i="12"/>
  <c r="AA100" i="12"/>
  <c r="AC99" i="12"/>
  <c r="AA99" i="12"/>
  <c r="AC98" i="12"/>
  <c r="AA98" i="12"/>
  <c r="AC97" i="12"/>
  <c r="AA97" i="12"/>
  <c r="AC96" i="12"/>
  <c r="AA96" i="12"/>
  <c r="AC95" i="12"/>
  <c r="AA95" i="12"/>
  <c r="AC94" i="12"/>
  <c r="AA94" i="12"/>
  <c r="AC93" i="12"/>
  <c r="AA93" i="12"/>
  <c r="AC92" i="12"/>
  <c r="AA92" i="12"/>
  <c r="AC71" i="12"/>
  <c r="AA71" i="12"/>
  <c r="AC82" i="12"/>
  <c r="AC81" i="12"/>
  <c r="AC80" i="12"/>
  <c r="AC79" i="12"/>
  <c r="AC78" i="12"/>
  <c r="AC77" i="12"/>
  <c r="AC76" i="12"/>
  <c r="AC75" i="12"/>
  <c r="AC74" i="12"/>
  <c r="AC73" i="12"/>
  <c r="AC72" i="12"/>
  <c r="AA82" i="12"/>
  <c r="AA81" i="12"/>
  <c r="AA80" i="12"/>
  <c r="AA79" i="12"/>
  <c r="AA78" i="12"/>
  <c r="AA77" i="12"/>
  <c r="AA76" i="12"/>
  <c r="AA75" i="12"/>
  <c r="AA74" i="12"/>
  <c r="AA73" i="12"/>
  <c r="AA72" i="12"/>
  <c r="T249" i="13" l="1"/>
  <c r="K80" i="13" l="1"/>
  <c r="J80" i="13"/>
  <c r="M334" i="13" l="1"/>
  <c r="L334" i="13"/>
  <c r="M333" i="13"/>
  <c r="L333" i="13"/>
  <c r="M332" i="13"/>
  <c r="L332" i="13"/>
  <c r="M330" i="13"/>
  <c r="L330" i="13"/>
  <c r="M329" i="13"/>
  <c r="L329" i="13"/>
  <c r="M328" i="13"/>
  <c r="L328" i="13"/>
  <c r="M327" i="13"/>
  <c r="L327" i="13"/>
  <c r="M326" i="13"/>
  <c r="L326" i="13"/>
  <c r="M325" i="13"/>
  <c r="L325" i="13"/>
  <c r="M324" i="13"/>
  <c r="L324" i="13"/>
  <c r="M323" i="13"/>
  <c r="S100" i="13" l="1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L106" i="13" l="1"/>
  <c r="M106" i="13"/>
  <c r="S79" i="13"/>
  <c r="R79" i="13"/>
  <c r="O79" i="13"/>
  <c r="N79" i="13"/>
  <c r="M79" i="13"/>
  <c r="M85" i="13" s="1"/>
  <c r="L79" i="13"/>
  <c r="L85" i="13" s="1"/>
  <c r="K79" i="13"/>
  <c r="J79" i="13"/>
  <c r="M331" i="13" l="1"/>
  <c r="M337" i="13" s="1"/>
  <c r="L331" i="13"/>
  <c r="AU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S334" i="13"/>
  <c r="R334" i="13"/>
  <c r="Q334" i="13"/>
  <c r="P334" i="13"/>
  <c r="O334" i="13"/>
  <c r="N334" i="13"/>
  <c r="K334" i="13"/>
  <c r="J334" i="13"/>
  <c r="I334" i="13"/>
  <c r="H334" i="13"/>
  <c r="G334" i="13"/>
  <c r="F334" i="13"/>
  <c r="E334" i="13"/>
  <c r="E545" i="13" s="1"/>
  <c r="D334" i="13"/>
  <c r="D545" i="13" s="1"/>
  <c r="S333" i="13"/>
  <c r="R333" i="13"/>
  <c r="Q333" i="13"/>
  <c r="P333" i="13"/>
  <c r="O333" i="13"/>
  <c r="N333" i="13"/>
  <c r="K333" i="13"/>
  <c r="J333" i="13"/>
  <c r="I333" i="13"/>
  <c r="H333" i="13"/>
  <c r="G333" i="13"/>
  <c r="F333" i="13"/>
  <c r="E333" i="13"/>
  <c r="D333" i="13"/>
  <c r="S332" i="13"/>
  <c r="R332" i="13"/>
  <c r="Q332" i="13"/>
  <c r="P332" i="13"/>
  <c r="O332" i="13"/>
  <c r="N332" i="13"/>
  <c r="K332" i="13"/>
  <c r="K543" i="13" s="1"/>
  <c r="J332" i="13"/>
  <c r="J543" i="13" s="1"/>
  <c r="I332" i="13"/>
  <c r="H332" i="13"/>
  <c r="G332" i="13"/>
  <c r="F332" i="13"/>
  <c r="E332" i="13"/>
  <c r="D332" i="13"/>
  <c r="S331" i="13"/>
  <c r="R331" i="13"/>
  <c r="Q331" i="13"/>
  <c r="P331" i="13"/>
  <c r="O331" i="13"/>
  <c r="N331" i="13"/>
  <c r="K331" i="13"/>
  <c r="J331" i="13"/>
  <c r="I331" i="13"/>
  <c r="H331" i="13"/>
  <c r="G331" i="13"/>
  <c r="F331" i="13"/>
  <c r="E331" i="13"/>
  <c r="E542" i="13" s="1"/>
  <c r="D331" i="13"/>
  <c r="D542" i="13" s="1"/>
  <c r="S330" i="13"/>
  <c r="R330" i="13"/>
  <c r="Q330" i="13"/>
  <c r="P330" i="13"/>
  <c r="O330" i="13"/>
  <c r="N330" i="13"/>
  <c r="K330" i="13"/>
  <c r="J330" i="13"/>
  <c r="I330" i="13"/>
  <c r="H330" i="13"/>
  <c r="G330" i="13"/>
  <c r="F330" i="13"/>
  <c r="E330" i="13"/>
  <c r="D330" i="13"/>
  <c r="D541" i="13" s="1"/>
  <c r="S329" i="13"/>
  <c r="R329" i="13"/>
  <c r="Q329" i="13"/>
  <c r="P329" i="13"/>
  <c r="O329" i="13"/>
  <c r="N329" i="13"/>
  <c r="K329" i="13"/>
  <c r="J329" i="13"/>
  <c r="I329" i="13"/>
  <c r="H329" i="13"/>
  <c r="G329" i="13"/>
  <c r="F329" i="13"/>
  <c r="E329" i="13"/>
  <c r="D329" i="13"/>
  <c r="S328" i="13"/>
  <c r="R328" i="13"/>
  <c r="Q328" i="13"/>
  <c r="P328" i="13"/>
  <c r="O328" i="13"/>
  <c r="N328" i="13"/>
  <c r="K328" i="13"/>
  <c r="J328" i="13"/>
  <c r="J539" i="13" s="1"/>
  <c r="I328" i="13"/>
  <c r="H328" i="13"/>
  <c r="G328" i="13"/>
  <c r="F328" i="13"/>
  <c r="E328" i="13"/>
  <c r="D328" i="13"/>
  <c r="S327" i="13"/>
  <c r="R327" i="13"/>
  <c r="Q327" i="13"/>
  <c r="P327" i="13"/>
  <c r="O327" i="13"/>
  <c r="N327" i="13"/>
  <c r="K327" i="13"/>
  <c r="J327" i="13"/>
  <c r="I327" i="13"/>
  <c r="H327" i="13"/>
  <c r="G327" i="13"/>
  <c r="F327" i="13"/>
  <c r="E327" i="13"/>
  <c r="E538" i="13" s="1"/>
  <c r="D327" i="13"/>
  <c r="D538" i="13" s="1"/>
  <c r="S326" i="13"/>
  <c r="R326" i="13"/>
  <c r="Q326" i="13"/>
  <c r="P326" i="13"/>
  <c r="O326" i="13"/>
  <c r="N326" i="13"/>
  <c r="K326" i="13"/>
  <c r="J326" i="13"/>
  <c r="I326" i="13"/>
  <c r="H326" i="13"/>
  <c r="G326" i="13"/>
  <c r="F326" i="13"/>
  <c r="E326" i="13"/>
  <c r="E537" i="13" s="1"/>
  <c r="D326" i="13"/>
  <c r="S325" i="13"/>
  <c r="R325" i="13"/>
  <c r="Q325" i="13"/>
  <c r="P325" i="13"/>
  <c r="O325" i="13"/>
  <c r="N325" i="13"/>
  <c r="K325" i="13"/>
  <c r="K536" i="13" s="1"/>
  <c r="J325" i="13"/>
  <c r="J536" i="13" s="1"/>
  <c r="I325" i="13"/>
  <c r="H325" i="13"/>
  <c r="G325" i="13"/>
  <c r="F325" i="13"/>
  <c r="E325" i="13"/>
  <c r="D325" i="13"/>
  <c r="S324" i="13"/>
  <c r="R324" i="13"/>
  <c r="Q324" i="13"/>
  <c r="P324" i="13"/>
  <c r="O324" i="13"/>
  <c r="N324" i="13"/>
  <c r="K324" i="13"/>
  <c r="J324" i="13"/>
  <c r="I324" i="13"/>
  <c r="H324" i="13"/>
  <c r="G324" i="13"/>
  <c r="F324" i="13"/>
  <c r="E324" i="13"/>
  <c r="E535" i="13" s="1"/>
  <c r="D324" i="13"/>
  <c r="D535" i="13" s="1"/>
  <c r="S323" i="13"/>
  <c r="R323" i="13"/>
  <c r="Q323" i="13"/>
  <c r="P323" i="13"/>
  <c r="O323" i="13"/>
  <c r="N323" i="13"/>
  <c r="L323" i="13"/>
  <c r="K323" i="13"/>
  <c r="J323" i="13"/>
  <c r="I323" i="13"/>
  <c r="H323" i="13"/>
  <c r="G323" i="13"/>
  <c r="F323" i="13"/>
  <c r="E323" i="13"/>
  <c r="D323" i="13"/>
  <c r="K538" i="13" l="1"/>
  <c r="D540" i="13"/>
  <c r="J541" i="13"/>
  <c r="E540" i="13"/>
  <c r="K541" i="13"/>
  <c r="D543" i="13"/>
  <c r="E543" i="13"/>
  <c r="J534" i="13"/>
  <c r="K534" i="13"/>
  <c r="J544" i="13"/>
  <c r="L337" i="13"/>
  <c r="L128" i="13" s="1"/>
  <c r="K544" i="13"/>
  <c r="D536" i="13"/>
  <c r="J537" i="13"/>
  <c r="E536" i="13"/>
  <c r="K537" i="13"/>
  <c r="D539" i="13"/>
  <c r="J540" i="13"/>
  <c r="E539" i="13"/>
  <c r="K540" i="13"/>
  <c r="K539" i="13"/>
  <c r="J542" i="13"/>
  <c r="D534" i="13"/>
  <c r="E541" i="13"/>
  <c r="K542" i="13"/>
  <c r="E534" i="13"/>
  <c r="J535" i="13"/>
  <c r="D544" i="13"/>
  <c r="J545" i="13"/>
  <c r="K535" i="13"/>
  <c r="E544" i="13"/>
  <c r="K545" i="13"/>
  <c r="D537" i="13"/>
  <c r="J538" i="13"/>
  <c r="M23" i="13"/>
  <c r="M338" i="13"/>
  <c r="AS100" i="13"/>
  <c r="AT100" i="13"/>
  <c r="J107" i="13"/>
  <c r="J106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U103" i="13"/>
  <c r="T103" i="13"/>
  <c r="U102" i="13"/>
  <c r="T102" i="13"/>
  <c r="U101" i="13"/>
  <c r="T101" i="13"/>
  <c r="U100" i="13"/>
  <c r="T100" i="13"/>
  <c r="U99" i="13"/>
  <c r="T99" i="13"/>
  <c r="U98" i="13"/>
  <c r="T98" i="13"/>
  <c r="U97" i="13"/>
  <c r="T97" i="13"/>
  <c r="U96" i="13"/>
  <c r="T96" i="13"/>
  <c r="U95" i="13"/>
  <c r="T95" i="13"/>
  <c r="U94" i="13"/>
  <c r="T94" i="13"/>
  <c r="U93" i="13"/>
  <c r="T93" i="13"/>
  <c r="U92" i="13"/>
  <c r="T92" i="13"/>
  <c r="J547" i="13" l="1"/>
  <c r="K547" i="13"/>
  <c r="J549" i="13"/>
  <c r="K549" i="13"/>
  <c r="E547" i="13"/>
  <c r="D547" i="13"/>
  <c r="T106" i="13"/>
  <c r="U106" i="13"/>
  <c r="U107" i="13" s="1"/>
  <c r="T107" i="13"/>
  <c r="AW100" i="13"/>
  <c r="AV100" i="13"/>
  <c r="U105" i="13"/>
  <c r="T105" i="13"/>
  <c r="AG57" i="13"/>
  <c r="AH57" i="13"/>
  <c r="E337" i="13" l="1"/>
  <c r="G358" i="13"/>
  <c r="F358" i="13"/>
  <c r="T219" i="13" l="1"/>
  <c r="U304" i="13" l="1"/>
  <c r="T304" i="13"/>
  <c r="U303" i="13"/>
  <c r="T303" i="13"/>
  <c r="U302" i="13"/>
  <c r="T302" i="13"/>
  <c r="M513" i="13" l="1"/>
  <c r="L513" i="13"/>
  <c r="AH145" i="13" l="1"/>
  <c r="AG145" i="13"/>
  <c r="AH144" i="13"/>
  <c r="AG144" i="13"/>
  <c r="AH143" i="13"/>
  <c r="AG143" i="13"/>
  <c r="AH142" i="13"/>
  <c r="AG142" i="13"/>
  <c r="AH141" i="13"/>
  <c r="AG141" i="13"/>
  <c r="AH140" i="13"/>
  <c r="AG140" i="13"/>
  <c r="AH139" i="13"/>
  <c r="AG139" i="13"/>
  <c r="AH138" i="13"/>
  <c r="AG138" i="13"/>
  <c r="AH137" i="13"/>
  <c r="AG137" i="13"/>
  <c r="AH136" i="13"/>
  <c r="AG136" i="13"/>
  <c r="AH135" i="13"/>
  <c r="AG135" i="13"/>
  <c r="AH134" i="13"/>
  <c r="AG134" i="13"/>
  <c r="U145" i="13"/>
  <c r="T145" i="13"/>
  <c r="U144" i="13"/>
  <c r="T144" i="13"/>
  <c r="U143" i="13"/>
  <c r="T143" i="13"/>
  <c r="U142" i="13"/>
  <c r="T142" i="13"/>
  <c r="U141" i="13"/>
  <c r="T141" i="13"/>
  <c r="U140" i="13"/>
  <c r="T140" i="13"/>
  <c r="U139" i="13"/>
  <c r="T139" i="13"/>
  <c r="U138" i="13"/>
  <c r="T138" i="13"/>
  <c r="U137" i="13"/>
  <c r="T137" i="13"/>
  <c r="U136" i="13"/>
  <c r="T136" i="13"/>
  <c r="U135" i="13"/>
  <c r="T135" i="13"/>
  <c r="U134" i="13"/>
  <c r="T134" i="13"/>
  <c r="K526" i="13"/>
  <c r="J526" i="13"/>
  <c r="I526" i="13"/>
  <c r="H526" i="13"/>
  <c r="G526" i="13"/>
  <c r="F526" i="13"/>
  <c r="E526" i="13"/>
  <c r="D526" i="13"/>
  <c r="M524" i="13"/>
  <c r="O524" i="13" s="1"/>
  <c r="L524" i="13"/>
  <c r="N524" i="13" s="1"/>
  <c r="M523" i="13"/>
  <c r="O523" i="13" s="1"/>
  <c r="L523" i="13"/>
  <c r="N523" i="13" s="1"/>
  <c r="M522" i="13"/>
  <c r="O522" i="13" s="1"/>
  <c r="L522" i="13"/>
  <c r="N522" i="13" s="1"/>
  <c r="M521" i="13"/>
  <c r="O521" i="13" s="1"/>
  <c r="L521" i="13"/>
  <c r="N521" i="13" s="1"/>
  <c r="M520" i="13"/>
  <c r="O520" i="13" s="1"/>
  <c r="L520" i="13"/>
  <c r="N520" i="13" s="1"/>
  <c r="M519" i="13"/>
  <c r="O519" i="13" s="1"/>
  <c r="L519" i="13"/>
  <c r="N519" i="13" s="1"/>
  <c r="M518" i="13"/>
  <c r="O518" i="13" s="1"/>
  <c r="L518" i="13"/>
  <c r="N518" i="13" s="1"/>
  <c r="M517" i="13"/>
  <c r="O517" i="13" s="1"/>
  <c r="L517" i="13"/>
  <c r="N517" i="13" s="1"/>
  <c r="M516" i="13"/>
  <c r="O516" i="13" s="1"/>
  <c r="L516" i="13"/>
  <c r="N516" i="13" s="1"/>
  <c r="M515" i="13"/>
  <c r="O515" i="13" s="1"/>
  <c r="L515" i="13"/>
  <c r="N515" i="13" s="1"/>
  <c r="M514" i="13"/>
  <c r="O514" i="13" s="1"/>
  <c r="L514" i="13"/>
  <c r="N514" i="13" s="1"/>
  <c r="K505" i="13"/>
  <c r="J505" i="13"/>
  <c r="I505" i="13"/>
  <c r="H505" i="13"/>
  <c r="G505" i="13"/>
  <c r="F505" i="13"/>
  <c r="E505" i="13"/>
  <c r="D505" i="13"/>
  <c r="M503" i="13"/>
  <c r="O503" i="13" s="1"/>
  <c r="L503" i="13"/>
  <c r="N503" i="13" s="1"/>
  <c r="M502" i="13"/>
  <c r="O502" i="13" s="1"/>
  <c r="L502" i="13"/>
  <c r="N502" i="13" s="1"/>
  <c r="M501" i="13"/>
  <c r="O501" i="13" s="1"/>
  <c r="L501" i="13"/>
  <c r="N501" i="13" s="1"/>
  <c r="M500" i="13"/>
  <c r="O500" i="13" s="1"/>
  <c r="L500" i="13"/>
  <c r="N500" i="13" s="1"/>
  <c r="M499" i="13"/>
  <c r="O499" i="13" s="1"/>
  <c r="L499" i="13"/>
  <c r="N499" i="13" s="1"/>
  <c r="M498" i="13"/>
  <c r="O498" i="13" s="1"/>
  <c r="L498" i="13"/>
  <c r="N498" i="13" s="1"/>
  <c r="M497" i="13"/>
  <c r="O497" i="13" s="1"/>
  <c r="L497" i="13"/>
  <c r="N497" i="13" s="1"/>
  <c r="M496" i="13"/>
  <c r="O496" i="13" s="1"/>
  <c r="L496" i="13"/>
  <c r="N496" i="13" s="1"/>
  <c r="M495" i="13"/>
  <c r="O495" i="13" s="1"/>
  <c r="L495" i="13"/>
  <c r="N495" i="13" s="1"/>
  <c r="M494" i="13"/>
  <c r="O494" i="13" s="1"/>
  <c r="L494" i="13"/>
  <c r="N494" i="13" s="1"/>
  <c r="M493" i="13"/>
  <c r="O493" i="13" s="1"/>
  <c r="L493" i="13"/>
  <c r="N493" i="13" s="1"/>
  <c r="M492" i="13"/>
  <c r="O492" i="13" s="1"/>
  <c r="L492" i="13"/>
  <c r="K484" i="13"/>
  <c r="J484" i="13"/>
  <c r="I484" i="13"/>
  <c r="H484" i="13"/>
  <c r="G484" i="13"/>
  <c r="F484" i="13"/>
  <c r="E484" i="13"/>
  <c r="D484" i="13"/>
  <c r="M482" i="13"/>
  <c r="O482" i="13" s="1"/>
  <c r="L482" i="13"/>
  <c r="N482" i="13" s="1"/>
  <c r="M481" i="13"/>
  <c r="O481" i="13" s="1"/>
  <c r="L481" i="13"/>
  <c r="N481" i="13" s="1"/>
  <c r="M480" i="13"/>
  <c r="O480" i="13" s="1"/>
  <c r="L480" i="13"/>
  <c r="N480" i="13" s="1"/>
  <c r="M479" i="13"/>
  <c r="O479" i="13" s="1"/>
  <c r="L479" i="13"/>
  <c r="N479" i="13" s="1"/>
  <c r="M478" i="13"/>
  <c r="O478" i="13" s="1"/>
  <c r="L478" i="13"/>
  <c r="N478" i="13" s="1"/>
  <c r="M477" i="13"/>
  <c r="O477" i="13" s="1"/>
  <c r="L477" i="13"/>
  <c r="N477" i="13" s="1"/>
  <c r="M476" i="13"/>
  <c r="O476" i="13" s="1"/>
  <c r="L476" i="13"/>
  <c r="N476" i="13" s="1"/>
  <c r="M475" i="13"/>
  <c r="O475" i="13" s="1"/>
  <c r="L475" i="13"/>
  <c r="N475" i="13" s="1"/>
  <c r="M474" i="13"/>
  <c r="O474" i="13" s="1"/>
  <c r="L474" i="13"/>
  <c r="N474" i="13" s="1"/>
  <c r="M473" i="13"/>
  <c r="O473" i="13" s="1"/>
  <c r="L473" i="13"/>
  <c r="N473" i="13" s="1"/>
  <c r="M472" i="13"/>
  <c r="O472" i="13" s="1"/>
  <c r="L472" i="13"/>
  <c r="N472" i="13" s="1"/>
  <c r="M471" i="13"/>
  <c r="O471" i="13" s="1"/>
  <c r="L471" i="13"/>
  <c r="N471" i="13" s="1"/>
  <c r="K463" i="13"/>
  <c r="J463" i="13"/>
  <c r="I463" i="13"/>
  <c r="H463" i="13"/>
  <c r="G463" i="13"/>
  <c r="F463" i="13"/>
  <c r="E463" i="13"/>
  <c r="D463" i="13"/>
  <c r="M461" i="13"/>
  <c r="O461" i="13" s="1"/>
  <c r="L461" i="13"/>
  <c r="N461" i="13" s="1"/>
  <c r="M460" i="13"/>
  <c r="O460" i="13" s="1"/>
  <c r="L460" i="13"/>
  <c r="N460" i="13" s="1"/>
  <c r="M459" i="13"/>
  <c r="O459" i="13" s="1"/>
  <c r="L459" i="13"/>
  <c r="N459" i="13" s="1"/>
  <c r="M458" i="13"/>
  <c r="O458" i="13" s="1"/>
  <c r="L458" i="13"/>
  <c r="N458" i="13" s="1"/>
  <c r="M457" i="13"/>
  <c r="O457" i="13" s="1"/>
  <c r="L457" i="13"/>
  <c r="N457" i="13" s="1"/>
  <c r="M456" i="13"/>
  <c r="O456" i="13" s="1"/>
  <c r="L456" i="13"/>
  <c r="N456" i="13" s="1"/>
  <c r="M455" i="13"/>
  <c r="O455" i="13" s="1"/>
  <c r="L455" i="13"/>
  <c r="N455" i="13" s="1"/>
  <c r="M454" i="13"/>
  <c r="O454" i="13" s="1"/>
  <c r="L454" i="13"/>
  <c r="N454" i="13" s="1"/>
  <c r="M453" i="13"/>
  <c r="O453" i="13" s="1"/>
  <c r="L453" i="13"/>
  <c r="N453" i="13" s="1"/>
  <c r="M452" i="13"/>
  <c r="O452" i="13" s="1"/>
  <c r="L452" i="13"/>
  <c r="N452" i="13" s="1"/>
  <c r="M451" i="13"/>
  <c r="L451" i="13"/>
  <c r="M450" i="13"/>
  <c r="O450" i="13" s="1"/>
  <c r="L450" i="13"/>
  <c r="N450" i="13" s="1"/>
  <c r="K442" i="13"/>
  <c r="J442" i="13"/>
  <c r="I442" i="13"/>
  <c r="H442" i="13"/>
  <c r="G442" i="13"/>
  <c r="F442" i="13"/>
  <c r="E442" i="13"/>
  <c r="D442" i="13"/>
  <c r="M440" i="13"/>
  <c r="O440" i="13" s="1"/>
  <c r="L440" i="13"/>
  <c r="N440" i="13" s="1"/>
  <c r="M439" i="13"/>
  <c r="O439" i="13" s="1"/>
  <c r="L439" i="13"/>
  <c r="N439" i="13" s="1"/>
  <c r="M438" i="13"/>
  <c r="O438" i="13" s="1"/>
  <c r="L438" i="13"/>
  <c r="N438" i="13" s="1"/>
  <c r="M437" i="13"/>
  <c r="O437" i="13" s="1"/>
  <c r="L437" i="13"/>
  <c r="N437" i="13" s="1"/>
  <c r="M436" i="13"/>
  <c r="O436" i="13" s="1"/>
  <c r="L436" i="13"/>
  <c r="N436" i="13" s="1"/>
  <c r="M435" i="13"/>
  <c r="O435" i="13" s="1"/>
  <c r="L435" i="13"/>
  <c r="N435" i="13" s="1"/>
  <c r="M434" i="13"/>
  <c r="O434" i="13" s="1"/>
  <c r="L434" i="13"/>
  <c r="N434" i="13" s="1"/>
  <c r="M433" i="13"/>
  <c r="O433" i="13" s="1"/>
  <c r="L433" i="13"/>
  <c r="N433" i="13" s="1"/>
  <c r="M432" i="13"/>
  <c r="O432" i="13" s="1"/>
  <c r="L432" i="13"/>
  <c r="N432" i="13" s="1"/>
  <c r="M431" i="13"/>
  <c r="O431" i="13" s="1"/>
  <c r="L431" i="13"/>
  <c r="N431" i="13" s="1"/>
  <c r="M430" i="13"/>
  <c r="O430" i="13" s="1"/>
  <c r="L430" i="13"/>
  <c r="N430" i="13" s="1"/>
  <c r="M429" i="13"/>
  <c r="O429" i="13" s="1"/>
  <c r="L429" i="13"/>
  <c r="N429" i="13" s="1"/>
  <c r="K421" i="13"/>
  <c r="J421" i="13"/>
  <c r="I421" i="13"/>
  <c r="H421" i="13"/>
  <c r="G421" i="13"/>
  <c r="F421" i="13"/>
  <c r="E421" i="13"/>
  <c r="D421" i="13"/>
  <c r="M419" i="13"/>
  <c r="O419" i="13" s="1"/>
  <c r="L419" i="13"/>
  <c r="N419" i="13" s="1"/>
  <c r="M418" i="13"/>
  <c r="O418" i="13" s="1"/>
  <c r="L418" i="13"/>
  <c r="N418" i="13" s="1"/>
  <c r="M417" i="13"/>
  <c r="O417" i="13" s="1"/>
  <c r="L417" i="13"/>
  <c r="N417" i="13" s="1"/>
  <c r="M416" i="13"/>
  <c r="O416" i="13" s="1"/>
  <c r="L416" i="13"/>
  <c r="N416" i="13" s="1"/>
  <c r="M415" i="13"/>
  <c r="O415" i="13" s="1"/>
  <c r="L415" i="13"/>
  <c r="N415" i="13" s="1"/>
  <c r="M414" i="13"/>
  <c r="O414" i="13" s="1"/>
  <c r="L414" i="13"/>
  <c r="N414" i="13" s="1"/>
  <c r="M413" i="13"/>
  <c r="O413" i="13" s="1"/>
  <c r="L413" i="13"/>
  <c r="N413" i="13" s="1"/>
  <c r="M412" i="13"/>
  <c r="O412" i="13" s="1"/>
  <c r="L412" i="13"/>
  <c r="N412" i="13" s="1"/>
  <c r="M411" i="13"/>
  <c r="O411" i="13" s="1"/>
  <c r="L411" i="13"/>
  <c r="N411" i="13" s="1"/>
  <c r="M410" i="13"/>
  <c r="O410" i="13" s="1"/>
  <c r="L410" i="13"/>
  <c r="N410" i="13" s="1"/>
  <c r="M409" i="13"/>
  <c r="O409" i="13" s="1"/>
  <c r="L409" i="13"/>
  <c r="N409" i="13" s="1"/>
  <c r="M408" i="13"/>
  <c r="L408" i="13"/>
  <c r="K400" i="13"/>
  <c r="J400" i="13"/>
  <c r="I400" i="13"/>
  <c r="H400" i="13"/>
  <c r="G400" i="13"/>
  <c r="F400" i="13"/>
  <c r="E400" i="13"/>
  <c r="D400" i="13"/>
  <c r="M398" i="13"/>
  <c r="O398" i="13" s="1"/>
  <c r="L398" i="13"/>
  <c r="N398" i="13" s="1"/>
  <c r="M397" i="13"/>
  <c r="O397" i="13" s="1"/>
  <c r="L397" i="13"/>
  <c r="N397" i="13" s="1"/>
  <c r="M396" i="13"/>
  <c r="O396" i="13" s="1"/>
  <c r="L396" i="13"/>
  <c r="N396" i="13" s="1"/>
  <c r="M395" i="13"/>
  <c r="O395" i="13" s="1"/>
  <c r="L395" i="13"/>
  <c r="N395" i="13" s="1"/>
  <c r="M394" i="13"/>
  <c r="O394" i="13" s="1"/>
  <c r="L394" i="13"/>
  <c r="N394" i="13" s="1"/>
  <c r="M393" i="13"/>
  <c r="O393" i="13" s="1"/>
  <c r="L393" i="13"/>
  <c r="N393" i="13" s="1"/>
  <c r="M392" i="13"/>
  <c r="O392" i="13" s="1"/>
  <c r="L392" i="13"/>
  <c r="N392" i="13" s="1"/>
  <c r="M391" i="13"/>
  <c r="O391" i="13" s="1"/>
  <c r="L391" i="13"/>
  <c r="N391" i="13" s="1"/>
  <c r="M390" i="13"/>
  <c r="O390" i="13" s="1"/>
  <c r="L390" i="13"/>
  <c r="N390" i="13" s="1"/>
  <c r="M389" i="13"/>
  <c r="O389" i="13" s="1"/>
  <c r="L389" i="13"/>
  <c r="N389" i="13" s="1"/>
  <c r="M388" i="13"/>
  <c r="O388" i="13" s="1"/>
  <c r="L388" i="13"/>
  <c r="N388" i="13" s="1"/>
  <c r="M387" i="13"/>
  <c r="O387" i="13" s="1"/>
  <c r="L387" i="13"/>
  <c r="N387" i="13" s="1"/>
  <c r="K379" i="13"/>
  <c r="J379" i="13"/>
  <c r="I379" i="13"/>
  <c r="H379" i="13"/>
  <c r="G379" i="13"/>
  <c r="F379" i="13"/>
  <c r="E379" i="13"/>
  <c r="D379" i="13"/>
  <c r="M377" i="13"/>
  <c r="O377" i="13" s="1"/>
  <c r="L377" i="13"/>
  <c r="N377" i="13" s="1"/>
  <c r="M376" i="13"/>
  <c r="O376" i="13" s="1"/>
  <c r="L376" i="13"/>
  <c r="N376" i="13" s="1"/>
  <c r="M375" i="13"/>
  <c r="O375" i="13" s="1"/>
  <c r="L375" i="13"/>
  <c r="N375" i="13" s="1"/>
  <c r="M374" i="13"/>
  <c r="O374" i="13" s="1"/>
  <c r="L374" i="13"/>
  <c r="N374" i="13" s="1"/>
  <c r="M373" i="13"/>
  <c r="O373" i="13" s="1"/>
  <c r="L373" i="13"/>
  <c r="N373" i="13" s="1"/>
  <c r="M372" i="13"/>
  <c r="O372" i="13" s="1"/>
  <c r="L372" i="13"/>
  <c r="N372" i="13" s="1"/>
  <c r="M371" i="13"/>
  <c r="O371" i="13" s="1"/>
  <c r="L371" i="13"/>
  <c r="N371" i="13" s="1"/>
  <c r="M370" i="13"/>
  <c r="O370" i="13" s="1"/>
  <c r="L370" i="13"/>
  <c r="N370" i="13" s="1"/>
  <c r="M369" i="13"/>
  <c r="O369" i="13" s="1"/>
  <c r="L369" i="13"/>
  <c r="N369" i="13" s="1"/>
  <c r="M368" i="13"/>
  <c r="O368" i="13" s="1"/>
  <c r="L368" i="13"/>
  <c r="N368" i="13" s="1"/>
  <c r="M367" i="13"/>
  <c r="O367" i="13" s="1"/>
  <c r="L367" i="13"/>
  <c r="N367" i="13" s="1"/>
  <c r="M366" i="13"/>
  <c r="O366" i="13" s="1"/>
  <c r="L366" i="13"/>
  <c r="S357" i="13"/>
  <c r="R357" i="13"/>
  <c r="Q357" i="13"/>
  <c r="P357" i="13"/>
  <c r="O357" i="13"/>
  <c r="N357" i="13"/>
  <c r="M357" i="13"/>
  <c r="L357" i="13"/>
  <c r="K357" i="13"/>
  <c r="J357" i="13"/>
  <c r="I357" i="13"/>
  <c r="H357" i="13"/>
  <c r="G357" i="13"/>
  <c r="F357" i="13"/>
  <c r="E357" i="13"/>
  <c r="D357" i="13"/>
  <c r="U355" i="13"/>
  <c r="G545" i="13" s="1"/>
  <c r="I545" i="13" s="1"/>
  <c r="M545" i="13" s="1"/>
  <c r="T355" i="13"/>
  <c r="F545" i="13" s="1"/>
  <c r="H545" i="13" s="1"/>
  <c r="L545" i="13" s="1"/>
  <c r="U354" i="13"/>
  <c r="G544" i="13" s="1"/>
  <c r="I544" i="13" s="1"/>
  <c r="M544" i="13" s="1"/>
  <c r="T354" i="13"/>
  <c r="F544" i="13" s="1"/>
  <c r="H544" i="13" s="1"/>
  <c r="L544" i="13" s="1"/>
  <c r="U353" i="13"/>
  <c r="G543" i="13" s="1"/>
  <c r="I543" i="13" s="1"/>
  <c r="M543" i="13" s="1"/>
  <c r="T353" i="13"/>
  <c r="F543" i="13" s="1"/>
  <c r="H543" i="13" s="1"/>
  <c r="L543" i="13" s="1"/>
  <c r="U352" i="13"/>
  <c r="G542" i="13" s="1"/>
  <c r="I542" i="13" s="1"/>
  <c r="M542" i="13" s="1"/>
  <c r="T352" i="13"/>
  <c r="F542" i="13" s="1"/>
  <c r="H542" i="13" s="1"/>
  <c r="L542" i="13" s="1"/>
  <c r="U351" i="13"/>
  <c r="G541" i="13" s="1"/>
  <c r="I541" i="13" s="1"/>
  <c r="M541" i="13" s="1"/>
  <c r="T351" i="13"/>
  <c r="F541" i="13" s="1"/>
  <c r="H541" i="13" s="1"/>
  <c r="L541" i="13" s="1"/>
  <c r="U350" i="13"/>
  <c r="G540" i="13" s="1"/>
  <c r="I540" i="13" s="1"/>
  <c r="M540" i="13" s="1"/>
  <c r="T350" i="13"/>
  <c r="F540" i="13" s="1"/>
  <c r="H540" i="13" s="1"/>
  <c r="L540" i="13" s="1"/>
  <c r="U349" i="13"/>
  <c r="G539" i="13" s="1"/>
  <c r="I539" i="13" s="1"/>
  <c r="M539" i="13" s="1"/>
  <c r="T349" i="13"/>
  <c r="F539" i="13" s="1"/>
  <c r="H539" i="13" s="1"/>
  <c r="L539" i="13" s="1"/>
  <c r="U348" i="13"/>
  <c r="G538" i="13" s="1"/>
  <c r="I538" i="13" s="1"/>
  <c r="M538" i="13" s="1"/>
  <c r="T348" i="13"/>
  <c r="F538" i="13" s="1"/>
  <c r="H538" i="13" s="1"/>
  <c r="L538" i="13" s="1"/>
  <c r="U347" i="13"/>
  <c r="G537" i="13" s="1"/>
  <c r="I537" i="13" s="1"/>
  <c r="M537" i="13" s="1"/>
  <c r="T347" i="13"/>
  <c r="F537" i="13" s="1"/>
  <c r="H537" i="13" s="1"/>
  <c r="L537" i="13" s="1"/>
  <c r="U346" i="13"/>
  <c r="G536" i="13" s="1"/>
  <c r="I536" i="13" s="1"/>
  <c r="M536" i="13" s="1"/>
  <c r="T346" i="13"/>
  <c r="F536" i="13" s="1"/>
  <c r="H536" i="13" s="1"/>
  <c r="L536" i="13" s="1"/>
  <c r="U345" i="13"/>
  <c r="G535" i="13" s="1"/>
  <c r="I535" i="13" s="1"/>
  <c r="M535" i="13" s="1"/>
  <c r="T345" i="13"/>
  <c r="F535" i="13" s="1"/>
  <c r="H535" i="13" s="1"/>
  <c r="L535" i="13" s="1"/>
  <c r="U344" i="13"/>
  <c r="T344" i="13"/>
  <c r="J338" i="13"/>
  <c r="J337" i="13"/>
  <c r="AR334" i="13"/>
  <c r="AQ334" i="13"/>
  <c r="AP334" i="13"/>
  <c r="AO334" i="13"/>
  <c r="AL334" i="13"/>
  <c r="AK334" i="13"/>
  <c r="AJ334" i="13"/>
  <c r="AI334" i="13"/>
  <c r="AR333" i="13"/>
  <c r="AQ333" i="13"/>
  <c r="AP333" i="13"/>
  <c r="AO333" i="13"/>
  <c r="AL333" i="13"/>
  <c r="AK333" i="13"/>
  <c r="AJ333" i="13"/>
  <c r="AI333" i="13"/>
  <c r="AR332" i="13"/>
  <c r="AQ332" i="13"/>
  <c r="AP332" i="13"/>
  <c r="AO332" i="13"/>
  <c r="AL332" i="13"/>
  <c r="AK332" i="13"/>
  <c r="AJ332" i="13"/>
  <c r="AI332" i="13"/>
  <c r="AR331" i="13"/>
  <c r="AQ331" i="13"/>
  <c r="AP331" i="13"/>
  <c r="AO331" i="13"/>
  <c r="AL331" i="13"/>
  <c r="AK331" i="13"/>
  <c r="AJ331" i="13"/>
  <c r="AI331" i="13"/>
  <c r="AR330" i="13"/>
  <c r="AQ330" i="13"/>
  <c r="AP330" i="13"/>
  <c r="AO330" i="13"/>
  <c r="AL330" i="13"/>
  <c r="AK330" i="13"/>
  <c r="AJ330" i="13"/>
  <c r="AI330" i="13"/>
  <c r="AR329" i="13"/>
  <c r="AQ329" i="13"/>
  <c r="AP329" i="13"/>
  <c r="AO329" i="13"/>
  <c r="AL329" i="13"/>
  <c r="AK329" i="13"/>
  <c r="AJ329" i="13"/>
  <c r="AI329" i="13"/>
  <c r="AB328" i="13"/>
  <c r="Z328" i="13"/>
  <c r="AR328" i="13"/>
  <c r="AQ328" i="13"/>
  <c r="AP328" i="13"/>
  <c r="AO328" i="13"/>
  <c r="AL328" i="13"/>
  <c r="AK328" i="13"/>
  <c r="AJ328" i="13"/>
  <c r="AB327" i="13"/>
  <c r="Z327" i="13"/>
  <c r="AR327" i="13"/>
  <c r="AQ327" i="13"/>
  <c r="AP327" i="13"/>
  <c r="AO327" i="13"/>
  <c r="AL327" i="13"/>
  <c r="AK327" i="13"/>
  <c r="AJ327" i="13"/>
  <c r="AI327" i="13"/>
  <c r="AB326" i="13"/>
  <c r="Z326" i="13"/>
  <c r="AR326" i="13"/>
  <c r="AQ326" i="13"/>
  <c r="AP326" i="13"/>
  <c r="AO326" i="13"/>
  <c r="AL326" i="13"/>
  <c r="AI326" i="13"/>
  <c r="AB325" i="13"/>
  <c r="Z325" i="13"/>
  <c r="AR325" i="13"/>
  <c r="AQ325" i="13"/>
  <c r="AP325" i="13"/>
  <c r="AO325" i="13"/>
  <c r="AL325" i="13"/>
  <c r="AK325" i="13"/>
  <c r="AJ325" i="13"/>
  <c r="AB324" i="13"/>
  <c r="Z324" i="13"/>
  <c r="AR324" i="13"/>
  <c r="AQ324" i="13"/>
  <c r="AP324" i="13"/>
  <c r="AO324" i="13"/>
  <c r="AL324" i="13"/>
  <c r="AK324" i="13"/>
  <c r="AJ324" i="13"/>
  <c r="AI324" i="13"/>
  <c r="AB323" i="13"/>
  <c r="Z323" i="13"/>
  <c r="AR323" i="13"/>
  <c r="AO323" i="13"/>
  <c r="AJ323" i="13"/>
  <c r="AI323" i="13"/>
  <c r="AB321" i="13"/>
  <c r="J317" i="13"/>
  <c r="J316" i="13"/>
  <c r="AB315" i="13"/>
  <c r="Z315" i="13"/>
  <c r="S315" i="13"/>
  <c r="R315" i="13"/>
  <c r="Q315" i="13"/>
  <c r="P315" i="13"/>
  <c r="O315" i="13"/>
  <c r="N315" i="13"/>
  <c r="M315" i="13"/>
  <c r="L315" i="13"/>
  <c r="K315" i="13"/>
  <c r="J315" i="13"/>
  <c r="I315" i="13"/>
  <c r="H315" i="13"/>
  <c r="G315" i="13"/>
  <c r="F315" i="13"/>
  <c r="E315" i="13"/>
  <c r="D315" i="13"/>
  <c r="AU313" i="13"/>
  <c r="AR313" i="13"/>
  <c r="AQ313" i="13"/>
  <c r="AP313" i="13"/>
  <c r="AO313" i="13"/>
  <c r="AN313" i="13"/>
  <c r="AM313" i="13"/>
  <c r="AL313" i="13"/>
  <c r="AK313" i="13"/>
  <c r="AJ313" i="13"/>
  <c r="AI313" i="13"/>
  <c r="AH313" i="13"/>
  <c r="AG313" i="13"/>
  <c r="U313" i="13"/>
  <c r="T313" i="13"/>
  <c r="AU312" i="13"/>
  <c r="AR312" i="13"/>
  <c r="AQ312" i="13"/>
  <c r="AP312" i="13"/>
  <c r="AO312" i="13"/>
  <c r="AN312" i="13"/>
  <c r="AM312" i="13"/>
  <c r="AL312" i="13"/>
  <c r="AK312" i="13"/>
  <c r="AJ312" i="13"/>
  <c r="AI312" i="13"/>
  <c r="AH312" i="13"/>
  <c r="AG312" i="13"/>
  <c r="U312" i="13"/>
  <c r="T312" i="13"/>
  <c r="AU311" i="13"/>
  <c r="AR311" i="13"/>
  <c r="AQ311" i="13"/>
  <c r="AP311" i="13"/>
  <c r="AO311" i="13"/>
  <c r="AN311" i="13"/>
  <c r="AM311" i="13"/>
  <c r="AL311" i="13"/>
  <c r="AK311" i="13"/>
  <c r="AJ311" i="13"/>
  <c r="AI311" i="13"/>
  <c r="AH311" i="13"/>
  <c r="AG311" i="13"/>
  <c r="U311" i="13"/>
  <c r="T311" i="13"/>
  <c r="AU310" i="13"/>
  <c r="AR310" i="13"/>
  <c r="AQ310" i="13"/>
  <c r="AP310" i="13"/>
  <c r="AO310" i="13"/>
  <c r="AN310" i="13"/>
  <c r="AM310" i="13"/>
  <c r="AL310" i="13"/>
  <c r="AK310" i="13"/>
  <c r="AJ310" i="13"/>
  <c r="AI310" i="13"/>
  <c r="AH310" i="13"/>
  <c r="AG310" i="13"/>
  <c r="U310" i="13"/>
  <c r="T310" i="13"/>
  <c r="AU309" i="13"/>
  <c r="AR309" i="13"/>
  <c r="AQ309" i="13"/>
  <c r="AP309" i="13"/>
  <c r="AO309" i="13"/>
  <c r="AN309" i="13"/>
  <c r="AM309" i="13"/>
  <c r="AL309" i="13"/>
  <c r="AK309" i="13"/>
  <c r="AJ309" i="13"/>
  <c r="AI309" i="13"/>
  <c r="AH309" i="13"/>
  <c r="AG309" i="13"/>
  <c r="U309" i="13"/>
  <c r="T309" i="13"/>
  <c r="AU308" i="13"/>
  <c r="AR308" i="13"/>
  <c r="AQ308" i="13"/>
  <c r="AP308" i="13"/>
  <c r="AO308" i="13"/>
  <c r="AN308" i="13"/>
  <c r="AM308" i="13"/>
  <c r="AL308" i="13"/>
  <c r="AK308" i="13"/>
  <c r="AJ308" i="13"/>
  <c r="AI308" i="13"/>
  <c r="AH308" i="13"/>
  <c r="AG308" i="13"/>
  <c r="U308" i="13"/>
  <c r="T308" i="13"/>
  <c r="AU307" i="13"/>
  <c r="AR307" i="13"/>
  <c r="AQ307" i="13"/>
  <c r="AP307" i="13"/>
  <c r="AO307" i="13"/>
  <c r="AN307" i="13"/>
  <c r="AM307" i="13"/>
  <c r="AL307" i="13"/>
  <c r="AK307" i="13"/>
  <c r="AJ307" i="13"/>
  <c r="AI307" i="13"/>
  <c r="AH307" i="13"/>
  <c r="AG307" i="13"/>
  <c r="U307" i="13"/>
  <c r="T307" i="13"/>
  <c r="AU306" i="13"/>
  <c r="AR306" i="13"/>
  <c r="AQ306" i="13"/>
  <c r="AP306" i="13"/>
  <c r="AO306" i="13"/>
  <c r="AN306" i="13"/>
  <c r="AM306" i="13"/>
  <c r="AL306" i="13"/>
  <c r="AK306" i="13"/>
  <c r="AJ306" i="13"/>
  <c r="AI306" i="13"/>
  <c r="AH306" i="13"/>
  <c r="AG306" i="13"/>
  <c r="AC306" i="13"/>
  <c r="AA306" i="13"/>
  <c r="U306" i="13"/>
  <c r="T306" i="13"/>
  <c r="AU305" i="13"/>
  <c r="AR305" i="13"/>
  <c r="AQ305" i="13"/>
  <c r="AP305" i="13"/>
  <c r="AO305" i="13"/>
  <c r="AN305" i="13"/>
  <c r="AM305" i="13"/>
  <c r="AL305" i="13"/>
  <c r="AK305" i="13"/>
  <c r="AJ305" i="13"/>
  <c r="AI305" i="13"/>
  <c r="AH305" i="13"/>
  <c r="AG305" i="13"/>
  <c r="AC305" i="13"/>
  <c r="AA305" i="13"/>
  <c r="U305" i="13"/>
  <c r="T305" i="13"/>
  <c r="AU304" i="13"/>
  <c r="AR304" i="13"/>
  <c r="AQ304" i="13"/>
  <c r="AP304" i="13"/>
  <c r="AO304" i="13"/>
  <c r="AN304" i="13"/>
  <c r="AM304" i="13"/>
  <c r="AL304" i="13"/>
  <c r="AK304" i="13"/>
  <c r="AJ304" i="13"/>
  <c r="AI304" i="13"/>
  <c r="AH304" i="13"/>
  <c r="AG304" i="13"/>
  <c r="AU303" i="13"/>
  <c r="AR303" i="13"/>
  <c r="AQ303" i="13"/>
  <c r="AP303" i="13"/>
  <c r="AO303" i="13"/>
  <c r="AN303" i="13"/>
  <c r="AM303" i="13"/>
  <c r="AL303" i="13"/>
  <c r="AK303" i="13"/>
  <c r="AJ303" i="13"/>
  <c r="AI303" i="13"/>
  <c r="AH303" i="13"/>
  <c r="AG303" i="13"/>
  <c r="AU302" i="13"/>
  <c r="AR302" i="13"/>
  <c r="AQ302" i="13"/>
  <c r="AP302" i="13"/>
  <c r="AO302" i="13"/>
  <c r="AN302" i="13"/>
  <c r="AM302" i="13"/>
  <c r="AL302" i="13"/>
  <c r="AK302" i="13"/>
  <c r="AJ302" i="13"/>
  <c r="AI302" i="13"/>
  <c r="AH302" i="13"/>
  <c r="AG302" i="13"/>
  <c r="AB300" i="13"/>
  <c r="J296" i="13"/>
  <c r="J295" i="13"/>
  <c r="AB294" i="13"/>
  <c r="Z294" i="13"/>
  <c r="S294" i="13"/>
  <c r="R294" i="13"/>
  <c r="Q294" i="13"/>
  <c r="P294" i="13"/>
  <c r="O294" i="13"/>
  <c r="N294" i="13"/>
  <c r="M294" i="13"/>
  <c r="L294" i="13"/>
  <c r="K294" i="13"/>
  <c r="J294" i="13"/>
  <c r="I294" i="13"/>
  <c r="H294" i="13"/>
  <c r="G294" i="13"/>
  <c r="F294" i="13"/>
  <c r="E294" i="13"/>
  <c r="D294" i="13"/>
  <c r="AU292" i="13"/>
  <c r="AR292" i="13"/>
  <c r="AQ292" i="13"/>
  <c r="AP292" i="13"/>
  <c r="AO292" i="13"/>
  <c r="AN292" i="13"/>
  <c r="AM292" i="13"/>
  <c r="AL292" i="13"/>
  <c r="AK292" i="13"/>
  <c r="AJ292" i="13"/>
  <c r="AI292" i="13"/>
  <c r="AH292" i="13"/>
  <c r="AG292" i="13"/>
  <c r="U292" i="13"/>
  <c r="T292" i="13"/>
  <c r="AU291" i="13"/>
  <c r="AR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U291" i="13"/>
  <c r="T291" i="13"/>
  <c r="AU290" i="13"/>
  <c r="AR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U290" i="13"/>
  <c r="T290" i="13"/>
  <c r="AU289" i="13"/>
  <c r="AR289" i="13"/>
  <c r="AQ289" i="13"/>
  <c r="AP289" i="13"/>
  <c r="AO289" i="13"/>
  <c r="AN289" i="13"/>
  <c r="AM289" i="13"/>
  <c r="AL289" i="13"/>
  <c r="AK289" i="13"/>
  <c r="AJ289" i="13"/>
  <c r="AI289" i="13"/>
  <c r="AH289" i="13"/>
  <c r="AG289" i="13"/>
  <c r="U289" i="13"/>
  <c r="T289" i="13"/>
  <c r="AU288" i="13"/>
  <c r="AR288" i="13"/>
  <c r="AQ288" i="13"/>
  <c r="AP288" i="13"/>
  <c r="AO288" i="13"/>
  <c r="AN288" i="13"/>
  <c r="AM288" i="13"/>
  <c r="AL288" i="13"/>
  <c r="AK288" i="13"/>
  <c r="AJ288" i="13"/>
  <c r="AI288" i="13"/>
  <c r="AH288" i="13"/>
  <c r="AG288" i="13"/>
  <c r="U288" i="13"/>
  <c r="T288" i="13"/>
  <c r="AU287" i="13"/>
  <c r="AR287" i="13"/>
  <c r="AQ287" i="13"/>
  <c r="AP287" i="13"/>
  <c r="AO287" i="13"/>
  <c r="AN287" i="13"/>
  <c r="AM287" i="13"/>
  <c r="AL287" i="13"/>
  <c r="AK287" i="13"/>
  <c r="AJ287" i="13"/>
  <c r="AI287" i="13"/>
  <c r="AH287" i="13"/>
  <c r="AG287" i="13"/>
  <c r="U287" i="13"/>
  <c r="T287" i="13"/>
  <c r="AU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U286" i="13"/>
  <c r="T286" i="13"/>
  <c r="AU285" i="13"/>
  <c r="AR285" i="13"/>
  <c r="AQ285" i="13"/>
  <c r="AP285" i="13"/>
  <c r="AO285" i="13"/>
  <c r="AN285" i="13"/>
  <c r="AM285" i="13"/>
  <c r="AL285" i="13"/>
  <c r="AK285" i="13"/>
  <c r="AJ285" i="13"/>
  <c r="AI285" i="13"/>
  <c r="AH285" i="13"/>
  <c r="AG285" i="13"/>
  <c r="AC285" i="13"/>
  <c r="AA285" i="13"/>
  <c r="U285" i="13"/>
  <c r="T285" i="13"/>
  <c r="AU284" i="13"/>
  <c r="AR284" i="13"/>
  <c r="AQ284" i="13"/>
  <c r="AP284" i="13"/>
  <c r="AO284" i="13"/>
  <c r="AN284" i="13"/>
  <c r="AM284" i="13"/>
  <c r="AL284" i="13"/>
  <c r="AK284" i="13"/>
  <c r="AJ284" i="13"/>
  <c r="AI284" i="13"/>
  <c r="AH284" i="13"/>
  <c r="AG284" i="13"/>
  <c r="AC284" i="13"/>
  <c r="AA284" i="13"/>
  <c r="U284" i="13"/>
  <c r="T284" i="13"/>
  <c r="AU283" i="13"/>
  <c r="AR283" i="13"/>
  <c r="AQ283" i="13"/>
  <c r="AP283" i="13"/>
  <c r="AO283" i="13"/>
  <c r="AN283" i="13"/>
  <c r="AM283" i="13"/>
  <c r="AL283" i="13"/>
  <c r="AK283" i="13"/>
  <c r="AJ283" i="13"/>
  <c r="AI283" i="13"/>
  <c r="AH283" i="13"/>
  <c r="AG283" i="13"/>
  <c r="AC283" i="13"/>
  <c r="AA283" i="13"/>
  <c r="U283" i="13"/>
  <c r="T283" i="13"/>
  <c r="AU282" i="13"/>
  <c r="AR282" i="13"/>
  <c r="AQ282" i="13"/>
  <c r="AP282" i="13"/>
  <c r="AO282" i="13"/>
  <c r="AN282" i="13"/>
  <c r="AM282" i="13"/>
  <c r="AL282" i="13"/>
  <c r="AK282" i="13"/>
  <c r="AJ282" i="13"/>
  <c r="AI282" i="13"/>
  <c r="AH282" i="13"/>
  <c r="AG282" i="13"/>
  <c r="AC282" i="13"/>
  <c r="AA282" i="13"/>
  <c r="U282" i="13"/>
  <c r="T282" i="13"/>
  <c r="AU281" i="13"/>
  <c r="AR281" i="13"/>
  <c r="AQ281" i="13"/>
  <c r="AP281" i="13"/>
  <c r="AO281" i="13"/>
  <c r="AN281" i="13"/>
  <c r="AM281" i="13"/>
  <c r="AL281" i="13"/>
  <c r="AK281" i="13"/>
  <c r="AJ281" i="13"/>
  <c r="AI281" i="13"/>
  <c r="AH281" i="13"/>
  <c r="AG281" i="13"/>
  <c r="AC281" i="13"/>
  <c r="AA281" i="13"/>
  <c r="U281" i="13"/>
  <c r="T281" i="13"/>
  <c r="AB279" i="13"/>
  <c r="J275" i="13"/>
  <c r="J274" i="13"/>
  <c r="AB273" i="13"/>
  <c r="Z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AU271" i="13"/>
  <c r="AR271" i="13"/>
  <c r="AQ271" i="13"/>
  <c r="AP271" i="13"/>
  <c r="AO271" i="13"/>
  <c r="AN271" i="13"/>
  <c r="AM271" i="13"/>
  <c r="AL271" i="13"/>
  <c r="AK271" i="13"/>
  <c r="AJ271" i="13"/>
  <c r="AI271" i="13"/>
  <c r="AH271" i="13"/>
  <c r="AG271" i="13"/>
  <c r="U271" i="13"/>
  <c r="T271" i="13"/>
  <c r="AU270" i="13"/>
  <c r="AR270" i="13"/>
  <c r="AQ270" i="13"/>
  <c r="AP270" i="13"/>
  <c r="AO270" i="13"/>
  <c r="AN270" i="13"/>
  <c r="AM270" i="13"/>
  <c r="AL270" i="13"/>
  <c r="AK270" i="13"/>
  <c r="AJ270" i="13"/>
  <c r="AI270" i="13"/>
  <c r="AH270" i="13"/>
  <c r="AG270" i="13"/>
  <c r="U270" i="13"/>
  <c r="T270" i="13"/>
  <c r="AU269" i="13"/>
  <c r="AR269" i="13"/>
  <c r="AQ269" i="13"/>
  <c r="AP269" i="13"/>
  <c r="AO269" i="13"/>
  <c r="AN269" i="13"/>
  <c r="AM269" i="13"/>
  <c r="AL269" i="13"/>
  <c r="AK269" i="13"/>
  <c r="AJ269" i="13"/>
  <c r="AI269" i="13"/>
  <c r="AH269" i="13"/>
  <c r="AG269" i="13"/>
  <c r="U269" i="13"/>
  <c r="T269" i="13"/>
  <c r="AU268" i="13"/>
  <c r="AR268" i="13"/>
  <c r="AQ268" i="13"/>
  <c r="AP268" i="13"/>
  <c r="AO268" i="13"/>
  <c r="AN268" i="13"/>
  <c r="AM268" i="13"/>
  <c r="AL268" i="13"/>
  <c r="AK268" i="13"/>
  <c r="AJ268" i="13"/>
  <c r="AI268" i="13"/>
  <c r="AH268" i="13"/>
  <c r="AG268" i="13"/>
  <c r="U268" i="13"/>
  <c r="T268" i="13"/>
  <c r="AU267" i="13"/>
  <c r="AR267" i="13"/>
  <c r="AQ267" i="13"/>
  <c r="AP267" i="13"/>
  <c r="AO267" i="13"/>
  <c r="AN267" i="13"/>
  <c r="AM267" i="13"/>
  <c r="AL267" i="13"/>
  <c r="AK267" i="13"/>
  <c r="AJ267" i="13"/>
  <c r="AI267" i="13"/>
  <c r="AH267" i="13"/>
  <c r="AG267" i="13"/>
  <c r="U267" i="13"/>
  <c r="T267" i="13"/>
  <c r="AU266" i="13"/>
  <c r="AR266" i="13"/>
  <c r="AQ266" i="13"/>
  <c r="AP266" i="13"/>
  <c r="AO266" i="13"/>
  <c r="AN266" i="13"/>
  <c r="AM266" i="13"/>
  <c r="AL266" i="13"/>
  <c r="AK266" i="13"/>
  <c r="AJ266" i="13"/>
  <c r="AI266" i="13"/>
  <c r="AH266" i="13"/>
  <c r="AG266" i="13"/>
  <c r="U266" i="13"/>
  <c r="T266" i="13"/>
  <c r="AU265" i="13"/>
  <c r="AR265" i="13"/>
  <c r="AQ265" i="13"/>
  <c r="AP265" i="13"/>
  <c r="AO265" i="13"/>
  <c r="AN265" i="13"/>
  <c r="AM265" i="13"/>
  <c r="AL265" i="13"/>
  <c r="AK265" i="13"/>
  <c r="AJ265" i="13"/>
  <c r="AI265" i="13"/>
  <c r="AH265" i="13"/>
  <c r="AG265" i="13"/>
  <c r="U265" i="13"/>
  <c r="T265" i="13"/>
  <c r="AU264" i="13"/>
  <c r="AR264" i="13"/>
  <c r="AQ264" i="13"/>
  <c r="AP264" i="13"/>
  <c r="AO264" i="13"/>
  <c r="AN264" i="13"/>
  <c r="AM264" i="13"/>
  <c r="AL264" i="13"/>
  <c r="AK264" i="13"/>
  <c r="AJ264" i="13"/>
  <c r="AI264" i="13"/>
  <c r="AH264" i="13"/>
  <c r="AG264" i="13"/>
  <c r="AC264" i="13"/>
  <c r="AA264" i="13"/>
  <c r="U264" i="13"/>
  <c r="T264" i="13"/>
  <c r="AU263" i="13"/>
  <c r="AR263" i="13"/>
  <c r="AQ263" i="13"/>
  <c r="AP263" i="13"/>
  <c r="AO263" i="13"/>
  <c r="AN263" i="13"/>
  <c r="AM263" i="13"/>
  <c r="AL263" i="13"/>
  <c r="AK263" i="13"/>
  <c r="AJ263" i="13"/>
  <c r="AI263" i="13"/>
  <c r="AH263" i="13"/>
  <c r="AG263" i="13"/>
  <c r="AC263" i="13"/>
  <c r="AA263" i="13"/>
  <c r="U263" i="13"/>
  <c r="T263" i="13"/>
  <c r="AU262" i="13"/>
  <c r="AR262" i="13"/>
  <c r="AQ262" i="13"/>
  <c r="AP262" i="13"/>
  <c r="AO262" i="13"/>
  <c r="AN262" i="13"/>
  <c r="AM262" i="13"/>
  <c r="AL262" i="13"/>
  <c r="AK262" i="13"/>
  <c r="AJ262" i="13"/>
  <c r="AI262" i="13"/>
  <c r="AH262" i="13"/>
  <c r="AG262" i="13"/>
  <c r="AC262" i="13"/>
  <c r="AA262" i="13"/>
  <c r="U262" i="13"/>
  <c r="T262" i="13"/>
  <c r="AU261" i="13"/>
  <c r="AR261" i="13"/>
  <c r="AQ261" i="13"/>
  <c r="AP261" i="13"/>
  <c r="AO261" i="13"/>
  <c r="AN261" i="13"/>
  <c r="AM261" i="13"/>
  <c r="AL261" i="13"/>
  <c r="AK261" i="13"/>
  <c r="AJ261" i="13"/>
  <c r="AI261" i="13"/>
  <c r="AH261" i="13"/>
  <c r="AG261" i="13"/>
  <c r="AC261" i="13"/>
  <c r="AA261" i="13"/>
  <c r="U261" i="13"/>
  <c r="T261" i="13"/>
  <c r="AU260" i="13"/>
  <c r="AR260" i="13"/>
  <c r="AQ260" i="13"/>
  <c r="AP260" i="13"/>
  <c r="AO260" i="13"/>
  <c r="AN260" i="13"/>
  <c r="AM260" i="13"/>
  <c r="AL260" i="13"/>
  <c r="AK260" i="13"/>
  <c r="AJ260" i="13"/>
  <c r="AI260" i="13"/>
  <c r="AH260" i="13"/>
  <c r="AG260" i="13"/>
  <c r="AC260" i="13"/>
  <c r="AA260" i="13"/>
  <c r="U260" i="13"/>
  <c r="T260" i="13"/>
  <c r="AB258" i="13"/>
  <c r="J254" i="13"/>
  <c r="J253" i="13"/>
  <c r="AB252" i="13"/>
  <c r="Z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AU250" i="13"/>
  <c r="AR250" i="13"/>
  <c r="AQ250" i="13"/>
  <c r="AP250" i="13"/>
  <c r="AO250" i="13"/>
  <c r="AN250" i="13"/>
  <c r="AM250" i="13"/>
  <c r="AL250" i="13"/>
  <c r="AK250" i="13"/>
  <c r="AJ250" i="13"/>
  <c r="AI250" i="13"/>
  <c r="AH250" i="13"/>
  <c r="AG250" i="13"/>
  <c r="U250" i="13"/>
  <c r="T250" i="13"/>
  <c r="AU249" i="13"/>
  <c r="AR249" i="13"/>
  <c r="AQ249" i="13"/>
  <c r="AP249" i="13"/>
  <c r="AO249" i="13"/>
  <c r="AN249" i="13"/>
  <c r="AM249" i="13"/>
  <c r="AL249" i="13"/>
  <c r="AK249" i="13"/>
  <c r="AJ249" i="13"/>
  <c r="AI249" i="13"/>
  <c r="AH249" i="13"/>
  <c r="AG249" i="13"/>
  <c r="U249" i="13"/>
  <c r="AU248" i="13"/>
  <c r="AR248" i="13"/>
  <c r="AQ248" i="13"/>
  <c r="AP248" i="13"/>
  <c r="AO248" i="13"/>
  <c r="AN248" i="13"/>
  <c r="AM248" i="13"/>
  <c r="AL248" i="13"/>
  <c r="AK248" i="13"/>
  <c r="AJ248" i="13"/>
  <c r="AI248" i="13"/>
  <c r="AH248" i="13"/>
  <c r="AG248" i="13"/>
  <c r="U248" i="13"/>
  <c r="T248" i="13"/>
  <c r="AU247" i="13"/>
  <c r="AR247" i="13"/>
  <c r="AQ247" i="13"/>
  <c r="AP247" i="13"/>
  <c r="AO247" i="13"/>
  <c r="AN247" i="13"/>
  <c r="AM247" i="13"/>
  <c r="AL247" i="13"/>
  <c r="AK247" i="13"/>
  <c r="AJ247" i="13"/>
  <c r="AI247" i="13"/>
  <c r="AH247" i="13"/>
  <c r="AG247" i="13"/>
  <c r="U247" i="13"/>
  <c r="T247" i="13"/>
  <c r="AU246" i="13"/>
  <c r="AR246" i="13"/>
  <c r="AQ246" i="13"/>
  <c r="AP246" i="13"/>
  <c r="AO246" i="13"/>
  <c r="AN246" i="13"/>
  <c r="AM246" i="13"/>
  <c r="AL246" i="13"/>
  <c r="AK246" i="13"/>
  <c r="AJ246" i="13"/>
  <c r="AI246" i="13"/>
  <c r="AH246" i="13"/>
  <c r="AG246" i="13"/>
  <c r="U246" i="13"/>
  <c r="T246" i="13"/>
  <c r="AU245" i="13"/>
  <c r="AR245" i="13"/>
  <c r="AQ245" i="13"/>
  <c r="AP245" i="13"/>
  <c r="AO245" i="13"/>
  <c r="AN245" i="13"/>
  <c r="AM245" i="13"/>
  <c r="AL245" i="13"/>
  <c r="AK245" i="13"/>
  <c r="AJ245" i="13"/>
  <c r="AI245" i="13"/>
  <c r="AH245" i="13"/>
  <c r="AG245" i="13"/>
  <c r="U245" i="13"/>
  <c r="T245" i="13"/>
  <c r="AU244" i="13"/>
  <c r="AR244" i="13"/>
  <c r="AQ244" i="13"/>
  <c r="AP244" i="13"/>
  <c r="AO244" i="13"/>
  <c r="AN244" i="13"/>
  <c r="AM244" i="13"/>
  <c r="AL244" i="13"/>
  <c r="AK244" i="13"/>
  <c r="AJ244" i="13"/>
  <c r="AI244" i="13"/>
  <c r="AH244" i="13"/>
  <c r="AG244" i="13"/>
  <c r="U244" i="13"/>
  <c r="T244" i="13"/>
  <c r="AU243" i="13"/>
  <c r="AR243" i="13"/>
  <c r="AQ243" i="13"/>
  <c r="AP243" i="13"/>
  <c r="AO243" i="13"/>
  <c r="AN243" i="13"/>
  <c r="AM243" i="13"/>
  <c r="AL243" i="13"/>
  <c r="AK243" i="13"/>
  <c r="AJ243" i="13"/>
  <c r="AI243" i="13"/>
  <c r="AH243" i="13"/>
  <c r="AG243" i="13"/>
  <c r="AC243" i="13"/>
  <c r="AA243" i="13"/>
  <c r="U243" i="13"/>
  <c r="T243" i="13"/>
  <c r="AU242" i="13"/>
  <c r="AR242" i="13"/>
  <c r="AQ242" i="13"/>
  <c r="AP242" i="13"/>
  <c r="AO242" i="13"/>
  <c r="AN242" i="13"/>
  <c r="AM242" i="13"/>
  <c r="AL242" i="13"/>
  <c r="AK242" i="13"/>
  <c r="AJ242" i="13"/>
  <c r="AI242" i="13"/>
  <c r="AH242" i="13"/>
  <c r="AG242" i="13"/>
  <c r="AC242" i="13"/>
  <c r="AA242" i="13"/>
  <c r="U242" i="13"/>
  <c r="T242" i="13"/>
  <c r="AU241" i="13"/>
  <c r="AR241" i="13"/>
  <c r="AQ241" i="13"/>
  <c r="AP241" i="13"/>
  <c r="AO241" i="13"/>
  <c r="AN241" i="13"/>
  <c r="AM241" i="13"/>
  <c r="AL241" i="13"/>
  <c r="AK241" i="13"/>
  <c r="AJ241" i="13"/>
  <c r="AI241" i="13"/>
  <c r="AH241" i="13"/>
  <c r="AG241" i="13"/>
  <c r="AC241" i="13"/>
  <c r="AA241" i="13"/>
  <c r="U241" i="13"/>
  <c r="T241" i="13"/>
  <c r="AU240" i="13"/>
  <c r="AR240" i="13"/>
  <c r="AQ240" i="13"/>
  <c r="AP240" i="13"/>
  <c r="AO240" i="13"/>
  <c r="AN240" i="13"/>
  <c r="AM240" i="13"/>
  <c r="AL240" i="13"/>
  <c r="AK240" i="13"/>
  <c r="AJ240" i="13"/>
  <c r="AI240" i="13"/>
  <c r="AH240" i="13"/>
  <c r="AG240" i="13"/>
  <c r="AC240" i="13"/>
  <c r="AA240" i="13"/>
  <c r="U240" i="13"/>
  <c r="T240" i="13"/>
  <c r="AU239" i="13"/>
  <c r="AR239" i="13"/>
  <c r="AQ239" i="13"/>
  <c r="AP239" i="13"/>
  <c r="AO239" i="13"/>
  <c r="AN239" i="13"/>
  <c r="AM239" i="13"/>
  <c r="AL239" i="13"/>
  <c r="AK239" i="13"/>
  <c r="AJ239" i="13"/>
  <c r="AI239" i="13"/>
  <c r="AH239" i="13"/>
  <c r="AG239" i="13"/>
  <c r="AC239" i="13"/>
  <c r="AA239" i="13"/>
  <c r="U239" i="13"/>
  <c r="T239" i="13"/>
  <c r="J233" i="13"/>
  <c r="J232" i="13"/>
  <c r="AB231" i="13"/>
  <c r="Z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AU229" i="13"/>
  <c r="AR229" i="13"/>
  <c r="AQ229" i="13"/>
  <c r="AP229" i="13"/>
  <c r="AO229" i="13"/>
  <c r="AN229" i="13"/>
  <c r="AM229" i="13"/>
  <c r="AL229" i="13"/>
  <c r="AK229" i="13"/>
  <c r="AJ229" i="13"/>
  <c r="AI229" i="13"/>
  <c r="AH229" i="13"/>
  <c r="AG229" i="13"/>
  <c r="U229" i="13"/>
  <c r="T229" i="13"/>
  <c r="AU228" i="13"/>
  <c r="AR228" i="13"/>
  <c r="AQ228" i="13"/>
  <c r="AP228" i="13"/>
  <c r="AO228" i="13"/>
  <c r="AN228" i="13"/>
  <c r="AM228" i="13"/>
  <c r="AL228" i="13"/>
  <c r="AK228" i="13"/>
  <c r="AJ228" i="13"/>
  <c r="AI228" i="13"/>
  <c r="AH228" i="13"/>
  <c r="AG228" i="13"/>
  <c r="U228" i="13"/>
  <c r="T228" i="13"/>
  <c r="AU227" i="13"/>
  <c r="AR227" i="13"/>
  <c r="AQ227" i="13"/>
  <c r="AP227" i="13"/>
  <c r="AO227" i="13"/>
  <c r="AN227" i="13"/>
  <c r="AM227" i="13"/>
  <c r="AL227" i="13"/>
  <c r="AK227" i="13"/>
  <c r="AJ227" i="13"/>
  <c r="AI227" i="13"/>
  <c r="AH227" i="13"/>
  <c r="AG227" i="13"/>
  <c r="U227" i="13"/>
  <c r="T227" i="13"/>
  <c r="AU226" i="13"/>
  <c r="AR226" i="13"/>
  <c r="AQ226" i="13"/>
  <c r="AP226" i="13"/>
  <c r="AO226" i="13"/>
  <c r="AN226" i="13"/>
  <c r="AM226" i="13"/>
  <c r="AL226" i="13"/>
  <c r="AK226" i="13"/>
  <c r="AJ226" i="13"/>
  <c r="AI226" i="13"/>
  <c r="AH226" i="13"/>
  <c r="AG226" i="13"/>
  <c r="U226" i="13"/>
  <c r="T226" i="13"/>
  <c r="AU225" i="13"/>
  <c r="AR225" i="13"/>
  <c r="AQ225" i="13"/>
  <c r="AP225" i="13"/>
  <c r="AO225" i="13"/>
  <c r="AN225" i="13"/>
  <c r="AM225" i="13"/>
  <c r="AL225" i="13"/>
  <c r="AK225" i="13"/>
  <c r="AJ225" i="13"/>
  <c r="AI225" i="13"/>
  <c r="AH225" i="13"/>
  <c r="AG225" i="13"/>
  <c r="U225" i="13"/>
  <c r="T225" i="13"/>
  <c r="AU224" i="13"/>
  <c r="AR224" i="13"/>
  <c r="AQ224" i="13"/>
  <c r="AP224" i="13"/>
  <c r="AO224" i="13"/>
  <c r="AN224" i="13"/>
  <c r="AM224" i="13"/>
  <c r="AL224" i="13"/>
  <c r="AK224" i="13"/>
  <c r="AJ224" i="13"/>
  <c r="AI224" i="13"/>
  <c r="AH224" i="13"/>
  <c r="AG224" i="13"/>
  <c r="U224" i="13"/>
  <c r="T224" i="13"/>
  <c r="AU223" i="13"/>
  <c r="AR223" i="13"/>
  <c r="AQ223" i="13"/>
  <c r="AP223" i="13"/>
  <c r="AO223" i="13"/>
  <c r="AN223" i="13"/>
  <c r="AM223" i="13"/>
  <c r="AL223" i="13"/>
  <c r="AK223" i="13"/>
  <c r="AJ223" i="13"/>
  <c r="AI223" i="13"/>
  <c r="AH223" i="13"/>
  <c r="AG223" i="13"/>
  <c r="U223" i="13"/>
  <c r="T223" i="13"/>
  <c r="AU222" i="13"/>
  <c r="AR222" i="13"/>
  <c r="AQ222" i="13"/>
  <c r="AP222" i="13"/>
  <c r="AO222" i="13"/>
  <c r="AN222" i="13"/>
  <c r="AM222" i="13"/>
  <c r="AL222" i="13"/>
  <c r="AK222" i="13"/>
  <c r="AJ222" i="13"/>
  <c r="AI222" i="13"/>
  <c r="AH222" i="13"/>
  <c r="AG222" i="13"/>
  <c r="AC222" i="13"/>
  <c r="AA222" i="13"/>
  <c r="U222" i="13"/>
  <c r="T222" i="13"/>
  <c r="AU221" i="13"/>
  <c r="AR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C221" i="13"/>
  <c r="AA221" i="13"/>
  <c r="U221" i="13"/>
  <c r="T221" i="13"/>
  <c r="AU220" i="13"/>
  <c r="AR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C220" i="13"/>
  <c r="AA220" i="13"/>
  <c r="U220" i="13"/>
  <c r="T220" i="13"/>
  <c r="AU219" i="13"/>
  <c r="AR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C219" i="13"/>
  <c r="AA219" i="13"/>
  <c r="U219" i="13"/>
  <c r="AU218" i="13"/>
  <c r="AR218" i="13"/>
  <c r="AQ218" i="13"/>
  <c r="AP218" i="13"/>
  <c r="AO218" i="13"/>
  <c r="AN218" i="13"/>
  <c r="AM218" i="13"/>
  <c r="AL218" i="13"/>
  <c r="AK218" i="13"/>
  <c r="AJ218" i="13"/>
  <c r="AI218" i="13"/>
  <c r="AH218" i="13"/>
  <c r="AG218" i="13"/>
  <c r="AC218" i="13"/>
  <c r="AA218" i="13"/>
  <c r="U218" i="13"/>
  <c r="T218" i="13"/>
  <c r="AB216" i="13"/>
  <c r="J212" i="13"/>
  <c r="J211" i="13"/>
  <c r="AB210" i="13"/>
  <c r="Z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AU208" i="13"/>
  <c r="AR208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U208" i="13"/>
  <c r="T208" i="13"/>
  <c r="AU207" i="13"/>
  <c r="AR207" i="13"/>
  <c r="AQ207" i="13"/>
  <c r="AP207" i="13"/>
  <c r="AO207" i="13"/>
  <c r="AN207" i="13"/>
  <c r="AM207" i="13"/>
  <c r="AL207" i="13"/>
  <c r="AK207" i="13"/>
  <c r="AJ207" i="13"/>
  <c r="AI207" i="13"/>
  <c r="AH207" i="13"/>
  <c r="AG207" i="13"/>
  <c r="U207" i="13"/>
  <c r="T207" i="13"/>
  <c r="AU206" i="13"/>
  <c r="AR206" i="13"/>
  <c r="AQ206" i="13"/>
  <c r="AP206" i="13"/>
  <c r="AO206" i="13"/>
  <c r="AN206" i="13"/>
  <c r="AM206" i="13"/>
  <c r="AL206" i="13"/>
  <c r="AK206" i="13"/>
  <c r="AJ206" i="13"/>
  <c r="AI206" i="13"/>
  <c r="AH206" i="13"/>
  <c r="AG206" i="13"/>
  <c r="U206" i="13"/>
  <c r="T206" i="13"/>
  <c r="AU205" i="13"/>
  <c r="AR205" i="13"/>
  <c r="AQ205" i="13"/>
  <c r="AP205" i="13"/>
  <c r="AO205" i="13"/>
  <c r="AN205" i="13"/>
  <c r="AM205" i="13"/>
  <c r="AL205" i="13"/>
  <c r="AK205" i="13"/>
  <c r="AJ205" i="13"/>
  <c r="AI205" i="13"/>
  <c r="AH205" i="13"/>
  <c r="AG205" i="13"/>
  <c r="U205" i="13"/>
  <c r="T205" i="13"/>
  <c r="AU204" i="13"/>
  <c r="AR204" i="13"/>
  <c r="AQ204" i="13"/>
  <c r="AP204" i="13"/>
  <c r="AO204" i="13"/>
  <c r="AN204" i="13"/>
  <c r="AM204" i="13"/>
  <c r="AL204" i="13"/>
  <c r="AK204" i="13"/>
  <c r="AJ204" i="13"/>
  <c r="AI204" i="13"/>
  <c r="AH204" i="13"/>
  <c r="AG204" i="13"/>
  <c r="U204" i="13"/>
  <c r="T204" i="13"/>
  <c r="AU203" i="13"/>
  <c r="AR203" i="13"/>
  <c r="AQ203" i="13"/>
  <c r="AP203" i="13"/>
  <c r="AO203" i="13"/>
  <c r="AN203" i="13"/>
  <c r="AM203" i="13"/>
  <c r="AL203" i="13"/>
  <c r="AK203" i="13"/>
  <c r="AJ203" i="13"/>
  <c r="AI203" i="13"/>
  <c r="AH203" i="13"/>
  <c r="AG203" i="13"/>
  <c r="U203" i="13"/>
  <c r="T203" i="13"/>
  <c r="AU202" i="13"/>
  <c r="AR202" i="13"/>
  <c r="AQ202" i="13"/>
  <c r="AP202" i="13"/>
  <c r="AO202" i="13"/>
  <c r="AN202" i="13"/>
  <c r="AM202" i="13"/>
  <c r="AL202" i="13"/>
  <c r="AK202" i="13"/>
  <c r="AJ202" i="13"/>
  <c r="AI202" i="13"/>
  <c r="AH202" i="13"/>
  <c r="AG202" i="13"/>
  <c r="U202" i="13"/>
  <c r="T202" i="13"/>
  <c r="AU201" i="13"/>
  <c r="AR201" i="13"/>
  <c r="AQ201" i="13"/>
  <c r="AP201" i="13"/>
  <c r="AO201" i="13"/>
  <c r="AN201" i="13"/>
  <c r="AM201" i="13"/>
  <c r="AL201" i="13"/>
  <c r="AK201" i="13"/>
  <c r="AJ201" i="13"/>
  <c r="AI201" i="13"/>
  <c r="AH201" i="13"/>
  <c r="AG201" i="13"/>
  <c r="AC201" i="13"/>
  <c r="AA201" i="13"/>
  <c r="U201" i="13"/>
  <c r="T201" i="13"/>
  <c r="AU200" i="13"/>
  <c r="AR200" i="13"/>
  <c r="AQ200" i="13"/>
  <c r="AP200" i="13"/>
  <c r="AO200" i="13"/>
  <c r="AN200" i="13"/>
  <c r="AM200" i="13"/>
  <c r="AL200" i="13"/>
  <c r="AK200" i="13"/>
  <c r="AJ200" i="13"/>
  <c r="AI200" i="13"/>
  <c r="AH200" i="13"/>
  <c r="AG200" i="13"/>
  <c r="AC200" i="13"/>
  <c r="AA200" i="13"/>
  <c r="U200" i="13"/>
  <c r="T200" i="13"/>
  <c r="AU199" i="13"/>
  <c r="AR199" i="13"/>
  <c r="AQ199" i="13"/>
  <c r="AP199" i="13"/>
  <c r="AO199" i="13"/>
  <c r="AN199" i="13"/>
  <c r="AM199" i="13"/>
  <c r="AL199" i="13"/>
  <c r="AK199" i="13"/>
  <c r="AJ199" i="13"/>
  <c r="AI199" i="13"/>
  <c r="AH199" i="13"/>
  <c r="AG199" i="13"/>
  <c r="AC199" i="13"/>
  <c r="AA199" i="13"/>
  <c r="U199" i="13"/>
  <c r="T199" i="13"/>
  <c r="AU198" i="13"/>
  <c r="AR198" i="13"/>
  <c r="AQ198" i="13"/>
  <c r="AP198" i="13"/>
  <c r="AO198" i="13"/>
  <c r="AN198" i="13"/>
  <c r="AM198" i="13"/>
  <c r="AL198" i="13"/>
  <c r="AK198" i="13"/>
  <c r="AJ198" i="13"/>
  <c r="AI198" i="13"/>
  <c r="AH198" i="13"/>
  <c r="AG198" i="13"/>
  <c r="AC198" i="13"/>
  <c r="AA198" i="13"/>
  <c r="U198" i="13"/>
  <c r="T198" i="13"/>
  <c r="AU197" i="13"/>
  <c r="AR197" i="13"/>
  <c r="AQ197" i="13"/>
  <c r="AP197" i="13"/>
  <c r="AO197" i="13"/>
  <c r="AN197" i="13"/>
  <c r="AM197" i="13"/>
  <c r="AL197" i="13"/>
  <c r="AK197" i="13"/>
  <c r="AJ197" i="13"/>
  <c r="AI197" i="13"/>
  <c r="AH197" i="13"/>
  <c r="AG197" i="13"/>
  <c r="AC197" i="13"/>
  <c r="AA197" i="13"/>
  <c r="U197" i="13"/>
  <c r="T197" i="13"/>
  <c r="AB195" i="13"/>
  <c r="J191" i="13"/>
  <c r="J190" i="13"/>
  <c r="AB189" i="13"/>
  <c r="Z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AU187" i="13"/>
  <c r="AR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U187" i="13"/>
  <c r="T187" i="13"/>
  <c r="AU186" i="13"/>
  <c r="AR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U186" i="13"/>
  <c r="T186" i="13"/>
  <c r="AU185" i="13"/>
  <c r="AR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U185" i="13"/>
  <c r="T185" i="13"/>
  <c r="AU184" i="13"/>
  <c r="AR184" i="13"/>
  <c r="AQ184" i="13"/>
  <c r="AP184" i="13"/>
  <c r="AO184" i="13"/>
  <c r="AN184" i="13"/>
  <c r="AM184" i="13"/>
  <c r="AL184" i="13"/>
  <c r="AK184" i="13"/>
  <c r="AJ184" i="13"/>
  <c r="AI184" i="13"/>
  <c r="AH184" i="13"/>
  <c r="AG184" i="13"/>
  <c r="U184" i="13"/>
  <c r="T184" i="13"/>
  <c r="AU183" i="13"/>
  <c r="AR183" i="13"/>
  <c r="AQ183" i="13"/>
  <c r="AP183" i="13"/>
  <c r="AO183" i="13"/>
  <c r="AN183" i="13"/>
  <c r="AM183" i="13"/>
  <c r="AL183" i="13"/>
  <c r="AK183" i="13"/>
  <c r="AJ183" i="13"/>
  <c r="AI183" i="13"/>
  <c r="AH183" i="13"/>
  <c r="AG183" i="13"/>
  <c r="U183" i="13"/>
  <c r="T183" i="13"/>
  <c r="AU182" i="13"/>
  <c r="AR182" i="13"/>
  <c r="AQ182" i="13"/>
  <c r="AP182" i="13"/>
  <c r="AO182" i="13"/>
  <c r="AN182" i="13"/>
  <c r="AM182" i="13"/>
  <c r="AL182" i="13"/>
  <c r="AK182" i="13"/>
  <c r="AJ182" i="13"/>
  <c r="AI182" i="13"/>
  <c r="AH182" i="13"/>
  <c r="AG182" i="13"/>
  <c r="U182" i="13"/>
  <c r="T182" i="13"/>
  <c r="AU181" i="13"/>
  <c r="AR181" i="13"/>
  <c r="AQ181" i="13"/>
  <c r="AP181" i="13"/>
  <c r="AO181" i="13"/>
  <c r="AN181" i="13"/>
  <c r="AM181" i="13"/>
  <c r="AL181" i="13"/>
  <c r="AK181" i="13"/>
  <c r="AJ181" i="13"/>
  <c r="AI181" i="13"/>
  <c r="AH181" i="13"/>
  <c r="AG181" i="13"/>
  <c r="U181" i="13"/>
  <c r="T181" i="13"/>
  <c r="AU180" i="13"/>
  <c r="AR180" i="13"/>
  <c r="AQ180" i="13"/>
  <c r="AP180" i="13"/>
  <c r="AO180" i="13"/>
  <c r="AN180" i="13"/>
  <c r="AM180" i="13"/>
  <c r="AL180" i="13"/>
  <c r="AK180" i="13"/>
  <c r="AJ180" i="13"/>
  <c r="AI180" i="13"/>
  <c r="AH180" i="13"/>
  <c r="AG180" i="13"/>
  <c r="AC180" i="13"/>
  <c r="AA180" i="13"/>
  <c r="U180" i="13"/>
  <c r="T180" i="13"/>
  <c r="AU179" i="13"/>
  <c r="AR179" i="13"/>
  <c r="AQ179" i="13"/>
  <c r="AP179" i="13"/>
  <c r="AO179" i="13"/>
  <c r="AN179" i="13"/>
  <c r="AM179" i="13"/>
  <c r="AL179" i="13"/>
  <c r="AK179" i="13"/>
  <c r="AJ179" i="13"/>
  <c r="AI179" i="13"/>
  <c r="AH179" i="13"/>
  <c r="AG179" i="13"/>
  <c r="AC179" i="13"/>
  <c r="AA179" i="13"/>
  <c r="U179" i="13"/>
  <c r="T179" i="13"/>
  <c r="AU178" i="13"/>
  <c r="AR178" i="13"/>
  <c r="AQ178" i="13"/>
  <c r="AP178" i="13"/>
  <c r="AO178" i="13"/>
  <c r="AN178" i="13"/>
  <c r="AM178" i="13"/>
  <c r="AL178" i="13"/>
  <c r="AK178" i="13"/>
  <c r="AJ178" i="13"/>
  <c r="AI178" i="13"/>
  <c r="AH178" i="13"/>
  <c r="AG178" i="13"/>
  <c r="AC178" i="13"/>
  <c r="AA178" i="13"/>
  <c r="U178" i="13"/>
  <c r="T178" i="13"/>
  <c r="AU177" i="13"/>
  <c r="AR177" i="13"/>
  <c r="AQ177" i="13"/>
  <c r="AP177" i="13"/>
  <c r="AO177" i="13"/>
  <c r="AN177" i="13"/>
  <c r="AM177" i="13"/>
  <c r="AL177" i="13"/>
  <c r="AK177" i="13"/>
  <c r="AJ177" i="13"/>
  <c r="AI177" i="13"/>
  <c r="AH177" i="13"/>
  <c r="AG177" i="13"/>
  <c r="AC177" i="13"/>
  <c r="AA177" i="13"/>
  <c r="U177" i="13"/>
  <c r="T177" i="13"/>
  <c r="AU176" i="13"/>
  <c r="AR176" i="13"/>
  <c r="AQ176" i="13"/>
  <c r="AP176" i="13"/>
  <c r="AO176" i="13"/>
  <c r="AN176" i="13"/>
  <c r="AM176" i="13"/>
  <c r="AL176" i="13"/>
  <c r="AK176" i="13"/>
  <c r="AJ176" i="13"/>
  <c r="AI176" i="13"/>
  <c r="AH176" i="13"/>
  <c r="AG176" i="13"/>
  <c r="AC176" i="13"/>
  <c r="AA176" i="13"/>
  <c r="U176" i="13"/>
  <c r="T176" i="13"/>
  <c r="AB174" i="13"/>
  <c r="J170" i="13"/>
  <c r="J169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AU166" i="13"/>
  <c r="AR166" i="13"/>
  <c r="AQ166" i="13"/>
  <c r="AP166" i="13"/>
  <c r="AO166" i="13"/>
  <c r="AN166" i="13"/>
  <c r="AM166" i="13"/>
  <c r="AL166" i="13"/>
  <c r="AK166" i="13"/>
  <c r="AJ166" i="13"/>
  <c r="AI166" i="13"/>
  <c r="AH166" i="13"/>
  <c r="AG166" i="13"/>
  <c r="U166" i="13"/>
  <c r="T166" i="13"/>
  <c r="AU165" i="13"/>
  <c r="AR165" i="13"/>
  <c r="AQ165" i="13"/>
  <c r="AP165" i="13"/>
  <c r="AO165" i="13"/>
  <c r="AN165" i="13"/>
  <c r="AM165" i="13"/>
  <c r="AL165" i="13"/>
  <c r="AK165" i="13"/>
  <c r="AJ165" i="13"/>
  <c r="AI165" i="13"/>
  <c r="AH165" i="13"/>
  <c r="AG165" i="13"/>
  <c r="U165" i="13"/>
  <c r="T165" i="13"/>
  <c r="AU164" i="13"/>
  <c r="AR164" i="13"/>
  <c r="AQ164" i="13"/>
  <c r="AP164" i="13"/>
  <c r="AO164" i="13"/>
  <c r="AN164" i="13"/>
  <c r="AM164" i="13"/>
  <c r="AL164" i="13"/>
  <c r="AK164" i="13"/>
  <c r="AJ164" i="13"/>
  <c r="AI164" i="13"/>
  <c r="AH164" i="13"/>
  <c r="AG164" i="13"/>
  <c r="U164" i="13"/>
  <c r="T164" i="13"/>
  <c r="AU163" i="13"/>
  <c r="AR163" i="13"/>
  <c r="AQ163" i="13"/>
  <c r="AP163" i="13"/>
  <c r="AO163" i="13"/>
  <c r="AN163" i="13"/>
  <c r="AM163" i="13"/>
  <c r="AL163" i="13"/>
  <c r="AK163" i="13"/>
  <c r="AJ163" i="13"/>
  <c r="AI163" i="13"/>
  <c r="AH163" i="13"/>
  <c r="AG163" i="13"/>
  <c r="U163" i="13"/>
  <c r="T163" i="13"/>
  <c r="AU162" i="13"/>
  <c r="AR162" i="13"/>
  <c r="AQ162" i="13"/>
  <c r="AP162" i="13"/>
  <c r="AO162" i="13"/>
  <c r="AN162" i="13"/>
  <c r="AM162" i="13"/>
  <c r="AL162" i="13"/>
  <c r="AK162" i="13"/>
  <c r="AJ162" i="13"/>
  <c r="AI162" i="13"/>
  <c r="AH162" i="13"/>
  <c r="AG162" i="13"/>
  <c r="U162" i="13"/>
  <c r="T162" i="13"/>
  <c r="AU161" i="13"/>
  <c r="AR161" i="13"/>
  <c r="AQ161" i="13"/>
  <c r="AP161" i="13"/>
  <c r="AO161" i="13"/>
  <c r="AN161" i="13"/>
  <c r="AM161" i="13"/>
  <c r="AL161" i="13"/>
  <c r="AK161" i="13"/>
  <c r="AJ161" i="13"/>
  <c r="AI161" i="13"/>
  <c r="AH161" i="13"/>
  <c r="AG161" i="13"/>
  <c r="U161" i="13"/>
  <c r="T161" i="13"/>
  <c r="AU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U160" i="13"/>
  <c r="T160" i="13"/>
  <c r="AU159" i="13"/>
  <c r="AR159" i="13"/>
  <c r="AQ159" i="13"/>
  <c r="AP159" i="13"/>
  <c r="AO159" i="13"/>
  <c r="AN159" i="13"/>
  <c r="AM159" i="13"/>
  <c r="AL159" i="13"/>
  <c r="AK159" i="13"/>
  <c r="AJ159" i="13"/>
  <c r="AI159" i="13"/>
  <c r="AH159" i="13"/>
  <c r="AG159" i="13"/>
  <c r="U159" i="13"/>
  <c r="T159" i="13"/>
  <c r="AU158" i="13"/>
  <c r="AR158" i="13"/>
  <c r="AQ158" i="13"/>
  <c r="AP158" i="13"/>
  <c r="AO158" i="13"/>
  <c r="AN158" i="13"/>
  <c r="AM158" i="13"/>
  <c r="AL158" i="13"/>
  <c r="AK158" i="13"/>
  <c r="AJ158" i="13"/>
  <c r="AI158" i="13"/>
  <c r="AH158" i="13"/>
  <c r="AG158" i="13"/>
  <c r="U158" i="13"/>
  <c r="T158" i="13"/>
  <c r="AU157" i="13"/>
  <c r="AR157" i="13"/>
  <c r="AQ157" i="13"/>
  <c r="AP157" i="13"/>
  <c r="AO157" i="13"/>
  <c r="AN157" i="13"/>
  <c r="AM157" i="13"/>
  <c r="AL157" i="13"/>
  <c r="AK157" i="13"/>
  <c r="AJ157" i="13"/>
  <c r="AI157" i="13"/>
  <c r="AH157" i="13"/>
  <c r="AG157" i="13"/>
  <c r="U157" i="13"/>
  <c r="T157" i="13"/>
  <c r="AU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G156" i="13"/>
  <c r="U156" i="13"/>
  <c r="T156" i="13"/>
  <c r="AU155" i="13"/>
  <c r="AR155" i="13"/>
  <c r="AQ155" i="13"/>
  <c r="AP155" i="13"/>
  <c r="AO155" i="13"/>
  <c r="AN155" i="13"/>
  <c r="AM155" i="13"/>
  <c r="AL155" i="13"/>
  <c r="AK155" i="13"/>
  <c r="AJ155" i="13"/>
  <c r="AI155" i="13"/>
  <c r="AH155" i="13"/>
  <c r="AG155" i="13"/>
  <c r="U155" i="13"/>
  <c r="T155" i="13"/>
  <c r="J149" i="13"/>
  <c r="J148" i="13"/>
  <c r="AB147" i="13"/>
  <c r="Z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AU145" i="13"/>
  <c r="AR145" i="13"/>
  <c r="AQ145" i="13"/>
  <c r="AP145" i="13"/>
  <c r="AO145" i="13"/>
  <c r="AN145" i="13"/>
  <c r="AM145" i="13"/>
  <c r="AL145" i="13"/>
  <c r="AK145" i="13"/>
  <c r="AJ145" i="13"/>
  <c r="AI145" i="13"/>
  <c r="AU144" i="13"/>
  <c r="AR144" i="13"/>
  <c r="AQ144" i="13"/>
  <c r="AP144" i="13"/>
  <c r="AO144" i="13"/>
  <c r="AN144" i="13"/>
  <c r="AM144" i="13"/>
  <c r="AL144" i="13"/>
  <c r="AK144" i="13"/>
  <c r="AJ144" i="13"/>
  <c r="AI144" i="13"/>
  <c r="AU143" i="13"/>
  <c r="AR143" i="13"/>
  <c r="AQ143" i="13"/>
  <c r="AP143" i="13"/>
  <c r="AO143" i="13"/>
  <c r="AN143" i="13"/>
  <c r="AM143" i="13"/>
  <c r="AL143" i="13"/>
  <c r="AK143" i="13"/>
  <c r="AJ143" i="13"/>
  <c r="AI143" i="13"/>
  <c r="AU142" i="13"/>
  <c r="AR142" i="13"/>
  <c r="AQ142" i="13"/>
  <c r="AP142" i="13"/>
  <c r="AO142" i="13"/>
  <c r="AN142" i="13"/>
  <c r="AM142" i="13"/>
  <c r="AL142" i="13"/>
  <c r="AK142" i="13"/>
  <c r="AJ142" i="13"/>
  <c r="AI142" i="13"/>
  <c r="AU141" i="13"/>
  <c r="AR141" i="13"/>
  <c r="AQ141" i="13"/>
  <c r="AP141" i="13"/>
  <c r="AO141" i="13"/>
  <c r="AN141" i="13"/>
  <c r="AM141" i="13"/>
  <c r="AL141" i="13"/>
  <c r="AK141" i="13"/>
  <c r="AJ141" i="13"/>
  <c r="AI141" i="13"/>
  <c r="AU140" i="13"/>
  <c r="AR140" i="13"/>
  <c r="AQ140" i="13"/>
  <c r="AP140" i="13"/>
  <c r="AO140" i="13"/>
  <c r="AN140" i="13"/>
  <c r="AM140" i="13"/>
  <c r="AL140" i="13"/>
  <c r="AK140" i="13"/>
  <c r="AJ140" i="13"/>
  <c r="AI140" i="13"/>
  <c r="AU139" i="13"/>
  <c r="AR139" i="13"/>
  <c r="AQ139" i="13"/>
  <c r="AP139" i="13"/>
  <c r="AO139" i="13"/>
  <c r="AN139" i="13"/>
  <c r="AM139" i="13"/>
  <c r="AL139" i="13"/>
  <c r="AK139" i="13"/>
  <c r="AJ139" i="13"/>
  <c r="AI139" i="13"/>
  <c r="AU138" i="13"/>
  <c r="AR138" i="13"/>
  <c r="AQ138" i="13"/>
  <c r="AP138" i="13"/>
  <c r="AO138" i="13"/>
  <c r="AN138" i="13"/>
  <c r="AM138" i="13"/>
  <c r="AL138" i="13"/>
  <c r="AK138" i="13"/>
  <c r="AJ138" i="13"/>
  <c r="AI138" i="13"/>
  <c r="AC138" i="13"/>
  <c r="AA138" i="13"/>
  <c r="AU137" i="13"/>
  <c r="AR137" i="13"/>
  <c r="AQ137" i="13"/>
  <c r="AP137" i="13"/>
  <c r="AO137" i="13"/>
  <c r="AN137" i="13"/>
  <c r="AM137" i="13"/>
  <c r="AL137" i="13"/>
  <c r="AK137" i="13"/>
  <c r="AJ137" i="13"/>
  <c r="AI137" i="13"/>
  <c r="AC137" i="13"/>
  <c r="AA137" i="13"/>
  <c r="AU136" i="13"/>
  <c r="AR136" i="13"/>
  <c r="AQ136" i="13"/>
  <c r="AP136" i="13"/>
  <c r="AO136" i="13"/>
  <c r="AN136" i="13"/>
  <c r="AM136" i="13"/>
  <c r="AL136" i="13"/>
  <c r="AK136" i="13"/>
  <c r="AJ136" i="13"/>
  <c r="AI136" i="13"/>
  <c r="AC136" i="13"/>
  <c r="AA136" i="13"/>
  <c r="AU135" i="13"/>
  <c r="AR135" i="13"/>
  <c r="AQ135" i="13"/>
  <c r="AP135" i="13"/>
  <c r="AO135" i="13"/>
  <c r="AN135" i="13"/>
  <c r="AM135" i="13"/>
  <c r="AL135" i="13"/>
  <c r="AK135" i="13"/>
  <c r="AJ135" i="13"/>
  <c r="AI135" i="13"/>
  <c r="AC135" i="13"/>
  <c r="AA135" i="13"/>
  <c r="AU134" i="13"/>
  <c r="AR134" i="13"/>
  <c r="AQ134" i="13"/>
  <c r="AP134" i="13"/>
  <c r="AO134" i="13"/>
  <c r="AN134" i="13"/>
  <c r="AM134" i="13"/>
  <c r="AL134" i="13"/>
  <c r="AK134" i="13"/>
  <c r="AJ134" i="13"/>
  <c r="AI134" i="13"/>
  <c r="AC134" i="13"/>
  <c r="AA134" i="13"/>
  <c r="AB132" i="13"/>
  <c r="J128" i="13"/>
  <c r="J127" i="13"/>
  <c r="AB126" i="13"/>
  <c r="Z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AU124" i="13"/>
  <c r="AR124" i="13"/>
  <c r="AQ124" i="13"/>
  <c r="AP124" i="13"/>
  <c r="AO124" i="13"/>
  <c r="AN124" i="13"/>
  <c r="AM124" i="13"/>
  <c r="AL124" i="13"/>
  <c r="AK124" i="13"/>
  <c r="AJ124" i="13"/>
  <c r="AI124" i="13"/>
  <c r="AH124" i="13"/>
  <c r="AG124" i="13"/>
  <c r="U124" i="13"/>
  <c r="T124" i="13"/>
  <c r="AU123" i="13"/>
  <c r="AR123" i="13"/>
  <c r="AQ123" i="13"/>
  <c r="AP123" i="13"/>
  <c r="AO123" i="13"/>
  <c r="AN123" i="13"/>
  <c r="AM123" i="13"/>
  <c r="AL123" i="13"/>
  <c r="AK123" i="13"/>
  <c r="AJ123" i="13"/>
  <c r="AI123" i="13"/>
  <c r="AH123" i="13"/>
  <c r="AG123" i="13"/>
  <c r="U123" i="13"/>
  <c r="T123" i="13"/>
  <c r="AU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U122" i="13"/>
  <c r="T122" i="13"/>
  <c r="AU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U121" i="13"/>
  <c r="T121" i="13"/>
  <c r="AU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U120" i="13"/>
  <c r="T120" i="13"/>
  <c r="AU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U119" i="13"/>
  <c r="T119" i="13"/>
  <c r="AU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U118" i="13"/>
  <c r="T118" i="13"/>
  <c r="AU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C117" i="13"/>
  <c r="AA117" i="13"/>
  <c r="U117" i="13"/>
  <c r="T117" i="13"/>
  <c r="AU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C116" i="13"/>
  <c r="AA116" i="13"/>
  <c r="U116" i="13"/>
  <c r="T116" i="13"/>
  <c r="AU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C115" i="13"/>
  <c r="AA115" i="13"/>
  <c r="U115" i="13"/>
  <c r="T115" i="13"/>
  <c r="AU114" i="13"/>
  <c r="AR114" i="13"/>
  <c r="AQ114" i="13"/>
  <c r="AP114" i="13"/>
  <c r="AO114" i="13"/>
  <c r="AN114" i="13"/>
  <c r="AM114" i="13"/>
  <c r="AL114" i="13"/>
  <c r="AK114" i="13"/>
  <c r="AJ114" i="13"/>
  <c r="AI114" i="13"/>
  <c r="AH114" i="13"/>
  <c r="AG114" i="13"/>
  <c r="AC114" i="13"/>
  <c r="AA114" i="13"/>
  <c r="U114" i="13"/>
  <c r="T114" i="13"/>
  <c r="AU113" i="13"/>
  <c r="AR113" i="13"/>
  <c r="AQ113" i="13"/>
  <c r="AP113" i="13"/>
  <c r="AO113" i="13"/>
  <c r="AN113" i="13"/>
  <c r="AM113" i="13"/>
  <c r="AL113" i="13"/>
  <c r="AK113" i="13"/>
  <c r="AJ113" i="13"/>
  <c r="AI113" i="13"/>
  <c r="AH113" i="13"/>
  <c r="AG113" i="13"/>
  <c r="AC113" i="13"/>
  <c r="AA113" i="13"/>
  <c r="U113" i="13"/>
  <c r="T113" i="13"/>
  <c r="AB111" i="13"/>
  <c r="J86" i="13"/>
  <c r="J85" i="13"/>
  <c r="AB84" i="13"/>
  <c r="Z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AU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U82" i="13"/>
  <c r="T82" i="13"/>
  <c r="AU81" i="13"/>
  <c r="AR81" i="13"/>
  <c r="AQ81" i="13"/>
  <c r="AP81" i="13"/>
  <c r="AO81" i="13"/>
  <c r="AN81" i="13"/>
  <c r="AM81" i="13"/>
  <c r="AL81" i="13"/>
  <c r="AK81" i="13"/>
  <c r="AJ81" i="13"/>
  <c r="AI81" i="13"/>
  <c r="AH81" i="13"/>
  <c r="AG81" i="13"/>
  <c r="U81" i="13"/>
  <c r="T81" i="13"/>
  <c r="AU80" i="13"/>
  <c r="AR80" i="13"/>
  <c r="AQ80" i="13"/>
  <c r="AP80" i="13"/>
  <c r="AO80" i="13"/>
  <c r="AN80" i="13"/>
  <c r="AM80" i="13"/>
  <c r="AL80" i="13"/>
  <c r="AK80" i="13"/>
  <c r="AJ80" i="13"/>
  <c r="AI80" i="13"/>
  <c r="AH80" i="13"/>
  <c r="AG80" i="13"/>
  <c r="U80" i="13"/>
  <c r="T80" i="13"/>
  <c r="AU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U79" i="13"/>
  <c r="T79" i="13"/>
  <c r="AU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U78" i="13"/>
  <c r="T78" i="13"/>
  <c r="AU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U77" i="13"/>
  <c r="T77" i="13"/>
  <c r="AU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U76" i="13"/>
  <c r="T76" i="13"/>
  <c r="AU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C75" i="13"/>
  <c r="AA75" i="13"/>
  <c r="U75" i="13"/>
  <c r="T75" i="13"/>
  <c r="AU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C74" i="13"/>
  <c r="AA74" i="13"/>
  <c r="U74" i="13"/>
  <c r="T74" i="13"/>
  <c r="AU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C73" i="13"/>
  <c r="AA73" i="13"/>
  <c r="U73" i="13"/>
  <c r="T73" i="13"/>
  <c r="AU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C72" i="13"/>
  <c r="AA72" i="13"/>
  <c r="U72" i="13"/>
  <c r="T72" i="13"/>
  <c r="AU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C71" i="13"/>
  <c r="AA71" i="13"/>
  <c r="U71" i="13"/>
  <c r="T71" i="13"/>
  <c r="AB69" i="13"/>
  <c r="J65" i="13"/>
  <c r="J64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AU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U61" i="13"/>
  <c r="Y61" i="13" s="1"/>
  <c r="T61" i="13"/>
  <c r="AU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U60" i="13"/>
  <c r="Y60" i="13" s="1"/>
  <c r="T60" i="13"/>
  <c r="AU59" i="13"/>
  <c r="AR59" i="13"/>
  <c r="AQ59" i="13"/>
  <c r="AP59" i="13"/>
  <c r="AO59" i="13"/>
  <c r="AN59" i="13"/>
  <c r="AM59" i="13"/>
  <c r="AL59" i="13"/>
  <c r="AK59" i="13"/>
  <c r="AJ59" i="13"/>
  <c r="AI59" i="13"/>
  <c r="AH59" i="13"/>
  <c r="AG59" i="13"/>
  <c r="U59" i="13"/>
  <c r="Y59" i="13" s="1"/>
  <c r="T59" i="13"/>
  <c r="AU58" i="13"/>
  <c r="AR58" i="13"/>
  <c r="AQ58" i="13"/>
  <c r="AP58" i="13"/>
  <c r="AO58" i="13"/>
  <c r="AN58" i="13"/>
  <c r="AM58" i="13"/>
  <c r="AL58" i="13"/>
  <c r="AK58" i="13"/>
  <c r="AJ58" i="13"/>
  <c r="AI58" i="13"/>
  <c r="AH58" i="13"/>
  <c r="AG58" i="13"/>
  <c r="U58" i="13"/>
  <c r="Y58" i="13" s="1"/>
  <c r="T58" i="13"/>
  <c r="AU57" i="13"/>
  <c r="AR57" i="13"/>
  <c r="AQ57" i="13"/>
  <c r="AP57" i="13"/>
  <c r="AO57" i="13"/>
  <c r="AN57" i="13"/>
  <c r="AM57" i="13"/>
  <c r="AL57" i="13"/>
  <c r="AK57" i="13"/>
  <c r="AJ57" i="13"/>
  <c r="AI57" i="13"/>
  <c r="U57" i="13"/>
  <c r="Y57" i="13" s="1"/>
  <c r="T57" i="13"/>
  <c r="AU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U56" i="13"/>
  <c r="Y56" i="13" s="1"/>
  <c r="T56" i="13"/>
  <c r="AU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U55" i="13"/>
  <c r="Y55" i="13" s="1"/>
  <c r="T55" i="13"/>
  <c r="AU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U54" i="13"/>
  <c r="Y54" i="13" s="1"/>
  <c r="T54" i="13"/>
  <c r="AU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U53" i="13"/>
  <c r="Y53" i="13" s="1"/>
  <c r="T53" i="13"/>
  <c r="AU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U52" i="13"/>
  <c r="Y52" i="13" s="1"/>
  <c r="T52" i="13"/>
  <c r="AU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U51" i="13"/>
  <c r="Y51" i="13" s="1"/>
  <c r="T51" i="13"/>
  <c r="AU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U50" i="13"/>
  <c r="Y50" i="13" s="1"/>
  <c r="T50" i="13"/>
  <c r="J44" i="13"/>
  <c r="J43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U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U40" i="13"/>
  <c r="T40" i="13"/>
  <c r="AU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U39" i="13"/>
  <c r="T39" i="13"/>
  <c r="AU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U38" i="13"/>
  <c r="T38" i="13"/>
  <c r="AU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U37" i="13"/>
  <c r="T37" i="13"/>
  <c r="AU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U36" i="13"/>
  <c r="T36" i="13"/>
  <c r="AU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U35" i="13"/>
  <c r="T35" i="13"/>
  <c r="AU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U34" i="13"/>
  <c r="T34" i="13"/>
  <c r="AU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U33" i="13"/>
  <c r="T33" i="13"/>
  <c r="AU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U32" i="13"/>
  <c r="T32" i="13"/>
  <c r="AU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U31" i="13"/>
  <c r="T31" i="13"/>
  <c r="AU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U30" i="13"/>
  <c r="T30" i="13"/>
  <c r="AU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U29" i="13"/>
  <c r="T29" i="13"/>
  <c r="J23" i="13"/>
  <c r="J22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U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U19" i="13"/>
  <c r="T19" i="13"/>
  <c r="AU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U18" i="13"/>
  <c r="T18" i="13"/>
  <c r="AU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U17" i="13"/>
  <c r="T17" i="13"/>
  <c r="AU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U16" i="13"/>
  <c r="T16" i="13"/>
  <c r="AU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U15" i="13"/>
  <c r="T15" i="13"/>
  <c r="AU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U14" i="13"/>
  <c r="T14" i="13"/>
  <c r="AU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U13" i="13"/>
  <c r="T13" i="13"/>
  <c r="AU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U12" i="13"/>
  <c r="T12" i="13"/>
  <c r="AU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U11" i="13"/>
  <c r="T11" i="13"/>
  <c r="AU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U10" i="13"/>
  <c r="T10" i="13"/>
  <c r="AU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U9" i="13"/>
  <c r="T9" i="13"/>
  <c r="AU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U8" i="13"/>
  <c r="T8" i="13"/>
  <c r="M295" i="12"/>
  <c r="L295" i="12"/>
  <c r="L253" i="12"/>
  <c r="M253" i="12"/>
  <c r="L232" i="12"/>
  <c r="M232" i="12"/>
  <c r="M211" i="12"/>
  <c r="L211" i="12"/>
  <c r="M190" i="12"/>
  <c r="L190" i="12"/>
  <c r="M169" i="12"/>
  <c r="L169" i="12"/>
  <c r="M148" i="12"/>
  <c r="L148" i="12"/>
  <c r="M127" i="12"/>
  <c r="L127" i="12"/>
  <c r="M106" i="12"/>
  <c r="L106" i="12"/>
  <c r="M85" i="12"/>
  <c r="L85" i="12"/>
  <c r="M64" i="12"/>
  <c r="L64" i="12"/>
  <c r="M43" i="12"/>
  <c r="L43" i="12"/>
  <c r="M22" i="12"/>
  <c r="L22" i="12"/>
  <c r="G337" i="12"/>
  <c r="F337" i="12"/>
  <c r="K524" i="12"/>
  <c r="J524" i="12"/>
  <c r="I524" i="12"/>
  <c r="H524" i="12"/>
  <c r="G524" i="12"/>
  <c r="F524" i="12"/>
  <c r="E524" i="12"/>
  <c r="D524" i="12"/>
  <c r="K523" i="12"/>
  <c r="J523" i="12"/>
  <c r="I523" i="12"/>
  <c r="H523" i="12"/>
  <c r="G523" i="12"/>
  <c r="F523" i="12"/>
  <c r="E523" i="12"/>
  <c r="D523" i="12"/>
  <c r="K522" i="12"/>
  <c r="J522" i="12"/>
  <c r="I522" i="12"/>
  <c r="H522" i="12"/>
  <c r="G522" i="12"/>
  <c r="F522" i="12"/>
  <c r="E522" i="12"/>
  <c r="D522" i="12"/>
  <c r="K521" i="12"/>
  <c r="J521" i="12"/>
  <c r="I521" i="12"/>
  <c r="H521" i="12"/>
  <c r="G521" i="12"/>
  <c r="F521" i="12"/>
  <c r="E521" i="12"/>
  <c r="D521" i="12"/>
  <c r="K520" i="12"/>
  <c r="J520" i="12"/>
  <c r="I520" i="12"/>
  <c r="H520" i="12"/>
  <c r="G520" i="12"/>
  <c r="F520" i="12"/>
  <c r="E520" i="12"/>
  <c r="D520" i="12"/>
  <c r="K519" i="12"/>
  <c r="J519" i="12"/>
  <c r="I519" i="12"/>
  <c r="H519" i="12"/>
  <c r="G519" i="12"/>
  <c r="F519" i="12"/>
  <c r="E519" i="12"/>
  <c r="D519" i="12"/>
  <c r="K518" i="12"/>
  <c r="J518" i="12"/>
  <c r="I518" i="12"/>
  <c r="H518" i="12"/>
  <c r="G518" i="12"/>
  <c r="F518" i="12"/>
  <c r="E518" i="12"/>
  <c r="D518" i="12"/>
  <c r="K517" i="12"/>
  <c r="J517" i="12"/>
  <c r="I517" i="12"/>
  <c r="H517" i="12"/>
  <c r="G517" i="12"/>
  <c r="F517" i="12"/>
  <c r="E517" i="12"/>
  <c r="D517" i="12"/>
  <c r="K516" i="12"/>
  <c r="J516" i="12"/>
  <c r="I516" i="12"/>
  <c r="H516" i="12"/>
  <c r="G516" i="12"/>
  <c r="F516" i="12"/>
  <c r="E516" i="12"/>
  <c r="D516" i="12"/>
  <c r="K515" i="12"/>
  <c r="J515" i="12"/>
  <c r="I515" i="12"/>
  <c r="H515" i="12"/>
  <c r="G515" i="12"/>
  <c r="F515" i="12"/>
  <c r="E515" i="12"/>
  <c r="D515" i="12"/>
  <c r="K514" i="12"/>
  <c r="J514" i="12"/>
  <c r="I514" i="12"/>
  <c r="H514" i="12"/>
  <c r="G514" i="12"/>
  <c r="F514" i="12"/>
  <c r="E514" i="12"/>
  <c r="D514" i="12"/>
  <c r="K513" i="12"/>
  <c r="J513" i="12"/>
  <c r="I513" i="12"/>
  <c r="H513" i="12"/>
  <c r="G513" i="12"/>
  <c r="F513" i="12"/>
  <c r="E513" i="12"/>
  <c r="D513" i="12"/>
  <c r="Z346" i="13" l="1"/>
  <c r="F534" i="13"/>
  <c r="AA346" i="13"/>
  <c r="G534" i="13"/>
  <c r="T232" i="13"/>
  <c r="U22" i="13"/>
  <c r="U23" i="13" s="1"/>
  <c r="U274" i="13"/>
  <c r="T316" i="13"/>
  <c r="U43" i="13"/>
  <c r="T22" i="13"/>
  <c r="T43" i="13"/>
  <c r="T44" i="13" s="1"/>
  <c r="U169" i="13"/>
  <c r="U170" i="13" s="1"/>
  <c r="U127" i="13"/>
  <c r="U128" i="13" s="1"/>
  <c r="T211" i="13"/>
  <c r="T212" i="13" s="1"/>
  <c r="T253" i="13"/>
  <c r="T254" i="13" s="1"/>
  <c r="T127" i="13"/>
  <c r="T128" i="13" s="1"/>
  <c r="U211" i="13"/>
  <c r="U212" i="13" s="1"/>
  <c r="U253" i="13"/>
  <c r="U254" i="13" s="1"/>
  <c r="T148" i="13"/>
  <c r="T149" i="13" s="1"/>
  <c r="U148" i="13"/>
  <c r="U149" i="13" s="1"/>
  <c r="U85" i="13"/>
  <c r="U86" i="13" s="1"/>
  <c r="U232" i="13"/>
  <c r="U233" i="13" s="1"/>
  <c r="U316" i="13"/>
  <c r="U317" i="13" s="1"/>
  <c r="T85" i="13"/>
  <c r="T86" i="13" s="1"/>
  <c r="T64" i="13"/>
  <c r="T65" i="13" s="1"/>
  <c r="T190" i="13"/>
  <c r="T191" i="13" s="1"/>
  <c r="U64" i="13"/>
  <c r="U65" i="13" s="1"/>
  <c r="T169" i="13"/>
  <c r="T170" i="13" s="1"/>
  <c r="U190" i="13"/>
  <c r="U191" i="13" s="1"/>
  <c r="T274" i="13"/>
  <c r="T275" i="13" s="1"/>
  <c r="U44" i="13"/>
  <c r="T317" i="13"/>
  <c r="T23" i="13"/>
  <c r="T233" i="13"/>
  <c r="AC315" i="13"/>
  <c r="AC210" i="13"/>
  <c r="AC326" i="13"/>
  <c r="AA294" i="13"/>
  <c r="AC189" i="13"/>
  <c r="AS144" i="13"/>
  <c r="AV144" i="13" s="1"/>
  <c r="AT134" i="13"/>
  <c r="AS135" i="13"/>
  <c r="AV135" i="13" s="1"/>
  <c r="AS141" i="13"/>
  <c r="AV141" i="13" s="1"/>
  <c r="AT142" i="13"/>
  <c r="AW142" i="13" s="1"/>
  <c r="AS136" i="13"/>
  <c r="AV136" i="13" s="1"/>
  <c r="AT141" i="13"/>
  <c r="AW141" i="13" s="1"/>
  <c r="AS143" i="13"/>
  <c r="AV143" i="13" s="1"/>
  <c r="AT144" i="13"/>
  <c r="AW144" i="13" s="1"/>
  <c r="AT135" i="13"/>
  <c r="AW135" i="13" s="1"/>
  <c r="AT137" i="13"/>
  <c r="AW137" i="13" s="1"/>
  <c r="AS140" i="13"/>
  <c r="AV140" i="13" s="1"/>
  <c r="AS142" i="13"/>
  <c r="AV142" i="13" s="1"/>
  <c r="AT143" i="13"/>
  <c r="AW143" i="13" s="1"/>
  <c r="AS138" i="13"/>
  <c r="AV138" i="13" s="1"/>
  <c r="AT139" i="13"/>
  <c r="AW139" i="13" s="1"/>
  <c r="AT140" i="13"/>
  <c r="AW140" i="13" s="1"/>
  <c r="AT138" i="13"/>
  <c r="AW138" i="13" s="1"/>
  <c r="AT136" i="13"/>
  <c r="AW136" i="13" s="1"/>
  <c r="AS139" i="13"/>
  <c r="AV139" i="13" s="1"/>
  <c r="AH147" i="13"/>
  <c r="AS137" i="13"/>
  <c r="AV137" i="13" s="1"/>
  <c r="AS145" i="13"/>
  <c r="AV145" i="13" s="1"/>
  <c r="AT145" i="13"/>
  <c r="AW145" i="13" s="1"/>
  <c r="AS134" i="13"/>
  <c r="U324" i="13"/>
  <c r="O535" i="13" s="1"/>
  <c r="AM330" i="13"/>
  <c r="T330" i="13"/>
  <c r="N541" i="13" s="1"/>
  <c r="AM333" i="13"/>
  <c r="T333" i="13"/>
  <c r="N544" i="13" s="1"/>
  <c r="AN330" i="13"/>
  <c r="U330" i="13"/>
  <c r="O541" i="13" s="1"/>
  <c r="AM331" i="13"/>
  <c r="T331" i="13"/>
  <c r="N542" i="13" s="1"/>
  <c r="AM334" i="13"/>
  <c r="T334" i="13"/>
  <c r="N545" i="13" s="1"/>
  <c r="AM324" i="13"/>
  <c r="T324" i="13"/>
  <c r="N535" i="13" s="1"/>
  <c r="AN331" i="13"/>
  <c r="U331" i="13"/>
  <c r="O542" i="13" s="1"/>
  <c r="AN334" i="13"/>
  <c r="U334" i="13"/>
  <c r="O545" i="13" s="1"/>
  <c r="AM326" i="13"/>
  <c r="T326" i="13"/>
  <c r="N537" i="13" s="1"/>
  <c r="AN328" i="13"/>
  <c r="U328" i="13"/>
  <c r="O539" i="13" s="1"/>
  <c r="T323" i="13"/>
  <c r="AM325" i="13"/>
  <c r="T325" i="13"/>
  <c r="N536" i="13" s="1"/>
  <c r="AM327" i="13"/>
  <c r="T327" i="13"/>
  <c r="N538" i="13" s="1"/>
  <c r="AM329" i="13"/>
  <c r="T329" i="13"/>
  <c r="N540" i="13" s="1"/>
  <c r="AM332" i="13"/>
  <c r="T332" i="13"/>
  <c r="N543" i="13" s="1"/>
  <c r="AN326" i="13"/>
  <c r="U326" i="13"/>
  <c r="O537" i="13" s="1"/>
  <c r="U323" i="13"/>
  <c r="AY323" i="13" s="1"/>
  <c r="AN325" i="13"/>
  <c r="U325" i="13"/>
  <c r="O536" i="13" s="1"/>
  <c r="U327" i="13"/>
  <c r="O538" i="13" s="1"/>
  <c r="AN329" i="13"/>
  <c r="U329" i="13"/>
  <c r="O540" i="13" s="1"/>
  <c r="AN332" i="13"/>
  <c r="U332" i="13"/>
  <c r="O543" i="13" s="1"/>
  <c r="AN333" i="13"/>
  <c r="U333" i="13"/>
  <c r="O544" i="13" s="1"/>
  <c r="AM328" i="13"/>
  <c r="T328" i="13"/>
  <c r="N539" i="13" s="1"/>
  <c r="AG147" i="13"/>
  <c r="AS50" i="13"/>
  <c r="AV50" i="13" s="1"/>
  <c r="AT124" i="13"/>
  <c r="AW124" i="13" s="1"/>
  <c r="AT117" i="13"/>
  <c r="AW117" i="13" s="1"/>
  <c r="AT119" i="13"/>
  <c r="AW119" i="13" s="1"/>
  <c r="AT121" i="13"/>
  <c r="AW121" i="13" s="1"/>
  <c r="AT307" i="13"/>
  <c r="AW307" i="13" s="1"/>
  <c r="AS308" i="13"/>
  <c r="AV308" i="13" s="1"/>
  <c r="AT304" i="13"/>
  <c r="AW304" i="13" s="1"/>
  <c r="AS305" i="13"/>
  <c r="AV305" i="13" s="1"/>
  <c r="AS307" i="13"/>
  <c r="AV307" i="13" s="1"/>
  <c r="AS178" i="13"/>
  <c r="AV178" i="13" s="1"/>
  <c r="AT225" i="13"/>
  <c r="AW225" i="13" s="1"/>
  <c r="M400" i="13"/>
  <c r="AT308" i="13"/>
  <c r="AW308" i="13" s="1"/>
  <c r="T315" i="13"/>
  <c r="AK315" i="13"/>
  <c r="AS313" i="13"/>
  <c r="AV313" i="13" s="1"/>
  <c r="AS291" i="13"/>
  <c r="AV291" i="13" s="1"/>
  <c r="U294" i="13"/>
  <c r="AS287" i="13"/>
  <c r="AV287" i="13" s="1"/>
  <c r="AP294" i="13"/>
  <c r="AT262" i="13"/>
  <c r="AW262" i="13" s="1"/>
  <c r="AN273" i="13"/>
  <c r="AS269" i="13"/>
  <c r="AV269" i="13" s="1"/>
  <c r="AT271" i="13"/>
  <c r="AW271" i="13" s="1"/>
  <c r="AT248" i="13"/>
  <c r="AW248" i="13" s="1"/>
  <c r="AS244" i="13"/>
  <c r="AV244" i="13" s="1"/>
  <c r="U252" i="13"/>
  <c r="AT239" i="13"/>
  <c r="AW239" i="13" s="1"/>
  <c r="AT222" i="13"/>
  <c r="AW222" i="13" s="1"/>
  <c r="AS225" i="13"/>
  <c r="AV225" i="13" s="1"/>
  <c r="AT219" i="13"/>
  <c r="AW219" i="13" s="1"/>
  <c r="AS220" i="13"/>
  <c r="AV220" i="13" s="1"/>
  <c r="AT226" i="13"/>
  <c r="AW226" i="13" s="1"/>
  <c r="AT228" i="13"/>
  <c r="AW228" i="13" s="1"/>
  <c r="AI210" i="13"/>
  <c r="AL210" i="13"/>
  <c r="AL189" i="13"/>
  <c r="AT184" i="13"/>
  <c r="AW184" i="13" s="1"/>
  <c r="AR189" i="13"/>
  <c r="AO168" i="13"/>
  <c r="AH327" i="13"/>
  <c r="U147" i="13"/>
  <c r="AS123" i="13"/>
  <c r="AV123" i="13" s="1"/>
  <c r="AK126" i="13"/>
  <c r="AH126" i="13"/>
  <c r="AS117" i="13"/>
  <c r="AV117" i="13" s="1"/>
  <c r="AJ84" i="13"/>
  <c r="AT77" i="13"/>
  <c r="AW77" i="13" s="1"/>
  <c r="AS74" i="13"/>
  <c r="AV74" i="13" s="1"/>
  <c r="AT82" i="13"/>
  <c r="AW82" i="13" s="1"/>
  <c r="AS61" i="13"/>
  <c r="AV61" i="13" s="1"/>
  <c r="AT55" i="13"/>
  <c r="AW55" i="13" s="1"/>
  <c r="AH325" i="13"/>
  <c r="AT61" i="13"/>
  <c r="AW61" i="13" s="1"/>
  <c r="AL63" i="13"/>
  <c r="AT60" i="13"/>
  <c r="AW60" i="13" s="1"/>
  <c r="AG326" i="13"/>
  <c r="AH42" i="13"/>
  <c r="AC323" i="13"/>
  <c r="AG324" i="13"/>
  <c r="M336" i="13"/>
  <c r="AH21" i="13"/>
  <c r="H336" i="13"/>
  <c r="AJ326" i="13"/>
  <c r="AJ336" i="13" s="1"/>
  <c r="AG331" i="13"/>
  <c r="AS10" i="13"/>
  <c r="AV10" i="13" s="1"/>
  <c r="AT18" i="13"/>
  <c r="AW18" i="13" s="1"/>
  <c r="AA327" i="13"/>
  <c r="AG332" i="13"/>
  <c r="F336" i="13"/>
  <c r="R336" i="13"/>
  <c r="AA326" i="13"/>
  <c r="AC327" i="13"/>
  <c r="I336" i="13"/>
  <c r="AC324" i="13"/>
  <c r="AH328" i="13"/>
  <c r="AS35" i="13"/>
  <c r="AV35" i="13" s="1"/>
  <c r="AO42" i="13"/>
  <c r="AS33" i="13"/>
  <c r="AV33" i="13" s="1"/>
  <c r="AS37" i="13"/>
  <c r="AV37" i="13" s="1"/>
  <c r="AT58" i="13"/>
  <c r="AW58" i="13" s="1"/>
  <c r="AP126" i="13"/>
  <c r="AG168" i="13"/>
  <c r="AT156" i="13"/>
  <c r="AW156" i="13" s="1"/>
  <c r="AT158" i="13"/>
  <c r="AW158" i="13" s="1"/>
  <c r="AS164" i="13"/>
  <c r="AV164" i="13" s="1"/>
  <c r="AA189" i="13"/>
  <c r="AQ189" i="13"/>
  <c r="AA210" i="13"/>
  <c r="AQ210" i="13"/>
  <c r="AS199" i="13"/>
  <c r="AV199" i="13" s="1"/>
  <c r="AC231" i="13"/>
  <c r="AR231" i="13"/>
  <c r="AT221" i="13"/>
  <c r="AW221" i="13" s="1"/>
  <c r="AS224" i="13"/>
  <c r="AV224" i="13" s="1"/>
  <c r="T231" i="13"/>
  <c r="AH252" i="13"/>
  <c r="AT242" i="13"/>
  <c r="AW242" i="13" s="1"/>
  <c r="AT270" i="13"/>
  <c r="AW270" i="13" s="1"/>
  <c r="AI294" i="13"/>
  <c r="AT292" i="13"/>
  <c r="AW292" i="13" s="1"/>
  <c r="AS306" i="13"/>
  <c r="AV306" i="13" s="1"/>
  <c r="AT312" i="13"/>
  <c r="AW312" i="13" s="1"/>
  <c r="AH168" i="13"/>
  <c r="AS161" i="13"/>
  <c r="AV161" i="13" s="1"/>
  <c r="AT164" i="13"/>
  <c r="AW164" i="13" s="1"/>
  <c r="AT180" i="13"/>
  <c r="AW180" i="13" s="1"/>
  <c r="AS186" i="13"/>
  <c r="AV186" i="13" s="1"/>
  <c r="AR210" i="13"/>
  <c r="AT199" i="13"/>
  <c r="AW199" i="13" s="1"/>
  <c r="AS200" i="13"/>
  <c r="AV200" i="13" s="1"/>
  <c r="AS205" i="13"/>
  <c r="AV205" i="13" s="1"/>
  <c r="AG231" i="13"/>
  <c r="AT224" i="13"/>
  <c r="AW224" i="13" s="1"/>
  <c r="AS228" i="13"/>
  <c r="AV228" i="13" s="1"/>
  <c r="AS267" i="13"/>
  <c r="AV267" i="13" s="1"/>
  <c r="AT291" i="13"/>
  <c r="AW291" i="13" s="1"/>
  <c r="AS310" i="13"/>
  <c r="AV310" i="13" s="1"/>
  <c r="N336" i="13"/>
  <c r="AA324" i="13"/>
  <c r="AK84" i="13"/>
  <c r="AL126" i="13"/>
  <c r="AM189" i="13"/>
  <c r="AT10" i="13"/>
  <c r="AW10" i="13" s="1"/>
  <c r="AS32" i="13"/>
  <c r="AV32" i="13" s="1"/>
  <c r="AS113" i="13"/>
  <c r="AV113" i="13" s="1"/>
  <c r="AT12" i="13"/>
  <c r="AW12" i="13" s="1"/>
  <c r="AP84" i="13"/>
  <c r="AA126" i="13"/>
  <c r="AS115" i="13"/>
  <c r="AV115" i="13" s="1"/>
  <c r="AS119" i="13"/>
  <c r="AV119" i="13" s="1"/>
  <c r="AT122" i="13"/>
  <c r="AW122" i="13" s="1"/>
  <c r="AS12" i="13"/>
  <c r="AV12" i="13" s="1"/>
  <c r="AS16" i="13"/>
  <c r="AV16" i="13" s="1"/>
  <c r="T42" i="13"/>
  <c r="AQ42" i="13"/>
  <c r="AT34" i="13"/>
  <c r="AW34" i="13" s="1"/>
  <c r="AT40" i="13"/>
  <c r="AW40" i="13" s="1"/>
  <c r="AG63" i="13"/>
  <c r="AT56" i="13"/>
  <c r="AW56" i="13" s="1"/>
  <c r="AS59" i="13"/>
  <c r="AV59" i="13" s="1"/>
  <c r="AA84" i="13"/>
  <c r="AS75" i="13"/>
  <c r="AV75" i="13" s="1"/>
  <c r="AS81" i="13"/>
  <c r="AV81" i="13" s="1"/>
  <c r="AS121" i="13"/>
  <c r="AV121" i="13" s="1"/>
  <c r="AA147" i="13"/>
  <c r="AQ147" i="13"/>
  <c r="AI168" i="13"/>
  <c r="AS157" i="13"/>
  <c r="AV157" i="13" s="1"/>
  <c r="AT161" i="13"/>
  <c r="AW161" i="13" s="1"/>
  <c r="AT177" i="13"/>
  <c r="AW177" i="13" s="1"/>
  <c r="AT183" i="13"/>
  <c r="AW183" i="13" s="1"/>
  <c r="AT186" i="13"/>
  <c r="AW186" i="13" s="1"/>
  <c r="AS202" i="13"/>
  <c r="AV202" i="13" s="1"/>
  <c r="AT203" i="13"/>
  <c r="AW203" i="13" s="1"/>
  <c r="AT205" i="13"/>
  <c r="AW205" i="13" s="1"/>
  <c r="AS208" i="13"/>
  <c r="AV208" i="13" s="1"/>
  <c r="AH231" i="13"/>
  <c r="AT240" i="13"/>
  <c r="AW240" i="13" s="1"/>
  <c r="AS246" i="13"/>
  <c r="AV246" i="13" s="1"/>
  <c r="AS250" i="13"/>
  <c r="AV250" i="13" s="1"/>
  <c r="AS266" i="13"/>
  <c r="AV266" i="13" s="1"/>
  <c r="AT267" i="13"/>
  <c r="AW267" i="13" s="1"/>
  <c r="AT284" i="13"/>
  <c r="AW284" i="13" s="1"/>
  <c r="AS285" i="13"/>
  <c r="AV285" i="13" s="1"/>
  <c r="AQ315" i="13"/>
  <c r="AT303" i="13"/>
  <c r="AW303" i="13" s="1"/>
  <c r="AS304" i="13"/>
  <c r="AV304" i="13" s="1"/>
  <c r="AT310" i="13"/>
  <c r="AW310" i="13" s="1"/>
  <c r="O336" i="13"/>
  <c r="AL323" i="13"/>
  <c r="AL336" i="13" s="1"/>
  <c r="AG329" i="13"/>
  <c r="AG333" i="13"/>
  <c r="AS72" i="13"/>
  <c r="AV72" i="13" s="1"/>
  <c r="AS78" i="13"/>
  <c r="AV78" i="13" s="1"/>
  <c r="AT81" i="13"/>
  <c r="AW81" i="13" s="1"/>
  <c r="AG126" i="13"/>
  <c r="AC147" i="13"/>
  <c r="AR147" i="13"/>
  <c r="AT157" i="13"/>
  <c r="AW157" i="13" s="1"/>
  <c r="AH210" i="13"/>
  <c r="AS198" i="13"/>
  <c r="AV198" i="13" s="1"/>
  <c r="AI231" i="13"/>
  <c r="AS223" i="13"/>
  <c r="AV223" i="13" s="1"/>
  <c r="AT241" i="13"/>
  <c r="AW241" i="13" s="1"/>
  <c r="AT246" i="13"/>
  <c r="AW246" i="13" s="1"/>
  <c r="AS249" i="13"/>
  <c r="AV249" i="13" s="1"/>
  <c r="AT250" i="13"/>
  <c r="AW250" i="13" s="1"/>
  <c r="AA273" i="13"/>
  <c r="AL294" i="13"/>
  <c r="AG294" i="13"/>
  <c r="AT285" i="13"/>
  <c r="AW285" i="13" s="1"/>
  <c r="AT309" i="13"/>
  <c r="AW309" i="13" s="1"/>
  <c r="D336" i="13"/>
  <c r="P336" i="13"/>
  <c r="AM323" i="13"/>
  <c r="L379" i="13"/>
  <c r="L505" i="13"/>
  <c r="M505" i="13"/>
  <c r="AQ294" i="13"/>
  <c r="AT116" i="13"/>
  <c r="AW116" i="13" s="1"/>
  <c r="AS9" i="13"/>
  <c r="AV9" i="13" s="1"/>
  <c r="AS34" i="13"/>
  <c r="AV34" i="13" s="1"/>
  <c r="AT37" i="13"/>
  <c r="AW37" i="13" s="1"/>
  <c r="AS40" i="13"/>
  <c r="AV40" i="13" s="1"/>
  <c r="AT16" i="13"/>
  <c r="AW16" i="13" s="1"/>
  <c r="AH63" i="13"/>
  <c r="AT51" i="13"/>
  <c r="AW51" i="13" s="1"/>
  <c r="AS56" i="13"/>
  <c r="AV56" i="13" s="1"/>
  <c r="AT59" i="13"/>
  <c r="AW59" i="13" s="1"/>
  <c r="T21" i="13"/>
  <c r="AQ21" i="13"/>
  <c r="AG84" i="13"/>
  <c r="AS114" i="13"/>
  <c r="AV114" i="13" s="1"/>
  <c r="AK168" i="13"/>
  <c r="AI189" i="13"/>
  <c r="AT198" i="13"/>
  <c r="AW198" i="13" s="1"/>
  <c r="AS204" i="13"/>
  <c r="AV204" i="13" s="1"/>
  <c r="AT223" i="13"/>
  <c r="AW223" i="13" s="1"/>
  <c r="AL231" i="13"/>
  <c r="AS229" i="13"/>
  <c r="AV229" i="13" s="1"/>
  <c r="AL252" i="13"/>
  <c r="AS248" i="13"/>
  <c r="AV248" i="13" s="1"/>
  <c r="AS264" i="13"/>
  <c r="AV264" i="13" s="1"/>
  <c r="AS283" i="13"/>
  <c r="AV283" i="13" s="1"/>
  <c r="AG315" i="13"/>
  <c r="AS311" i="13"/>
  <c r="AV311" i="13" s="1"/>
  <c r="E336" i="13"/>
  <c r="Q336" i="13"/>
  <c r="AN323" i="13"/>
  <c r="L526" i="13"/>
  <c r="AT14" i="13"/>
  <c r="AW14" i="13" s="1"/>
  <c r="AS36" i="13"/>
  <c r="AV36" i="13" s="1"/>
  <c r="AH84" i="13"/>
  <c r="AT114" i="13"/>
  <c r="AW114" i="13" s="1"/>
  <c r="M526" i="13"/>
  <c r="AS17" i="13"/>
  <c r="AV17" i="13" s="1"/>
  <c r="AT33" i="13"/>
  <c r="AW33" i="13" s="1"/>
  <c r="AT39" i="13"/>
  <c r="AW39" i="13" s="1"/>
  <c r="AS120" i="13"/>
  <c r="AV120" i="13" s="1"/>
  <c r="AS158" i="13"/>
  <c r="AV158" i="13" s="1"/>
  <c r="AT160" i="13"/>
  <c r="AW160" i="13" s="1"/>
  <c r="AT166" i="13"/>
  <c r="AW166" i="13" s="1"/>
  <c r="AG189" i="13"/>
  <c r="AT182" i="13"/>
  <c r="AW182" i="13" s="1"/>
  <c r="AT204" i="13"/>
  <c r="AW204" i="13" s="1"/>
  <c r="AS207" i="13"/>
  <c r="AV207" i="13" s="1"/>
  <c r="AK231" i="13"/>
  <c r="AS226" i="13"/>
  <c r="AV226" i="13" s="1"/>
  <c r="AT229" i="13"/>
  <c r="AW229" i="13" s="1"/>
  <c r="AS263" i="13"/>
  <c r="AV263" i="13" s="1"/>
  <c r="AT264" i="13"/>
  <c r="AW264" i="13" s="1"/>
  <c r="AT266" i="13"/>
  <c r="AW266" i="13" s="1"/>
  <c r="AN294" i="13"/>
  <c r="AS290" i="13"/>
  <c r="AV290" i="13" s="1"/>
  <c r="AH315" i="13"/>
  <c r="AT311" i="13"/>
  <c r="AW311" i="13" s="1"/>
  <c r="AT9" i="13"/>
  <c r="AW9" i="13" s="1"/>
  <c r="AS14" i="13"/>
  <c r="AV14" i="13" s="1"/>
  <c r="AT17" i="13"/>
  <c r="AW17" i="13" s="1"/>
  <c r="AI42" i="13"/>
  <c r="AS39" i="13"/>
  <c r="AV39" i="13" s="1"/>
  <c r="AT52" i="13"/>
  <c r="AW52" i="13" s="1"/>
  <c r="AS55" i="13"/>
  <c r="AV55" i="13" s="1"/>
  <c r="AT72" i="13"/>
  <c r="AW72" i="13" s="1"/>
  <c r="AC84" i="13"/>
  <c r="AR84" i="13"/>
  <c r="AS77" i="13"/>
  <c r="AV77" i="13" s="1"/>
  <c r="AT80" i="13"/>
  <c r="AW80" i="13" s="1"/>
  <c r="AT120" i="13"/>
  <c r="AW120" i="13" s="1"/>
  <c r="AS124" i="13"/>
  <c r="AV124" i="13" s="1"/>
  <c r="AS160" i="13"/>
  <c r="AV160" i="13" s="1"/>
  <c r="AS166" i="13"/>
  <c r="AV166" i="13" s="1"/>
  <c r="AK189" i="13"/>
  <c r="AT179" i="13"/>
  <c r="AW179" i="13" s="1"/>
  <c r="AS180" i="13"/>
  <c r="AV180" i="13" s="1"/>
  <c r="AS182" i="13"/>
  <c r="AV182" i="13" s="1"/>
  <c r="AK210" i="13"/>
  <c r="AT201" i="13"/>
  <c r="AW201" i="13" s="1"/>
  <c r="AT207" i="13"/>
  <c r="AW207" i="13" s="1"/>
  <c r="AS219" i="13"/>
  <c r="AV219" i="13" s="1"/>
  <c r="AS222" i="13"/>
  <c r="AV222" i="13" s="1"/>
  <c r="AN252" i="13"/>
  <c r="AS241" i="13"/>
  <c r="AV241" i="13" s="1"/>
  <c r="AT245" i="13"/>
  <c r="AW245" i="13" s="1"/>
  <c r="AS262" i="13"/>
  <c r="AV262" i="13" s="1"/>
  <c r="AT265" i="13"/>
  <c r="AW265" i="13" s="1"/>
  <c r="AS271" i="13"/>
  <c r="AV271" i="13" s="1"/>
  <c r="T294" i="13"/>
  <c r="AO294" i="13"/>
  <c r="AT286" i="13"/>
  <c r="AW286" i="13" s="1"/>
  <c r="AS289" i="13"/>
  <c r="AV289" i="13" s="1"/>
  <c r="AT290" i="13"/>
  <c r="AW290" i="13" s="1"/>
  <c r="G336" i="13"/>
  <c r="AP323" i="13"/>
  <c r="AP336" i="13" s="1"/>
  <c r="AG327" i="13"/>
  <c r="AC328" i="13"/>
  <c r="L463" i="13"/>
  <c r="N513" i="13"/>
  <c r="AH324" i="13"/>
  <c r="AS156" i="13"/>
  <c r="AV156" i="13" s="1"/>
  <c r="AS159" i="13"/>
  <c r="AV159" i="13" s="1"/>
  <c r="AS163" i="13"/>
  <c r="AV163" i="13" s="1"/>
  <c r="AS165" i="13"/>
  <c r="AV165" i="13" s="1"/>
  <c r="AN189" i="13"/>
  <c r="AT178" i="13"/>
  <c r="AW178" i="13" s="1"/>
  <c r="AS181" i="13"/>
  <c r="AV181" i="13" s="1"/>
  <c r="AT197" i="13"/>
  <c r="AW197" i="13" s="1"/>
  <c r="AO231" i="13"/>
  <c r="AT244" i="13"/>
  <c r="AW244" i="13" s="1"/>
  <c r="AT260" i="13"/>
  <c r="AW260" i="13" s="1"/>
  <c r="AK273" i="13"/>
  <c r="AQ273" i="13"/>
  <c r="AC294" i="13"/>
  <c r="AR294" i="13"/>
  <c r="AT283" i="13"/>
  <c r="AW283" i="13" s="1"/>
  <c r="AS284" i="13"/>
  <c r="AV284" i="13" s="1"/>
  <c r="AS286" i="13"/>
  <c r="AV286" i="13" s="1"/>
  <c r="AT287" i="13"/>
  <c r="AW287" i="13" s="1"/>
  <c r="AA315" i="13"/>
  <c r="J336" i="13"/>
  <c r="Z336" i="13"/>
  <c r="T357" i="13"/>
  <c r="AS13" i="13"/>
  <c r="AV13" i="13" s="1"/>
  <c r="AS51" i="13"/>
  <c r="AV51" i="13" s="1"/>
  <c r="AT54" i="13"/>
  <c r="AW54" i="13" s="1"/>
  <c r="AS73" i="13"/>
  <c r="AV73" i="13" s="1"/>
  <c r="AT76" i="13"/>
  <c r="AW76" i="13" s="1"/>
  <c r="AQ84" i="13"/>
  <c r="AN126" i="13"/>
  <c r="AT115" i="13"/>
  <c r="AW115" i="13" s="1"/>
  <c r="AS118" i="13"/>
  <c r="AV118" i="13" s="1"/>
  <c r="AS122" i="13"/>
  <c r="AV122" i="13" s="1"/>
  <c r="AM147" i="13"/>
  <c r="AQ168" i="13"/>
  <c r="AT159" i="13"/>
  <c r="AW159" i="13" s="1"/>
  <c r="AS162" i="13"/>
  <c r="AV162" i="13" s="1"/>
  <c r="AT163" i="13"/>
  <c r="AW163" i="13" s="1"/>
  <c r="AT165" i="13"/>
  <c r="AW165" i="13" s="1"/>
  <c r="T189" i="13"/>
  <c r="AO189" i="13"/>
  <c r="AT181" i="13"/>
  <c r="AW181" i="13" s="1"/>
  <c r="AS184" i="13"/>
  <c r="AV184" i="13" s="1"/>
  <c r="AT185" i="13"/>
  <c r="AW185" i="13" s="1"/>
  <c r="AS187" i="13"/>
  <c r="AV187" i="13" s="1"/>
  <c r="T210" i="13"/>
  <c r="AO210" i="13"/>
  <c r="AS206" i="13"/>
  <c r="AV206" i="13" s="1"/>
  <c r="AC252" i="13"/>
  <c r="AR252" i="13"/>
  <c r="AS243" i="13"/>
  <c r="AV243" i="13" s="1"/>
  <c r="AT247" i="13"/>
  <c r="AW247" i="13" s="1"/>
  <c r="AQ252" i="13"/>
  <c r="AT282" i="13"/>
  <c r="AW282" i="13" s="1"/>
  <c r="AT288" i="13"/>
  <c r="AW288" i="13" s="1"/>
  <c r="AM315" i="13"/>
  <c r="AJ315" i="13"/>
  <c r="AS309" i="13"/>
  <c r="AV309" i="13" s="1"/>
  <c r="AA323" i="13"/>
  <c r="U357" i="13"/>
  <c r="AJ21" i="13"/>
  <c r="AK21" i="13"/>
  <c r="AT13" i="13"/>
  <c r="AW13" i="13" s="1"/>
  <c r="AS19" i="13"/>
  <c r="AV19" i="13" s="1"/>
  <c r="AT32" i="13"/>
  <c r="AW32" i="13" s="1"/>
  <c r="AS15" i="13"/>
  <c r="AV15" i="13" s="1"/>
  <c r="AT19" i="13"/>
  <c r="AW19" i="13" s="1"/>
  <c r="AN42" i="13"/>
  <c r="AS54" i="13"/>
  <c r="AV54" i="13" s="1"/>
  <c r="AS58" i="13"/>
  <c r="AV58" i="13" s="1"/>
  <c r="AN84" i="13"/>
  <c r="AT73" i="13"/>
  <c r="AW73" i="13" s="1"/>
  <c r="AS76" i="13"/>
  <c r="AV76" i="13" s="1"/>
  <c r="AS80" i="13"/>
  <c r="AV80" i="13" s="1"/>
  <c r="AS82" i="13"/>
  <c r="AV82" i="13" s="1"/>
  <c r="AT118" i="13"/>
  <c r="AW118" i="13" s="1"/>
  <c r="U168" i="13"/>
  <c r="AR168" i="13"/>
  <c r="AT187" i="13"/>
  <c r="AW187" i="13" s="1"/>
  <c r="AT202" i="13"/>
  <c r="AW202" i="13" s="1"/>
  <c r="AT206" i="13"/>
  <c r="AW206" i="13" s="1"/>
  <c r="AA231" i="13"/>
  <c r="AT227" i="13"/>
  <c r="AW227" i="13" s="1"/>
  <c r="AG252" i="13"/>
  <c r="AS242" i="13"/>
  <c r="AV242" i="13" s="1"/>
  <c r="AS245" i="13"/>
  <c r="AV245" i="13" s="1"/>
  <c r="AS247" i="13"/>
  <c r="AV247" i="13" s="1"/>
  <c r="AC273" i="13"/>
  <c r="AR273" i="13"/>
  <c r="AS270" i="13"/>
  <c r="AV270" i="13" s="1"/>
  <c r="AS282" i="13"/>
  <c r="AV282" i="13" s="1"/>
  <c r="AS288" i="13"/>
  <c r="AV288" i="13" s="1"/>
  <c r="AS303" i="13"/>
  <c r="AV303" i="13" s="1"/>
  <c r="AT306" i="13"/>
  <c r="AW306" i="13" s="1"/>
  <c r="L336" i="13"/>
  <c r="AG325" i="13"/>
  <c r="AG328" i="13"/>
  <c r="AG330" i="13"/>
  <c r="AH331" i="13"/>
  <c r="AG334" i="13"/>
  <c r="L400" i="13"/>
  <c r="L421" i="13"/>
  <c r="AS29" i="13"/>
  <c r="AM42" i="13"/>
  <c r="AT35" i="13"/>
  <c r="AW35" i="13" s="1"/>
  <c r="T63" i="13"/>
  <c r="AQ63" i="13"/>
  <c r="AS57" i="13"/>
  <c r="AV57" i="13" s="1"/>
  <c r="AN63" i="13"/>
  <c r="AS221" i="13"/>
  <c r="AV221" i="13" s="1"/>
  <c r="AM231" i="13"/>
  <c r="AS227" i="13"/>
  <c r="AV227" i="13" s="1"/>
  <c r="AO252" i="13"/>
  <c r="AI21" i="13"/>
  <c r="U63" i="13"/>
  <c r="AR63" i="13"/>
  <c r="AT57" i="13"/>
  <c r="AW57" i="13" s="1"/>
  <c r="AO63" i="13"/>
  <c r="AT74" i="13"/>
  <c r="AW74" i="13" s="1"/>
  <c r="AJ126" i="13"/>
  <c r="AS155" i="13"/>
  <c r="AS302" i="13"/>
  <c r="U189" i="13"/>
  <c r="AL21" i="13"/>
  <c r="AT36" i="13"/>
  <c r="AW36" i="13" s="1"/>
  <c r="AI63" i="13"/>
  <c r="AJ168" i="13"/>
  <c r="AI84" i="13"/>
  <c r="AS71" i="13"/>
  <c r="AP189" i="13"/>
  <c r="AM21" i="13"/>
  <c r="AS30" i="13"/>
  <c r="AV30" i="13" s="1"/>
  <c r="AJ63" i="13"/>
  <c r="AL84" i="13"/>
  <c r="AK147" i="13"/>
  <c r="AS185" i="13"/>
  <c r="AV185" i="13" s="1"/>
  <c r="AM210" i="13"/>
  <c r="AS201" i="13"/>
  <c r="AV201" i="13" s="1"/>
  <c r="AT208" i="13"/>
  <c r="AW208" i="13" s="1"/>
  <c r="AH294" i="13"/>
  <c r="AT289" i="13"/>
  <c r="AW289" i="13" s="1"/>
  <c r="AP42" i="13"/>
  <c r="AJ231" i="13"/>
  <c r="AT220" i="13"/>
  <c r="AW220" i="13" s="1"/>
  <c r="AR42" i="13"/>
  <c r="AS11" i="13"/>
  <c r="AV11" i="13" s="1"/>
  <c r="AG42" i="13"/>
  <c r="AT30" i="13"/>
  <c r="AW30" i="13" s="1"/>
  <c r="AK63" i="13"/>
  <c r="AS52" i="13"/>
  <c r="AV52" i="13" s="1"/>
  <c r="AM84" i="13"/>
  <c r="T126" i="13"/>
  <c r="AO126" i="13"/>
  <c r="AL147" i="13"/>
  <c r="AI147" i="13"/>
  <c r="AL168" i="13"/>
  <c r="AJ210" i="13"/>
  <c r="AT200" i="13"/>
  <c r="AW200" i="13" s="1"/>
  <c r="AI252" i="13"/>
  <c r="AS240" i="13"/>
  <c r="AV240" i="13" s="1"/>
  <c r="U273" i="13"/>
  <c r="AT11" i="13"/>
  <c r="AW11" i="13" s="1"/>
  <c r="AT75" i="13"/>
  <c r="AW75" i="13" s="1"/>
  <c r="AT78" i="13"/>
  <c r="AW78" i="13" s="1"/>
  <c r="U126" i="13"/>
  <c r="AM168" i="13"/>
  <c r="AH189" i="13"/>
  <c r="AP21" i="13"/>
  <c r="AS18" i="13"/>
  <c r="AV18" i="13" s="1"/>
  <c r="AS31" i="13"/>
  <c r="AV31" i="13" s="1"/>
  <c r="AM63" i="13"/>
  <c r="T84" i="13"/>
  <c r="AO84" i="13"/>
  <c r="AQ126" i="13"/>
  <c r="AN147" i="13"/>
  <c r="AN168" i="13"/>
  <c r="AS177" i="13"/>
  <c r="AV177" i="13" s="1"/>
  <c r="U210" i="13"/>
  <c r="AP210" i="13"/>
  <c r="AN231" i="13"/>
  <c r="AN21" i="13"/>
  <c r="AJ42" i="13"/>
  <c r="AT31" i="13"/>
  <c r="AW31" i="13" s="1"/>
  <c r="AS53" i="13"/>
  <c r="AV53" i="13" s="1"/>
  <c r="U84" i="13"/>
  <c r="V85" i="13" s="1"/>
  <c r="AS79" i="13"/>
  <c r="AV79" i="13" s="1"/>
  <c r="AC126" i="13"/>
  <c r="AR126" i="13"/>
  <c r="T147" i="13"/>
  <c r="AO147" i="13"/>
  <c r="AJ189" i="13"/>
  <c r="AT176" i="13"/>
  <c r="AI126" i="13"/>
  <c r="AS116" i="13"/>
  <c r="AV116" i="13" s="1"/>
  <c r="U21" i="13"/>
  <c r="AO21" i="13"/>
  <c r="AK42" i="13"/>
  <c r="AS38" i="13"/>
  <c r="AV38" i="13" s="1"/>
  <c r="AT53" i="13"/>
  <c r="AW53" i="13" s="1"/>
  <c r="AT79" i="13"/>
  <c r="AW79" i="13" s="1"/>
  <c r="AP147" i="13"/>
  <c r="AT162" i="13"/>
  <c r="AW162" i="13" s="1"/>
  <c r="AS179" i="13"/>
  <c r="AV179" i="13" s="1"/>
  <c r="U231" i="13"/>
  <c r="AP231" i="13"/>
  <c r="AT218" i="13"/>
  <c r="AR21" i="13"/>
  <c r="AT15" i="13"/>
  <c r="AW15" i="13" s="1"/>
  <c r="AG21" i="13"/>
  <c r="AS8" i="13"/>
  <c r="AT29" i="13"/>
  <c r="AL42" i="13"/>
  <c r="AT38" i="13"/>
  <c r="AW38" i="13" s="1"/>
  <c r="AP63" i="13"/>
  <c r="AS60" i="13"/>
  <c r="AV60" i="13" s="1"/>
  <c r="AT123" i="13"/>
  <c r="AW123" i="13" s="1"/>
  <c r="AS183" i="13"/>
  <c r="AV183" i="13" s="1"/>
  <c r="AG210" i="13"/>
  <c r="AS203" i="13"/>
  <c r="AV203" i="13" s="1"/>
  <c r="AQ231" i="13"/>
  <c r="U42" i="13"/>
  <c r="M421" i="13"/>
  <c r="O408" i="13"/>
  <c r="AJ147" i="13"/>
  <c r="AP168" i="13"/>
  <c r="AT71" i="13"/>
  <c r="AS239" i="13"/>
  <c r="T273" i="13"/>
  <c r="AO273" i="13"/>
  <c r="AR315" i="13"/>
  <c r="AT8" i="13"/>
  <c r="AT50" i="13"/>
  <c r="T168" i="13"/>
  <c r="AJ252" i="13"/>
  <c r="AI315" i="13"/>
  <c r="AH326" i="13"/>
  <c r="AT155" i="13"/>
  <c r="AS218" i="13"/>
  <c r="AK252" i="13"/>
  <c r="AG273" i="13"/>
  <c r="AS260" i="13"/>
  <c r="AS265" i="13"/>
  <c r="AV265" i="13" s="1"/>
  <c r="AS268" i="13"/>
  <c r="AV268" i="13" s="1"/>
  <c r="AJ294" i="13"/>
  <c r="AH330" i="13"/>
  <c r="AH334" i="13"/>
  <c r="AH273" i="13"/>
  <c r="AR336" i="13"/>
  <c r="AM126" i="13"/>
  <c r="AN210" i="13"/>
  <c r="AM252" i="13"/>
  <c r="AI273" i="13"/>
  <c r="AS292" i="13"/>
  <c r="AV292" i="13" s="1"/>
  <c r="AL315" i="13"/>
  <c r="U315" i="13"/>
  <c r="AT305" i="13"/>
  <c r="AW305" i="13" s="1"/>
  <c r="AS312" i="13"/>
  <c r="AV312" i="13" s="1"/>
  <c r="AN324" i="13"/>
  <c r="AN327" i="13"/>
  <c r="M463" i="13"/>
  <c r="O451" i="13"/>
  <c r="AS197" i="13"/>
  <c r="AJ273" i="13"/>
  <c r="AS261" i="13"/>
  <c r="AV261" i="13" s="1"/>
  <c r="AT263" i="13"/>
  <c r="AW263" i="13" s="1"/>
  <c r="AK294" i="13"/>
  <c r="AC325" i="13"/>
  <c r="AH329" i="13"/>
  <c r="AH333" i="13"/>
  <c r="T252" i="13"/>
  <c r="AT243" i="13"/>
  <c r="AW243" i="13" s="1"/>
  <c r="AT249" i="13"/>
  <c r="AW249" i="13" s="1"/>
  <c r="AP273" i="13"/>
  <c r="AT261" i="13"/>
  <c r="AW261" i="13" s="1"/>
  <c r="AT269" i="13"/>
  <c r="AW269" i="13" s="1"/>
  <c r="AT113" i="13"/>
  <c r="AP252" i="13"/>
  <c r="AL273" i="13"/>
  <c r="AT268" i="13"/>
  <c r="AW268" i="13" s="1"/>
  <c r="AM294" i="13"/>
  <c r="AO315" i="13"/>
  <c r="K336" i="13"/>
  <c r="S336" i="13"/>
  <c r="M379" i="13"/>
  <c r="AS176" i="13"/>
  <c r="AA252" i="13"/>
  <c r="AM273" i="13"/>
  <c r="AP315" i="13"/>
  <c r="AN315" i="13"/>
  <c r="AT313" i="13"/>
  <c r="AW313" i="13" s="1"/>
  <c r="AH332" i="13"/>
  <c r="AT302" i="13"/>
  <c r="AK323" i="13"/>
  <c r="AK326" i="13"/>
  <c r="N408" i="13"/>
  <c r="N451" i="13"/>
  <c r="L484" i="13"/>
  <c r="AA325" i="13"/>
  <c r="AA328" i="13"/>
  <c r="M484" i="13"/>
  <c r="T296" i="13"/>
  <c r="O513" i="13"/>
  <c r="U296" i="13"/>
  <c r="AO336" i="13"/>
  <c r="N366" i="13"/>
  <c r="L442" i="13"/>
  <c r="N492" i="13"/>
  <c r="M442" i="13"/>
  <c r="AS281" i="13"/>
  <c r="AQ323" i="13"/>
  <c r="AQ336" i="13" s="1"/>
  <c r="AI325" i="13"/>
  <c r="AI328" i="13"/>
  <c r="AB336" i="13"/>
  <c r="AT281" i="13"/>
  <c r="AG323" i="13"/>
  <c r="AH323" i="13"/>
  <c r="K505" i="12"/>
  <c r="J505" i="12"/>
  <c r="I505" i="12"/>
  <c r="H505" i="12"/>
  <c r="G505" i="12"/>
  <c r="F505" i="12"/>
  <c r="E505" i="12"/>
  <c r="D505" i="12"/>
  <c r="M503" i="12"/>
  <c r="O503" i="12" s="1"/>
  <c r="L503" i="12"/>
  <c r="N503" i="12" s="1"/>
  <c r="M502" i="12"/>
  <c r="O502" i="12" s="1"/>
  <c r="L502" i="12"/>
  <c r="N502" i="12" s="1"/>
  <c r="M501" i="12"/>
  <c r="O501" i="12" s="1"/>
  <c r="L501" i="12"/>
  <c r="N501" i="12" s="1"/>
  <c r="M500" i="12"/>
  <c r="O500" i="12" s="1"/>
  <c r="L500" i="12"/>
  <c r="N500" i="12" s="1"/>
  <c r="M499" i="12"/>
  <c r="O499" i="12" s="1"/>
  <c r="L499" i="12"/>
  <c r="N499" i="12" s="1"/>
  <c r="M498" i="12"/>
  <c r="O498" i="12" s="1"/>
  <c r="L498" i="12"/>
  <c r="N498" i="12" s="1"/>
  <c r="M497" i="12"/>
  <c r="O497" i="12" s="1"/>
  <c r="L497" i="12"/>
  <c r="N497" i="12" s="1"/>
  <c r="M496" i="12"/>
  <c r="O496" i="12" s="1"/>
  <c r="L496" i="12"/>
  <c r="N496" i="12" s="1"/>
  <c r="M495" i="12"/>
  <c r="O495" i="12" s="1"/>
  <c r="L495" i="12"/>
  <c r="N495" i="12" s="1"/>
  <c r="M494" i="12"/>
  <c r="O494" i="12" s="1"/>
  <c r="L494" i="12"/>
  <c r="N494" i="12" s="1"/>
  <c r="M493" i="12"/>
  <c r="O493" i="12" s="1"/>
  <c r="L493" i="12"/>
  <c r="N493" i="12" s="1"/>
  <c r="M492" i="12"/>
  <c r="O492" i="12" s="1"/>
  <c r="L492" i="12"/>
  <c r="N492" i="12" s="1"/>
  <c r="G547" i="13" l="1"/>
  <c r="I534" i="13"/>
  <c r="F547" i="13"/>
  <c r="J339" i="13"/>
  <c r="AX323" i="13"/>
  <c r="F339" i="13"/>
  <c r="G339" i="13"/>
  <c r="K339" i="13"/>
  <c r="AY325" i="13"/>
  <c r="AX324" i="13"/>
  <c r="AX325" i="13"/>
  <c r="AY324" i="13"/>
  <c r="M107" i="13"/>
  <c r="L44" i="13"/>
  <c r="L107" i="13"/>
  <c r="M317" i="13"/>
  <c r="AT329" i="13"/>
  <c r="AW329" i="13" s="1"/>
  <c r="AS329" i="13"/>
  <c r="AV329" i="13" s="1"/>
  <c r="AT332" i="13"/>
  <c r="AW332" i="13" s="1"/>
  <c r="AS327" i="13"/>
  <c r="AV327" i="13" s="1"/>
  <c r="AT331" i="13"/>
  <c r="AW331" i="13" s="1"/>
  <c r="AT330" i="13"/>
  <c r="AW330" i="13" s="1"/>
  <c r="AT334" i="13"/>
  <c r="AW334" i="13" s="1"/>
  <c r="AS332" i="13"/>
  <c r="AV332" i="13" s="1"/>
  <c r="AS331" i="13"/>
  <c r="AV331" i="13" s="1"/>
  <c r="AT333" i="13"/>
  <c r="AW333" i="13" s="1"/>
  <c r="AS324" i="13"/>
  <c r="AV324" i="13" s="1"/>
  <c r="AS333" i="13"/>
  <c r="AV333" i="13" s="1"/>
  <c r="AT328" i="13"/>
  <c r="AW328" i="13" s="1"/>
  <c r="AM336" i="13"/>
  <c r="AT325" i="13"/>
  <c r="AW325" i="13" s="1"/>
  <c r="AS334" i="13"/>
  <c r="AV334" i="13" s="1"/>
  <c r="AS330" i="13"/>
  <c r="AV330" i="13" s="1"/>
  <c r="T336" i="13"/>
  <c r="T337" i="13" s="1"/>
  <c r="AT326" i="13"/>
  <c r="AW326" i="13" s="1"/>
  <c r="AT327" i="13"/>
  <c r="AW327" i="13" s="1"/>
  <c r="L296" i="13"/>
  <c r="AS325" i="13"/>
  <c r="AV325" i="13" s="1"/>
  <c r="L254" i="13"/>
  <c r="L212" i="13"/>
  <c r="L191" i="13"/>
  <c r="L317" i="13"/>
  <c r="L275" i="13"/>
  <c r="L233" i="13"/>
  <c r="L149" i="13"/>
  <c r="L338" i="13"/>
  <c r="AS326" i="13"/>
  <c r="AV326" i="13" s="1"/>
  <c r="L65" i="13"/>
  <c r="L86" i="13"/>
  <c r="L23" i="13"/>
  <c r="L170" i="13"/>
  <c r="AN336" i="13"/>
  <c r="AG336" i="13"/>
  <c r="M296" i="13"/>
  <c r="AS328" i="13"/>
  <c r="AV328" i="13" s="1"/>
  <c r="AC336" i="13"/>
  <c r="AT323" i="13"/>
  <c r="AW323" i="13" s="1"/>
  <c r="AA336" i="13"/>
  <c r="AI336" i="13"/>
  <c r="AV134" i="13"/>
  <c r="AS147" i="13"/>
  <c r="M128" i="13"/>
  <c r="AT252" i="13"/>
  <c r="AS294" i="13"/>
  <c r="AV281" i="13"/>
  <c r="AW281" i="13"/>
  <c r="AT294" i="13"/>
  <c r="AS189" i="13"/>
  <c r="AV176" i="13"/>
  <c r="AS273" i="13"/>
  <c r="AV260" i="13"/>
  <c r="M65" i="13"/>
  <c r="U336" i="13"/>
  <c r="AW113" i="13"/>
  <c r="AT126" i="13"/>
  <c r="AT231" i="13"/>
  <c r="AW218" i="13"/>
  <c r="AV197" i="13"/>
  <c r="AS210" i="13"/>
  <c r="AT21" i="13"/>
  <c r="AW8" i="13"/>
  <c r="AV239" i="13"/>
  <c r="AS252" i="13"/>
  <c r="AS231" i="13"/>
  <c r="AV218" i="13"/>
  <c r="AT84" i="13"/>
  <c r="AW71" i="13"/>
  <c r="AS126" i="13"/>
  <c r="AT168" i="13"/>
  <c r="AW155" i="13"/>
  <c r="AS84" i="13"/>
  <c r="AV71" i="13"/>
  <c r="M212" i="13"/>
  <c r="M149" i="13"/>
  <c r="M170" i="13"/>
  <c r="M86" i="13"/>
  <c r="M191" i="13"/>
  <c r="AT324" i="13"/>
  <c r="AW324" i="13" s="1"/>
  <c r="M254" i="13"/>
  <c r="AS323" i="13"/>
  <c r="AW29" i="13"/>
  <c r="AT42" i="13"/>
  <c r="AT189" i="13"/>
  <c r="AW176" i="13"/>
  <c r="AT63" i="13"/>
  <c r="AW50" i="13"/>
  <c r="AT273" i="13"/>
  <c r="AH336" i="13"/>
  <c r="AK336" i="13"/>
  <c r="M233" i="13"/>
  <c r="AS21" i="13"/>
  <c r="AV8" i="13"/>
  <c r="M44" i="13"/>
  <c r="AS168" i="13"/>
  <c r="AV155" i="13"/>
  <c r="AS63" i="13"/>
  <c r="AS42" i="13"/>
  <c r="AV29" i="13"/>
  <c r="AT315" i="13"/>
  <c r="AW302" i="13"/>
  <c r="AW134" i="13"/>
  <c r="AT147" i="13"/>
  <c r="AT210" i="13"/>
  <c r="AS315" i="13"/>
  <c r="AV302" i="13"/>
  <c r="L505" i="12"/>
  <c r="M505" i="12"/>
  <c r="H549" i="13" l="1"/>
  <c r="H547" i="13"/>
  <c r="L534" i="13"/>
  <c r="N534" i="13" s="1"/>
  <c r="I549" i="13"/>
  <c r="I547" i="13"/>
  <c r="M534" i="13"/>
  <c r="O534" i="13" s="1"/>
  <c r="U337" i="13"/>
  <c r="H5" i="15"/>
  <c r="AV323" i="13"/>
  <c r="AS336" i="13"/>
  <c r="AT336" i="13"/>
  <c r="U334" i="12"/>
  <c r="T334" i="12"/>
  <c r="U333" i="12"/>
  <c r="T333" i="12"/>
  <c r="U332" i="12"/>
  <c r="T332" i="12"/>
  <c r="U331" i="12"/>
  <c r="T331" i="12"/>
  <c r="U330" i="12"/>
  <c r="T330" i="12"/>
  <c r="U329" i="12"/>
  <c r="T329" i="12"/>
  <c r="U328" i="12"/>
  <c r="T328" i="12"/>
  <c r="U327" i="12"/>
  <c r="T327" i="12"/>
  <c r="U326" i="12"/>
  <c r="T326" i="12"/>
  <c r="U325" i="12"/>
  <c r="T325" i="12"/>
  <c r="U324" i="12"/>
  <c r="T324" i="12"/>
  <c r="U323" i="12"/>
  <c r="T323" i="12"/>
  <c r="K336" i="12"/>
  <c r="J336" i="12"/>
  <c r="M549" i="13" l="1"/>
  <c r="M547" i="13"/>
  <c r="L549" i="13"/>
  <c r="L547" i="13"/>
  <c r="U249" i="12"/>
  <c r="T249" i="12"/>
  <c r="T207" i="12" l="1"/>
  <c r="U207" i="12"/>
  <c r="L274" i="12" l="1"/>
  <c r="M274" i="12"/>
  <c r="U206" i="12" l="1"/>
  <c r="T206" i="12"/>
  <c r="U248" i="12" l="1"/>
  <c r="T248" i="12"/>
  <c r="T164" i="12" l="1"/>
  <c r="U143" i="12" l="1"/>
  <c r="T143" i="12"/>
  <c r="T101" i="12" l="1"/>
  <c r="T80" i="12" l="1"/>
  <c r="T59" i="12" l="1"/>
  <c r="T38" i="12" l="1"/>
  <c r="U100" i="12" l="1"/>
  <c r="U16" i="12" l="1"/>
  <c r="U267" i="12" l="1"/>
  <c r="T267" i="12"/>
  <c r="U266" i="12" l="1"/>
  <c r="T266" i="12"/>
  <c r="AB237" i="12" l="1"/>
  <c r="AB258" i="12"/>
  <c r="AB279" i="12"/>
  <c r="AB300" i="12"/>
  <c r="AB195" i="12"/>
  <c r="AB174" i="12"/>
  <c r="AA168" i="9"/>
  <c r="AB153" i="12"/>
  <c r="AB111" i="12"/>
  <c r="Z126" i="12"/>
  <c r="AB126" i="12"/>
  <c r="AB105" i="12"/>
  <c r="Z105" i="12"/>
  <c r="AB90" i="12"/>
  <c r="AB69" i="12"/>
  <c r="AC126" i="12" l="1"/>
  <c r="AA126" i="12"/>
  <c r="AA105" i="12"/>
  <c r="AC105" i="12"/>
  <c r="T13" i="12"/>
  <c r="U13" i="12"/>
  <c r="U264" i="12" l="1"/>
  <c r="T264" i="12"/>
  <c r="U263" i="12"/>
  <c r="T263" i="12"/>
  <c r="U243" i="12" l="1"/>
  <c r="T243" i="12"/>
  <c r="U242" i="12"/>
  <c r="T242" i="12"/>
  <c r="T54" i="12" l="1"/>
  <c r="U54" i="12"/>
  <c r="X273" i="9" l="1"/>
  <c r="AA271" i="9"/>
  <c r="AA270" i="9"/>
  <c r="AA269" i="9"/>
  <c r="AA268" i="9"/>
  <c r="AA267" i="9"/>
  <c r="AA266" i="9"/>
  <c r="Y271" i="9"/>
  <c r="Y270" i="9"/>
  <c r="Y269" i="9"/>
  <c r="Y268" i="9"/>
  <c r="Y267" i="9"/>
  <c r="Y266" i="9"/>
  <c r="AA250" i="9"/>
  <c r="AA249" i="9"/>
  <c r="AA248" i="9"/>
  <c r="AA247" i="9"/>
  <c r="AA246" i="9"/>
  <c r="AA245" i="9"/>
  <c r="AA229" i="9"/>
  <c r="AA228" i="9"/>
  <c r="AA227" i="9"/>
  <c r="AA226" i="9"/>
  <c r="AA225" i="9"/>
  <c r="AA224" i="9"/>
  <c r="Y229" i="9"/>
  <c r="Y228" i="9"/>
  <c r="Y227" i="9"/>
  <c r="Y226" i="9"/>
  <c r="Y225" i="9"/>
  <c r="Y224" i="9"/>
  <c r="AA208" i="9"/>
  <c r="AA207" i="9"/>
  <c r="AA206" i="9"/>
  <c r="AA205" i="9"/>
  <c r="AA204" i="9"/>
  <c r="AA203" i="9"/>
  <c r="Y208" i="9"/>
  <c r="Y207" i="9"/>
  <c r="Y206" i="9"/>
  <c r="Y205" i="9"/>
  <c r="Y204" i="9"/>
  <c r="Y203" i="9"/>
  <c r="AA187" i="9"/>
  <c r="AA186" i="9"/>
  <c r="AA185" i="9"/>
  <c r="AA184" i="9"/>
  <c r="AA183" i="9"/>
  <c r="AA182" i="9"/>
  <c r="AA181" i="9"/>
  <c r="AA180" i="9"/>
  <c r="AA179" i="9"/>
  <c r="AA178" i="9"/>
  <c r="AA177" i="9"/>
  <c r="Y187" i="9"/>
  <c r="Y186" i="9"/>
  <c r="Y185" i="9"/>
  <c r="Y184" i="9"/>
  <c r="Y183" i="9"/>
  <c r="Y182" i="9"/>
  <c r="Y181" i="9"/>
  <c r="Y180" i="9"/>
  <c r="Y179" i="9"/>
  <c r="Y178" i="9"/>
  <c r="Y177" i="9"/>
  <c r="AA82" i="9"/>
  <c r="AA81" i="9"/>
  <c r="AA80" i="9"/>
  <c r="AA79" i="9"/>
  <c r="AA78" i="9"/>
  <c r="AA77" i="9"/>
  <c r="AA76" i="9"/>
  <c r="AA75" i="9"/>
  <c r="AA74" i="9"/>
  <c r="AA73" i="9"/>
  <c r="AA72" i="9"/>
  <c r="Y82" i="9"/>
  <c r="Y81" i="9"/>
  <c r="Y80" i="9"/>
  <c r="Y79" i="9"/>
  <c r="Y78" i="9"/>
  <c r="Y77" i="9"/>
  <c r="Y76" i="9"/>
  <c r="Y75" i="9"/>
  <c r="Y74" i="9"/>
  <c r="Y73" i="9"/>
  <c r="Y72" i="9"/>
  <c r="X189" i="9" l="1"/>
  <c r="AA166" i="9"/>
  <c r="AA165" i="9"/>
  <c r="AA164" i="9"/>
  <c r="AA163" i="9"/>
  <c r="AA162" i="9"/>
  <c r="AA161" i="9"/>
  <c r="AA160" i="9"/>
  <c r="AA159" i="9"/>
  <c r="AA158" i="9"/>
  <c r="AA157" i="9"/>
  <c r="AA156" i="9"/>
  <c r="Y166" i="9"/>
  <c r="Y165" i="9"/>
  <c r="Y164" i="9"/>
  <c r="Y163" i="9"/>
  <c r="Y162" i="9"/>
  <c r="Y161" i="9"/>
  <c r="Y168" i="9" s="1"/>
  <c r="Y160" i="9"/>
  <c r="Y159" i="9"/>
  <c r="Y158" i="9"/>
  <c r="Y157" i="9"/>
  <c r="Y156" i="9"/>
  <c r="AA124" i="9"/>
  <c r="AA123" i="9"/>
  <c r="AA122" i="9"/>
  <c r="AA121" i="9"/>
  <c r="AA120" i="9"/>
  <c r="AA119" i="9"/>
  <c r="AA118" i="9"/>
  <c r="AA117" i="9"/>
  <c r="AA116" i="9"/>
  <c r="AA115" i="9"/>
  <c r="AA114" i="9"/>
  <c r="Y124" i="9"/>
  <c r="Y123" i="9"/>
  <c r="Y122" i="9"/>
  <c r="Y121" i="9"/>
  <c r="Y120" i="9"/>
  <c r="Y119" i="9"/>
  <c r="Y118" i="9"/>
  <c r="Y117" i="9"/>
  <c r="Y116" i="9"/>
  <c r="Y115" i="9"/>
  <c r="Y114" i="9"/>
  <c r="AA103" i="9"/>
  <c r="AA102" i="9"/>
  <c r="AA101" i="9"/>
  <c r="AA100" i="9"/>
  <c r="AA99" i="9"/>
  <c r="AA98" i="9"/>
  <c r="Y103" i="9"/>
  <c r="Y102" i="9"/>
  <c r="Y101" i="9"/>
  <c r="Y100" i="9"/>
  <c r="Y99" i="9"/>
  <c r="Y98" i="9"/>
  <c r="U313" i="12"/>
  <c r="T313" i="12"/>
  <c r="U312" i="12"/>
  <c r="T312" i="12"/>
  <c r="U311" i="12"/>
  <c r="T311" i="12"/>
  <c r="U310" i="12"/>
  <c r="T310" i="12"/>
  <c r="U309" i="12"/>
  <c r="T309" i="12"/>
  <c r="U308" i="12"/>
  <c r="T308" i="12"/>
  <c r="U307" i="12"/>
  <c r="T307" i="12"/>
  <c r="U306" i="12"/>
  <c r="T306" i="12"/>
  <c r="U305" i="12"/>
  <c r="T305" i="12"/>
  <c r="U304" i="12"/>
  <c r="T304" i="12"/>
  <c r="U303" i="12"/>
  <c r="T303" i="12"/>
  <c r="U302" i="12"/>
  <c r="T302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G313" i="12"/>
  <c r="F313" i="12"/>
  <c r="E313" i="12"/>
  <c r="D313" i="12"/>
  <c r="S312" i="12"/>
  <c r="R312" i="12"/>
  <c r="Q312" i="12"/>
  <c r="P312" i="12"/>
  <c r="O312" i="12"/>
  <c r="N312" i="12"/>
  <c r="M312" i="12"/>
  <c r="L312" i="12"/>
  <c r="K312" i="12"/>
  <c r="J312" i="12"/>
  <c r="I312" i="12"/>
  <c r="H312" i="12"/>
  <c r="G312" i="12"/>
  <c r="F312" i="12"/>
  <c r="E312" i="12"/>
  <c r="D312" i="12"/>
  <c r="S311" i="12"/>
  <c r="R311" i="12"/>
  <c r="Q311" i="12"/>
  <c r="P311" i="12"/>
  <c r="O311" i="12"/>
  <c r="N311" i="12"/>
  <c r="M311" i="12"/>
  <c r="L311" i="12"/>
  <c r="K311" i="12"/>
  <c r="J311" i="12"/>
  <c r="I311" i="12"/>
  <c r="H311" i="12"/>
  <c r="G311" i="12"/>
  <c r="F311" i="12"/>
  <c r="E311" i="12"/>
  <c r="D311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G309" i="12"/>
  <c r="F309" i="12"/>
  <c r="E309" i="12"/>
  <c r="D309" i="12"/>
  <c r="S308" i="12"/>
  <c r="R308" i="12"/>
  <c r="Q308" i="12"/>
  <c r="P308" i="12"/>
  <c r="O308" i="12"/>
  <c r="N308" i="12"/>
  <c r="M308" i="12"/>
  <c r="L308" i="12"/>
  <c r="K308" i="12"/>
  <c r="J308" i="12"/>
  <c r="I308" i="12"/>
  <c r="H308" i="12"/>
  <c r="G308" i="12"/>
  <c r="F308" i="12"/>
  <c r="E308" i="12"/>
  <c r="D308" i="12"/>
  <c r="S307" i="12"/>
  <c r="R307" i="12"/>
  <c r="Q307" i="12"/>
  <c r="P307" i="12"/>
  <c r="O307" i="12"/>
  <c r="N307" i="12"/>
  <c r="M307" i="12"/>
  <c r="L307" i="12"/>
  <c r="K307" i="12"/>
  <c r="AC307" i="12" s="1"/>
  <c r="J307" i="12"/>
  <c r="AA307" i="12" s="1"/>
  <c r="I307" i="12"/>
  <c r="H307" i="12"/>
  <c r="G307" i="12"/>
  <c r="F307" i="12"/>
  <c r="E307" i="12"/>
  <c r="D307" i="12"/>
  <c r="S306" i="12"/>
  <c r="R306" i="12"/>
  <c r="Q306" i="12"/>
  <c r="P306" i="12"/>
  <c r="O306" i="12"/>
  <c r="N306" i="12"/>
  <c r="M306" i="12"/>
  <c r="L306" i="12"/>
  <c r="K306" i="12"/>
  <c r="AC306" i="12" s="1"/>
  <c r="J306" i="12"/>
  <c r="AA306" i="12" s="1"/>
  <c r="I306" i="12"/>
  <c r="H306" i="12"/>
  <c r="G306" i="12"/>
  <c r="F306" i="12"/>
  <c r="E306" i="12"/>
  <c r="D306" i="12"/>
  <c r="S305" i="12"/>
  <c r="R305" i="12"/>
  <c r="Q305" i="12"/>
  <c r="P305" i="12"/>
  <c r="O305" i="12"/>
  <c r="N305" i="12"/>
  <c r="M305" i="12"/>
  <c r="L305" i="12"/>
  <c r="K305" i="12"/>
  <c r="AC305" i="12" s="1"/>
  <c r="J305" i="12"/>
  <c r="AA305" i="12" s="1"/>
  <c r="I305" i="12"/>
  <c r="H305" i="12"/>
  <c r="G305" i="12"/>
  <c r="F305" i="12"/>
  <c r="E305" i="12"/>
  <c r="D305" i="12"/>
  <c r="S304" i="12"/>
  <c r="R304" i="12"/>
  <c r="Q304" i="12"/>
  <c r="P304" i="12"/>
  <c r="O304" i="12"/>
  <c r="N304" i="12"/>
  <c r="M304" i="12"/>
  <c r="L304" i="12"/>
  <c r="K304" i="12"/>
  <c r="AC304" i="12" s="1"/>
  <c r="J304" i="12"/>
  <c r="AA304" i="12" s="1"/>
  <c r="I304" i="12"/>
  <c r="H304" i="12"/>
  <c r="G304" i="12"/>
  <c r="F304" i="12"/>
  <c r="E304" i="12"/>
  <c r="D304" i="12"/>
  <c r="S303" i="12"/>
  <c r="R303" i="12"/>
  <c r="Q303" i="12"/>
  <c r="P303" i="12"/>
  <c r="O303" i="12"/>
  <c r="N303" i="12"/>
  <c r="M303" i="12"/>
  <c r="L303" i="12"/>
  <c r="K303" i="12"/>
  <c r="AC303" i="12" s="1"/>
  <c r="J303" i="12"/>
  <c r="AA303" i="12" s="1"/>
  <c r="I303" i="12"/>
  <c r="H303" i="12"/>
  <c r="G303" i="12"/>
  <c r="F303" i="12"/>
  <c r="E303" i="12"/>
  <c r="D303" i="12"/>
  <c r="S302" i="12"/>
  <c r="R302" i="12"/>
  <c r="Q302" i="12"/>
  <c r="P302" i="12"/>
  <c r="O302" i="12"/>
  <c r="N302" i="12"/>
  <c r="M302" i="12"/>
  <c r="L302" i="12"/>
  <c r="K302" i="12"/>
  <c r="AC302" i="12" s="1"/>
  <c r="J302" i="12"/>
  <c r="AA302" i="12" s="1"/>
  <c r="I302" i="12"/>
  <c r="H302" i="12"/>
  <c r="G302" i="12"/>
  <c r="F302" i="12"/>
  <c r="E302" i="12"/>
  <c r="J275" i="12"/>
  <c r="J274" i="12"/>
  <c r="J296" i="12"/>
  <c r="J295" i="12"/>
  <c r="D302" i="12"/>
  <c r="M316" i="12" l="1"/>
  <c r="L316" i="12"/>
  <c r="L296" i="12" s="1"/>
  <c r="M107" i="12"/>
  <c r="M86" i="12"/>
  <c r="M296" i="12"/>
  <c r="M65" i="12"/>
  <c r="M23" i="12"/>
  <c r="M44" i="12"/>
  <c r="M317" i="12"/>
  <c r="M149" i="12"/>
  <c r="M170" i="12"/>
  <c r="M191" i="12"/>
  <c r="AB294" i="12"/>
  <c r="Z294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D294" i="12"/>
  <c r="AU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U292" i="12"/>
  <c r="T292" i="12"/>
  <c r="AU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U291" i="12"/>
  <c r="T291" i="12"/>
  <c r="AU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U290" i="12"/>
  <c r="T290" i="12"/>
  <c r="AU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U289" i="12"/>
  <c r="T289" i="12"/>
  <c r="AU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U288" i="12"/>
  <c r="T288" i="12"/>
  <c r="AU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U287" i="12"/>
  <c r="T287" i="12"/>
  <c r="AU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C294" i="12"/>
  <c r="AA294" i="12"/>
  <c r="U286" i="12"/>
  <c r="T286" i="12"/>
  <c r="AU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G285" i="12"/>
  <c r="U285" i="12"/>
  <c r="T285" i="12"/>
  <c r="AU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G284" i="12"/>
  <c r="U284" i="12"/>
  <c r="T284" i="12"/>
  <c r="AU283" i="12"/>
  <c r="AR283" i="12"/>
  <c r="AQ283" i="12"/>
  <c r="AP283" i="12"/>
  <c r="AO283" i="12"/>
  <c r="AN283" i="12"/>
  <c r="AM283" i="12"/>
  <c r="AL283" i="12"/>
  <c r="AK283" i="12"/>
  <c r="AJ283" i="12"/>
  <c r="AI283" i="12"/>
  <c r="AH283" i="12"/>
  <c r="AG283" i="12"/>
  <c r="AU282" i="12"/>
  <c r="AR282" i="12"/>
  <c r="AQ282" i="12"/>
  <c r="AP282" i="12"/>
  <c r="AO282" i="12"/>
  <c r="AN282" i="12"/>
  <c r="AM282" i="12"/>
  <c r="AL282" i="12"/>
  <c r="AK282" i="12"/>
  <c r="AJ282" i="12"/>
  <c r="AI282" i="12"/>
  <c r="AH282" i="12"/>
  <c r="AG282" i="12"/>
  <c r="AU281" i="12"/>
  <c r="AR281" i="12"/>
  <c r="AQ281" i="12"/>
  <c r="AP281" i="12"/>
  <c r="AO281" i="12"/>
  <c r="AN281" i="12"/>
  <c r="AM281" i="12"/>
  <c r="AL281" i="12"/>
  <c r="AK281" i="12"/>
  <c r="AJ281" i="12"/>
  <c r="AI281" i="12"/>
  <c r="AH281" i="12"/>
  <c r="AG281" i="12"/>
  <c r="U295" i="12" l="1"/>
  <c r="U296" i="12" s="1"/>
  <c r="T295" i="12"/>
  <c r="T296" i="12" s="1"/>
  <c r="AT290" i="12"/>
  <c r="AW290" i="12" s="1"/>
  <c r="AS290" i="12"/>
  <c r="AV290" i="12" s="1"/>
  <c r="AS285" i="12"/>
  <c r="AV285" i="12" s="1"/>
  <c r="AS287" i="12"/>
  <c r="AV287" i="12" s="1"/>
  <c r="AT292" i="12"/>
  <c r="AW292" i="12" s="1"/>
  <c r="AS288" i="12"/>
  <c r="AV288" i="12" s="1"/>
  <c r="AS292" i="12"/>
  <c r="AV292" i="12" s="1"/>
  <c r="AS286" i="12"/>
  <c r="AV286" i="12" s="1"/>
  <c r="AS291" i="12"/>
  <c r="AV291" i="12" s="1"/>
  <c r="AS289" i="12"/>
  <c r="AV289" i="12" s="1"/>
  <c r="AT288" i="12"/>
  <c r="AW288" i="12" s="1"/>
  <c r="AT289" i="12"/>
  <c r="AW289" i="12" s="1"/>
  <c r="AT285" i="12"/>
  <c r="AW285" i="12" s="1"/>
  <c r="AT287" i="12"/>
  <c r="AW287" i="12" s="1"/>
  <c r="AT286" i="12"/>
  <c r="AW286" i="12" s="1"/>
  <c r="AT291" i="12"/>
  <c r="AW291" i="12" s="1"/>
  <c r="AM294" i="12"/>
  <c r="AN294" i="12"/>
  <c r="AS284" i="12"/>
  <c r="AV284" i="12" s="1"/>
  <c r="AT284" i="12"/>
  <c r="AW284" i="12" s="1"/>
  <c r="AS282" i="12"/>
  <c r="AV282" i="12" s="1"/>
  <c r="AS281" i="12"/>
  <c r="AV281" i="12" s="1"/>
  <c r="AH294" i="12"/>
  <c r="AP294" i="12"/>
  <c r="AI294" i="12"/>
  <c r="AQ294" i="12"/>
  <c r="AS283" i="12"/>
  <c r="AV283" i="12" s="1"/>
  <c r="AT281" i="12"/>
  <c r="AR294" i="12"/>
  <c r="AT283" i="12"/>
  <c r="AW283" i="12" s="1"/>
  <c r="AG294" i="12"/>
  <c r="AK294" i="12"/>
  <c r="AL294" i="12"/>
  <c r="T294" i="12"/>
  <c r="U294" i="12"/>
  <c r="AT282" i="12"/>
  <c r="AW282" i="12" s="1"/>
  <c r="AO294" i="12"/>
  <c r="AJ294" i="12"/>
  <c r="AH124" i="12"/>
  <c r="AG124" i="12"/>
  <c r="AH123" i="12"/>
  <c r="AG123" i="12"/>
  <c r="AH122" i="12"/>
  <c r="AG122" i="12"/>
  <c r="AH121" i="12"/>
  <c r="AG121" i="12"/>
  <c r="AH120" i="12"/>
  <c r="AG120" i="12"/>
  <c r="AH119" i="12"/>
  <c r="AG119" i="12"/>
  <c r="AH118" i="12"/>
  <c r="AG118" i="12"/>
  <c r="AH117" i="12"/>
  <c r="AG117" i="12"/>
  <c r="AH116" i="12"/>
  <c r="AG116" i="12"/>
  <c r="AH115" i="12"/>
  <c r="AG115" i="12"/>
  <c r="AH114" i="12"/>
  <c r="AG114" i="12"/>
  <c r="AH113" i="12"/>
  <c r="AG113" i="12"/>
  <c r="AR271" i="12"/>
  <c r="AQ271" i="12"/>
  <c r="AP271" i="12"/>
  <c r="AO271" i="12"/>
  <c r="AN271" i="12"/>
  <c r="AM271" i="12"/>
  <c r="AL271" i="12"/>
  <c r="AK271" i="12"/>
  <c r="AJ271" i="12"/>
  <c r="AI271" i="12"/>
  <c r="AH271" i="12"/>
  <c r="AG271" i="12"/>
  <c r="AR270" i="12"/>
  <c r="AQ270" i="12"/>
  <c r="AP270" i="12"/>
  <c r="AO270" i="12"/>
  <c r="AN270" i="12"/>
  <c r="AM270" i="12"/>
  <c r="AL270" i="12"/>
  <c r="AK270" i="12"/>
  <c r="AJ270" i="12"/>
  <c r="AI270" i="12"/>
  <c r="AH270" i="12"/>
  <c r="AG270" i="12"/>
  <c r="AR269" i="12"/>
  <c r="AQ269" i="12"/>
  <c r="AP269" i="12"/>
  <c r="AO269" i="12"/>
  <c r="AN269" i="12"/>
  <c r="AM269" i="12"/>
  <c r="AL269" i="12"/>
  <c r="AK269" i="12"/>
  <c r="AJ269" i="12"/>
  <c r="AI269" i="12"/>
  <c r="AH269" i="12"/>
  <c r="AG269" i="12"/>
  <c r="AR268" i="12"/>
  <c r="AQ268" i="12"/>
  <c r="AP268" i="12"/>
  <c r="AO268" i="12"/>
  <c r="AN268" i="12"/>
  <c r="AM268" i="12"/>
  <c r="AL268" i="12"/>
  <c r="AK268" i="12"/>
  <c r="AJ268" i="12"/>
  <c r="AI268" i="12"/>
  <c r="AH268" i="12"/>
  <c r="AG268" i="12"/>
  <c r="AR267" i="12"/>
  <c r="AQ267" i="12"/>
  <c r="AP267" i="12"/>
  <c r="AO267" i="12"/>
  <c r="AN267" i="12"/>
  <c r="AM267" i="12"/>
  <c r="AL267" i="12"/>
  <c r="AK267" i="12"/>
  <c r="AJ267" i="12"/>
  <c r="AI267" i="12"/>
  <c r="AH267" i="12"/>
  <c r="AG267" i="12"/>
  <c r="AR266" i="12"/>
  <c r="AQ266" i="12"/>
  <c r="AP266" i="12"/>
  <c r="AO266" i="12"/>
  <c r="AN266" i="12"/>
  <c r="AM266" i="12"/>
  <c r="AL266" i="12"/>
  <c r="AK266" i="12"/>
  <c r="AJ266" i="12"/>
  <c r="AI266" i="12"/>
  <c r="AH266" i="12"/>
  <c r="AG266" i="12"/>
  <c r="AR265" i="12"/>
  <c r="AQ265" i="12"/>
  <c r="AP265" i="12"/>
  <c r="AO265" i="12"/>
  <c r="AN265" i="12"/>
  <c r="AM265" i="12"/>
  <c r="AL265" i="12"/>
  <c r="AK265" i="12"/>
  <c r="AJ265" i="12"/>
  <c r="AI265" i="12"/>
  <c r="AH265" i="12"/>
  <c r="AG265" i="12"/>
  <c r="AR264" i="12"/>
  <c r="AQ264" i="12"/>
  <c r="AP264" i="12"/>
  <c r="AO264" i="12"/>
  <c r="AN264" i="12"/>
  <c r="AM264" i="12"/>
  <c r="AL264" i="12"/>
  <c r="AK264" i="12"/>
  <c r="AJ264" i="12"/>
  <c r="AI264" i="12"/>
  <c r="AH264" i="12"/>
  <c r="AG264" i="12"/>
  <c r="AR263" i="12"/>
  <c r="AQ263" i="12"/>
  <c r="AP263" i="12"/>
  <c r="AO263" i="12"/>
  <c r="AN263" i="12"/>
  <c r="AM263" i="12"/>
  <c r="AL263" i="12"/>
  <c r="AK263" i="12"/>
  <c r="AJ263" i="12"/>
  <c r="AI263" i="12"/>
  <c r="AH263" i="12"/>
  <c r="AG263" i="12"/>
  <c r="AR262" i="12"/>
  <c r="AQ262" i="12"/>
  <c r="AP262" i="12"/>
  <c r="AO262" i="12"/>
  <c r="AN262" i="12"/>
  <c r="AM262" i="12"/>
  <c r="AL262" i="12"/>
  <c r="AK262" i="12"/>
  <c r="AJ262" i="12"/>
  <c r="AI262" i="12"/>
  <c r="AH262" i="12"/>
  <c r="AG262" i="12"/>
  <c r="AR261" i="12"/>
  <c r="AQ261" i="12"/>
  <c r="AP261" i="12"/>
  <c r="AO261" i="12"/>
  <c r="AN261" i="12"/>
  <c r="AM261" i="12"/>
  <c r="AL261" i="12"/>
  <c r="AK261" i="12"/>
  <c r="AJ261" i="12"/>
  <c r="AI261" i="12"/>
  <c r="AH261" i="12"/>
  <c r="AG261" i="12"/>
  <c r="AR260" i="12"/>
  <c r="AQ260" i="12"/>
  <c r="AP260" i="12"/>
  <c r="AO260" i="12"/>
  <c r="AN260" i="12"/>
  <c r="AM260" i="12"/>
  <c r="AL260" i="12"/>
  <c r="AK260" i="12"/>
  <c r="AJ260" i="12"/>
  <c r="AI260" i="12"/>
  <c r="AH260" i="12"/>
  <c r="AG260" i="12"/>
  <c r="AR250" i="12"/>
  <c r="AQ250" i="12"/>
  <c r="AP250" i="12"/>
  <c r="AO250" i="12"/>
  <c r="AN250" i="12"/>
  <c r="AM250" i="12"/>
  <c r="AL250" i="12"/>
  <c r="AK250" i="12"/>
  <c r="AJ250" i="12"/>
  <c r="AI250" i="12"/>
  <c r="AH250" i="12"/>
  <c r="AG250" i="12"/>
  <c r="AR249" i="12"/>
  <c r="AQ249" i="12"/>
  <c r="AP249" i="12"/>
  <c r="AO249" i="12"/>
  <c r="AN249" i="12"/>
  <c r="AM249" i="12"/>
  <c r="AL249" i="12"/>
  <c r="AK249" i="12"/>
  <c r="AJ249" i="12"/>
  <c r="AI249" i="12"/>
  <c r="AH249" i="12"/>
  <c r="AG249" i="12"/>
  <c r="AR248" i="12"/>
  <c r="AQ248" i="12"/>
  <c r="AP248" i="12"/>
  <c r="AO248" i="12"/>
  <c r="AN248" i="12"/>
  <c r="AM248" i="12"/>
  <c r="AL248" i="12"/>
  <c r="AK248" i="12"/>
  <c r="AJ248" i="12"/>
  <c r="AI248" i="12"/>
  <c r="AH248" i="12"/>
  <c r="AG248" i="12"/>
  <c r="AR247" i="12"/>
  <c r="AQ247" i="12"/>
  <c r="AP247" i="12"/>
  <c r="AO247" i="12"/>
  <c r="AN247" i="12"/>
  <c r="AM247" i="12"/>
  <c r="AL247" i="12"/>
  <c r="AK247" i="12"/>
  <c r="AJ247" i="12"/>
  <c r="AI247" i="12"/>
  <c r="AH247" i="12"/>
  <c r="AG247" i="12"/>
  <c r="AR246" i="12"/>
  <c r="AQ246" i="12"/>
  <c r="AP246" i="12"/>
  <c r="AO246" i="12"/>
  <c r="AN246" i="12"/>
  <c r="AM246" i="12"/>
  <c r="AL246" i="12"/>
  <c r="AK246" i="12"/>
  <c r="AJ246" i="12"/>
  <c r="AI246" i="12"/>
  <c r="AH246" i="12"/>
  <c r="AG246" i="12"/>
  <c r="AR245" i="12"/>
  <c r="AQ245" i="12"/>
  <c r="AP245" i="12"/>
  <c r="AO245" i="12"/>
  <c r="AN245" i="12"/>
  <c r="AM245" i="12"/>
  <c r="AL245" i="12"/>
  <c r="AK245" i="12"/>
  <c r="AJ245" i="12"/>
  <c r="AI245" i="12"/>
  <c r="AH245" i="12"/>
  <c r="AG245" i="12"/>
  <c r="AR244" i="12"/>
  <c r="AQ244" i="12"/>
  <c r="AP244" i="12"/>
  <c r="AO244" i="12"/>
  <c r="AN244" i="12"/>
  <c r="AM244" i="12"/>
  <c r="AL244" i="12"/>
  <c r="AK244" i="12"/>
  <c r="AJ244" i="12"/>
  <c r="AI244" i="12"/>
  <c r="AH244" i="12"/>
  <c r="AG244" i="12"/>
  <c r="AR243" i="12"/>
  <c r="AQ243" i="12"/>
  <c r="AP243" i="12"/>
  <c r="AO243" i="12"/>
  <c r="AN243" i="12"/>
  <c r="AM243" i="12"/>
  <c r="AL243" i="12"/>
  <c r="AK243" i="12"/>
  <c r="AJ243" i="12"/>
  <c r="AI243" i="12"/>
  <c r="AH243" i="12"/>
  <c r="AG243" i="12"/>
  <c r="AR242" i="12"/>
  <c r="AQ242" i="12"/>
  <c r="AP242" i="12"/>
  <c r="AO242" i="12"/>
  <c r="AN242" i="12"/>
  <c r="AM242" i="12"/>
  <c r="AL242" i="12"/>
  <c r="AK242" i="12"/>
  <c r="AJ242" i="12"/>
  <c r="AI242" i="12"/>
  <c r="AH242" i="12"/>
  <c r="AG242" i="12"/>
  <c r="AR241" i="12"/>
  <c r="AQ241" i="12"/>
  <c r="AP241" i="12"/>
  <c r="AO241" i="12"/>
  <c r="AN241" i="12"/>
  <c r="AM241" i="12"/>
  <c r="AL241" i="12"/>
  <c r="AK241" i="12"/>
  <c r="AJ241" i="12"/>
  <c r="AI241" i="12"/>
  <c r="AH241" i="12"/>
  <c r="AG241" i="12"/>
  <c r="AR240" i="12"/>
  <c r="AQ240" i="12"/>
  <c r="AP240" i="12"/>
  <c r="AO240" i="12"/>
  <c r="AN240" i="12"/>
  <c r="AM240" i="12"/>
  <c r="AL240" i="12"/>
  <c r="AK240" i="12"/>
  <c r="AJ240" i="12"/>
  <c r="AI240" i="12"/>
  <c r="AH240" i="12"/>
  <c r="AG240" i="12"/>
  <c r="AR239" i="12"/>
  <c r="AQ239" i="12"/>
  <c r="AP239" i="12"/>
  <c r="AO239" i="12"/>
  <c r="AN239" i="12"/>
  <c r="AM239" i="12"/>
  <c r="AL239" i="12"/>
  <c r="AK239" i="12"/>
  <c r="AJ239" i="12"/>
  <c r="AI239" i="12"/>
  <c r="AH239" i="12"/>
  <c r="AG239" i="12"/>
  <c r="AR229" i="12"/>
  <c r="AQ229" i="12"/>
  <c r="AP229" i="12"/>
  <c r="AO229" i="12"/>
  <c r="AN229" i="12"/>
  <c r="AM229" i="12"/>
  <c r="AL229" i="12"/>
  <c r="AK229" i="12"/>
  <c r="AJ229" i="12"/>
  <c r="AI229" i="12"/>
  <c r="AH229" i="12"/>
  <c r="AG229" i="12"/>
  <c r="AR228" i="12"/>
  <c r="AQ228" i="12"/>
  <c r="AP228" i="12"/>
  <c r="AO228" i="12"/>
  <c r="AN228" i="12"/>
  <c r="AM228" i="12"/>
  <c r="AL228" i="12"/>
  <c r="AK228" i="12"/>
  <c r="AJ228" i="12"/>
  <c r="AI228" i="12"/>
  <c r="AH228" i="12"/>
  <c r="AG228" i="12"/>
  <c r="AR227" i="12"/>
  <c r="AQ227" i="12"/>
  <c r="AP227" i="12"/>
  <c r="AO227" i="12"/>
  <c r="AN227" i="12"/>
  <c r="AM227" i="12"/>
  <c r="AL227" i="12"/>
  <c r="AK227" i="12"/>
  <c r="AJ227" i="12"/>
  <c r="AI227" i="12"/>
  <c r="AH227" i="12"/>
  <c r="AG227" i="12"/>
  <c r="AR226" i="12"/>
  <c r="AQ226" i="12"/>
  <c r="AP226" i="12"/>
  <c r="AO226" i="12"/>
  <c r="AN226" i="12"/>
  <c r="AM226" i="12"/>
  <c r="AL226" i="12"/>
  <c r="AK226" i="12"/>
  <c r="AJ226" i="12"/>
  <c r="AI226" i="12"/>
  <c r="AH226" i="12"/>
  <c r="AG226" i="12"/>
  <c r="AR225" i="12"/>
  <c r="AQ225" i="12"/>
  <c r="AP225" i="12"/>
  <c r="AO225" i="12"/>
  <c r="AN225" i="12"/>
  <c r="AM225" i="12"/>
  <c r="AL225" i="12"/>
  <c r="AK225" i="12"/>
  <c r="AJ225" i="12"/>
  <c r="AI225" i="12"/>
  <c r="AH225" i="12"/>
  <c r="AG225" i="12"/>
  <c r="AR224" i="12"/>
  <c r="AQ224" i="12"/>
  <c r="AP224" i="12"/>
  <c r="AO224" i="12"/>
  <c r="AN224" i="12"/>
  <c r="AM224" i="12"/>
  <c r="AL224" i="12"/>
  <c r="AK224" i="12"/>
  <c r="AJ224" i="12"/>
  <c r="AI224" i="12"/>
  <c r="AH224" i="12"/>
  <c r="AG224" i="12"/>
  <c r="AR223" i="12"/>
  <c r="AQ223" i="12"/>
  <c r="AP223" i="12"/>
  <c r="AO223" i="12"/>
  <c r="AN223" i="12"/>
  <c r="AM223" i="12"/>
  <c r="AL223" i="12"/>
  <c r="AK223" i="12"/>
  <c r="AJ223" i="12"/>
  <c r="AI223" i="12"/>
  <c r="AH223" i="12"/>
  <c r="AG223" i="12"/>
  <c r="AR222" i="12"/>
  <c r="AQ222" i="12"/>
  <c r="AP222" i="12"/>
  <c r="AO222" i="12"/>
  <c r="AN222" i="12"/>
  <c r="AM222" i="12"/>
  <c r="AL222" i="12"/>
  <c r="AK222" i="12"/>
  <c r="AJ222" i="12"/>
  <c r="AI222" i="12"/>
  <c r="AH222" i="12"/>
  <c r="AG222" i="12"/>
  <c r="AR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R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R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R218" i="12"/>
  <c r="AQ218" i="12"/>
  <c r="AP218" i="12"/>
  <c r="AO218" i="12"/>
  <c r="AN218" i="12"/>
  <c r="AM218" i="12"/>
  <c r="AL218" i="12"/>
  <c r="AK218" i="12"/>
  <c r="AJ218" i="12"/>
  <c r="AI218" i="12"/>
  <c r="AH218" i="12"/>
  <c r="AG218" i="12"/>
  <c r="AR208" i="12"/>
  <c r="AQ208" i="12"/>
  <c r="AP208" i="12"/>
  <c r="AO208" i="12"/>
  <c r="AN208" i="12"/>
  <c r="AM208" i="12"/>
  <c r="AL208" i="12"/>
  <c r="AK208" i="12"/>
  <c r="AJ208" i="12"/>
  <c r="AI208" i="12"/>
  <c r="AH208" i="12"/>
  <c r="AG208" i="12"/>
  <c r="AR207" i="12"/>
  <c r="AQ207" i="12"/>
  <c r="AP207" i="12"/>
  <c r="AO207" i="12"/>
  <c r="AN207" i="12"/>
  <c r="AM207" i="12"/>
  <c r="AL207" i="12"/>
  <c r="AK207" i="12"/>
  <c r="AJ207" i="12"/>
  <c r="AI207" i="12"/>
  <c r="AH207" i="12"/>
  <c r="AG207" i="12"/>
  <c r="AR206" i="12"/>
  <c r="AQ206" i="12"/>
  <c r="AP206" i="12"/>
  <c r="AO206" i="12"/>
  <c r="AN206" i="12"/>
  <c r="AM206" i="12"/>
  <c r="AL206" i="12"/>
  <c r="AK206" i="12"/>
  <c r="AJ206" i="12"/>
  <c r="AI206" i="12"/>
  <c r="AH206" i="12"/>
  <c r="AG206" i="12"/>
  <c r="AR205" i="12"/>
  <c r="AQ205" i="12"/>
  <c r="AP205" i="12"/>
  <c r="AO205" i="12"/>
  <c r="AN205" i="12"/>
  <c r="AM205" i="12"/>
  <c r="AL205" i="12"/>
  <c r="AK205" i="12"/>
  <c r="AJ205" i="12"/>
  <c r="AI205" i="12"/>
  <c r="AH205" i="12"/>
  <c r="AG205" i="12"/>
  <c r="AR204" i="12"/>
  <c r="AQ204" i="12"/>
  <c r="AP204" i="12"/>
  <c r="AO204" i="12"/>
  <c r="AN204" i="12"/>
  <c r="AM204" i="12"/>
  <c r="AL204" i="12"/>
  <c r="AK204" i="12"/>
  <c r="AJ204" i="12"/>
  <c r="AI204" i="12"/>
  <c r="AH204" i="12"/>
  <c r="AG204" i="12"/>
  <c r="AR203" i="12"/>
  <c r="AQ203" i="12"/>
  <c r="AP203" i="12"/>
  <c r="AO203" i="12"/>
  <c r="AN203" i="12"/>
  <c r="AM203" i="12"/>
  <c r="AL203" i="12"/>
  <c r="AK203" i="12"/>
  <c r="AJ203" i="12"/>
  <c r="AI203" i="12"/>
  <c r="AH203" i="12"/>
  <c r="AG203" i="12"/>
  <c r="AR202" i="12"/>
  <c r="AQ202" i="12"/>
  <c r="AP202" i="12"/>
  <c r="AO202" i="12"/>
  <c r="AN202" i="12"/>
  <c r="AM202" i="12"/>
  <c r="AL202" i="12"/>
  <c r="AK202" i="12"/>
  <c r="AJ202" i="12"/>
  <c r="AI202" i="12"/>
  <c r="AH202" i="12"/>
  <c r="AG202" i="12"/>
  <c r="AR201" i="12"/>
  <c r="AQ201" i="12"/>
  <c r="AP201" i="12"/>
  <c r="AO201" i="12"/>
  <c r="AN201" i="12"/>
  <c r="AM201" i="12"/>
  <c r="AL201" i="12"/>
  <c r="AK201" i="12"/>
  <c r="AJ201" i="12"/>
  <c r="AI201" i="12"/>
  <c r="AH201" i="12"/>
  <c r="AG201" i="12"/>
  <c r="AR200" i="12"/>
  <c r="AQ200" i="12"/>
  <c r="AP200" i="12"/>
  <c r="AO200" i="12"/>
  <c r="AN200" i="12"/>
  <c r="AM200" i="12"/>
  <c r="AL200" i="12"/>
  <c r="AK200" i="12"/>
  <c r="AJ200" i="12"/>
  <c r="AI200" i="12"/>
  <c r="AH200" i="12"/>
  <c r="AG200" i="12"/>
  <c r="AR199" i="12"/>
  <c r="AQ199" i="12"/>
  <c r="AP199" i="12"/>
  <c r="AO199" i="12"/>
  <c r="AN199" i="12"/>
  <c r="AM199" i="12"/>
  <c r="AL199" i="12"/>
  <c r="AK199" i="12"/>
  <c r="AJ199" i="12"/>
  <c r="AI199" i="12"/>
  <c r="AH199" i="12"/>
  <c r="AG199" i="12"/>
  <c r="AR198" i="12"/>
  <c r="AQ198" i="12"/>
  <c r="AP198" i="12"/>
  <c r="AO198" i="12"/>
  <c r="AN198" i="12"/>
  <c r="AM198" i="12"/>
  <c r="AL198" i="12"/>
  <c r="AK198" i="12"/>
  <c r="AJ198" i="12"/>
  <c r="AI198" i="12"/>
  <c r="AH198" i="12"/>
  <c r="AG198" i="12"/>
  <c r="AR197" i="12"/>
  <c r="AQ197" i="12"/>
  <c r="AP197" i="12"/>
  <c r="AO197" i="12"/>
  <c r="AN197" i="12"/>
  <c r="AM197" i="12"/>
  <c r="AL197" i="12"/>
  <c r="AK197" i="12"/>
  <c r="AJ197" i="12"/>
  <c r="AI197" i="12"/>
  <c r="AH197" i="12"/>
  <c r="AG197" i="12"/>
  <c r="AR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R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R184" i="12"/>
  <c r="AQ184" i="12"/>
  <c r="AP184" i="12"/>
  <c r="AO184" i="12"/>
  <c r="AN184" i="12"/>
  <c r="AM184" i="12"/>
  <c r="AL184" i="12"/>
  <c r="AK184" i="12"/>
  <c r="AJ184" i="12"/>
  <c r="AI184" i="12"/>
  <c r="AH184" i="12"/>
  <c r="AG184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R180" i="12"/>
  <c r="AQ180" i="12"/>
  <c r="AP180" i="12"/>
  <c r="AO180" i="12"/>
  <c r="AN180" i="12"/>
  <c r="AM180" i="12"/>
  <c r="AL180" i="12"/>
  <c r="AK180" i="12"/>
  <c r="AJ180" i="12"/>
  <c r="AI180" i="12"/>
  <c r="AH180" i="12"/>
  <c r="AG180" i="12"/>
  <c r="AR179" i="12"/>
  <c r="AQ179" i="12"/>
  <c r="AP179" i="12"/>
  <c r="AO179" i="12"/>
  <c r="AN179" i="12"/>
  <c r="AM179" i="12"/>
  <c r="AL179" i="12"/>
  <c r="AK179" i="12"/>
  <c r="AJ179" i="12"/>
  <c r="AI179" i="12"/>
  <c r="AH179" i="12"/>
  <c r="AG179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R166" i="12"/>
  <c r="AQ166" i="12"/>
  <c r="AP166" i="12"/>
  <c r="AO166" i="12"/>
  <c r="AN166" i="12"/>
  <c r="AM166" i="12"/>
  <c r="AL166" i="12"/>
  <c r="AK166" i="12"/>
  <c r="AJ166" i="12"/>
  <c r="AI166" i="12"/>
  <c r="AH166" i="12"/>
  <c r="AG166" i="12"/>
  <c r="AR165" i="12"/>
  <c r="AQ165" i="12"/>
  <c r="AP165" i="12"/>
  <c r="AO165" i="12"/>
  <c r="AN165" i="12"/>
  <c r="AM165" i="12"/>
  <c r="AL165" i="12"/>
  <c r="AK165" i="12"/>
  <c r="AJ165" i="12"/>
  <c r="AI165" i="12"/>
  <c r="AH165" i="12"/>
  <c r="AG165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R162" i="12"/>
  <c r="AQ162" i="12"/>
  <c r="AP162" i="12"/>
  <c r="AO162" i="12"/>
  <c r="AN162" i="12"/>
  <c r="AM162" i="12"/>
  <c r="AL162" i="12"/>
  <c r="AK162" i="12"/>
  <c r="AJ162" i="12"/>
  <c r="AI162" i="12"/>
  <c r="AH162" i="12"/>
  <c r="AG162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R159" i="12"/>
  <c r="AQ159" i="12"/>
  <c r="AP159" i="12"/>
  <c r="AO159" i="12"/>
  <c r="AN159" i="12"/>
  <c r="AM159" i="12"/>
  <c r="AL159" i="12"/>
  <c r="AK159" i="12"/>
  <c r="AJ159" i="12"/>
  <c r="AI159" i="12"/>
  <c r="AH159" i="12"/>
  <c r="AG159" i="12"/>
  <c r="AR158" i="12"/>
  <c r="AQ158" i="12"/>
  <c r="AP158" i="12"/>
  <c r="AO158" i="12"/>
  <c r="AN158" i="12"/>
  <c r="AM158" i="12"/>
  <c r="AL158" i="12"/>
  <c r="AK158" i="12"/>
  <c r="AJ158" i="12"/>
  <c r="AI158" i="12"/>
  <c r="AH158" i="12"/>
  <c r="AG158" i="12"/>
  <c r="AR157" i="12"/>
  <c r="AQ157" i="12"/>
  <c r="AP157" i="12"/>
  <c r="AO157" i="12"/>
  <c r="AN157" i="12"/>
  <c r="AM157" i="12"/>
  <c r="AL157" i="12"/>
  <c r="AK157" i="12"/>
  <c r="AJ157" i="12"/>
  <c r="AI157" i="12"/>
  <c r="AH157" i="12"/>
  <c r="AG157" i="12"/>
  <c r="AR156" i="12"/>
  <c r="AQ156" i="12"/>
  <c r="AP156" i="12"/>
  <c r="AO156" i="12"/>
  <c r="AN156" i="12"/>
  <c r="AM156" i="12"/>
  <c r="AL156" i="12"/>
  <c r="AK156" i="12"/>
  <c r="AJ156" i="12"/>
  <c r="AI156" i="12"/>
  <c r="AH156" i="12"/>
  <c r="AG156" i="12"/>
  <c r="AR155" i="12"/>
  <c r="AQ155" i="12"/>
  <c r="AP155" i="12"/>
  <c r="AO155" i="12"/>
  <c r="AN155" i="12"/>
  <c r="AM155" i="12"/>
  <c r="AL155" i="12"/>
  <c r="AK155" i="12"/>
  <c r="AJ155" i="12"/>
  <c r="AI155" i="12"/>
  <c r="AH155" i="12"/>
  <c r="AG155" i="12"/>
  <c r="AR145" i="12"/>
  <c r="AQ145" i="12"/>
  <c r="AP145" i="12"/>
  <c r="AO145" i="12"/>
  <c r="AN145" i="12"/>
  <c r="AM145" i="12"/>
  <c r="AL145" i="12"/>
  <c r="AK145" i="12"/>
  <c r="AJ145" i="12"/>
  <c r="AI145" i="12"/>
  <c r="AH145" i="12"/>
  <c r="AG145" i="12"/>
  <c r="AR144" i="12"/>
  <c r="AQ144" i="12"/>
  <c r="AP144" i="12"/>
  <c r="AO144" i="12"/>
  <c r="AN144" i="12"/>
  <c r="AM144" i="12"/>
  <c r="AL144" i="12"/>
  <c r="AK144" i="12"/>
  <c r="AJ144" i="12"/>
  <c r="AI144" i="12"/>
  <c r="AH144" i="12"/>
  <c r="AG144" i="12"/>
  <c r="AR143" i="12"/>
  <c r="AQ143" i="12"/>
  <c r="AP143" i="12"/>
  <c r="AO143" i="12"/>
  <c r="AN143" i="12"/>
  <c r="AM143" i="12"/>
  <c r="AL143" i="12"/>
  <c r="AK143" i="12"/>
  <c r="AJ143" i="12"/>
  <c r="AI143" i="12"/>
  <c r="AH143" i="12"/>
  <c r="AG143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R141" i="12"/>
  <c r="AQ141" i="12"/>
  <c r="AP141" i="12"/>
  <c r="AO141" i="12"/>
  <c r="AN141" i="12"/>
  <c r="AM141" i="12"/>
  <c r="AL141" i="12"/>
  <c r="AK141" i="12"/>
  <c r="AJ141" i="12"/>
  <c r="AI141" i="12"/>
  <c r="AH141" i="12"/>
  <c r="AG141" i="12"/>
  <c r="AR140" i="12"/>
  <c r="AQ140" i="12"/>
  <c r="AP140" i="12"/>
  <c r="AO140" i="12"/>
  <c r="AN140" i="12"/>
  <c r="AM140" i="12"/>
  <c r="AL140" i="12"/>
  <c r="AK140" i="12"/>
  <c r="AJ140" i="12"/>
  <c r="AI140" i="12"/>
  <c r="AH140" i="12"/>
  <c r="AG140" i="12"/>
  <c r="AR139" i="12"/>
  <c r="AQ139" i="12"/>
  <c r="AP139" i="12"/>
  <c r="AO139" i="12"/>
  <c r="AN139" i="12"/>
  <c r="AM139" i="12"/>
  <c r="AL139" i="12"/>
  <c r="AK139" i="12"/>
  <c r="AJ139" i="12"/>
  <c r="AI139" i="12"/>
  <c r="AH139" i="12"/>
  <c r="AG139" i="12"/>
  <c r="AR138" i="12"/>
  <c r="AQ138" i="12"/>
  <c r="AP138" i="12"/>
  <c r="AO138" i="12"/>
  <c r="AN138" i="12"/>
  <c r="AM138" i="12"/>
  <c r="AL138" i="12"/>
  <c r="AK138" i="12"/>
  <c r="AJ138" i="12"/>
  <c r="AI138" i="12"/>
  <c r="AH138" i="12"/>
  <c r="AG138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AR135" i="12"/>
  <c r="AQ135" i="12"/>
  <c r="AP135" i="12"/>
  <c r="AO135" i="12"/>
  <c r="AN135" i="12"/>
  <c r="AM135" i="12"/>
  <c r="AL135" i="12"/>
  <c r="AK135" i="12"/>
  <c r="AJ135" i="12"/>
  <c r="AI135" i="12"/>
  <c r="AH135" i="12"/>
  <c r="AG135" i="12"/>
  <c r="AR134" i="12"/>
  <c r="AQ134" i="12"/>
  <c r="AP134" i="12"/>
  <c r="AO134" i="12"/>
  <c r="AN134" i="12"/>
  <c r="AM134" i="12"/>
  <c r="AL134" i="12"/>
  <c r="AK134" i="12"/>
  <c r="AJ134" i="12"/>
  <c r="AI134" i="12"/>
  <c r="AH134" i="12"/>
  <c r="AG134" i="12"/>
  <c r="AR124" i="12"/>
  <c r="AQ124" i="12"/>
  <c r="AP124" i="12"/>
  <c r="AO124" i="12"/>
  <c r="AN124" i="12"/>
  <c r="AM124" i="12"/>
  <c r="AL124" i="12"/>
  <c r="AK124" i="12"/>
  <c r="AJ124" i="12"/>
  <c r="AI124" i="12"/>
  <c r="AR123" i="12"/>
  <c r="AQ123" i="12"/>
  <c r="AP123" i="12"/>
  <c r="AO123" i="12"/>
  <c r="AN123" i="12"/>
  <c r="AM123" i="12"/>
  <c r="AL123" i="12"/>
  <c r="AK123" i="12"/>
  <c r="AJ123" i="12"/>
  <c r="AI123" i="12"/>
  <c r="AR122" i="12"/>
  <c r="AQ122" i="12"/>
  <c r="AP122" i="12"/>
  <c r="AO122" i="12"/>
  <c r="AN122" i="12"/>
  <c r="AM122" i="12"/>
  <c r="AL122" i="12"/>
  <c r="AK122" i="12"/>
  <c r="AJ122" i="12"/>
  <c r="AI122" i="12"/>
  <c r="AR121" i="12"/>
  <c r="AQ121" i="12"/>
  <c r="AP121" i="12"/>
  <c r="AO121" i="12"/>
  <c r="AN121" i="12"/>
  <c r="AM121" i="12"/>
  <c r="AL121" i="12"/>
  <c r="AK121" i="12"/>
  <c r="AJ121" i="12"/>
  <c r="AI121" i="12"/>
  <c r="AR120" i="12"/>
  <c r="AQ120" i="12"/>
  <c r="AP120" i="12"/>
  <c r="AO120" i="12"/>
  <c r="AN120" i="12"/>
  <c r="AM120" i="12"/>
  <c r="AL120" i="12"/>
  <c r="AK120" i="12"/>
  <c r="AJ120" i="12"/>
  <c r="AI120" i="12"/>
  <c r="AR119" i="12"/>
  <c r="AQ119" i="12"/>
  <c r="AP119" i="12"/>
  <c r="AO119" i="12"/>
  <c r="AN119" i="12"/>
  <c r="AM119" i="12"/>
  <c r="AL119" i="12"/>
  <c r="AK119" i="12"/>
  <c r="AJ119" i="12"/>
  <c r="AI119" i="12"/>
  <c r="AR118" i="12"/>
  <c r="AQ118" i="12"/>
  <c r="AP118" i="12"/>
  <c r="AO118" i="12"/>
  <c r="AN118" i="12"/>
  <c r="AM118" i="12"/>
  <c r="AL118" i="12"/>
  <c r="AK118" i="12"/>
  <c r="AJ118" i="12"/>
  <c r="AI118" i="12"/>
  <c r="AR117" i="12"/>
  <c r="AQ117" i="12"/>
  <c r="AP117" i="12"/>
  <c r="AO117" i="12"/>
  <c r="AN117" i="12"/>
  <c r="AM117" i="12"/>
  <c r="AL117" i="12"/>
  <c r="AK117" i="12"/>
  <c r="AJ117" i="12"/>
  <c r="AI117" i="12"/>
  <c r="AR116" i="12"/>
  <c r="AQ116" i="12"/>
  <c r="AP116" i="12"/>
  <c r="AO116" i="12"/>
  <c r="AN116" i="12"/>
  <c r="AM116" i="12"/>
  <c r="AL116" i="12"/>
  <c r="AK116" i="12"/>
  <c r="AJ116" i="12"/>
  <c r="AI116" i="12"/>
  <c r="AR115" i="12"/>
  <c r="AQ115" i="12"/>
  <c r="AP115" i="12"/>
  <c r="AO115" i="12"/>
  <c r="AN115" i="12"/>
  <c r="AM115" i="12"/>
  <c r="AL115" i="12"/>
  <c r="AK115" i="12"/>
  <c r="AJ115" i="12"/>
  <c r="AI115" i="12"/>
  <c r="AR114" i="12"/>
  <c r="AQ114" i="12"/>
  <c r="AP114" i="12"/>
  <c r="AO114" i="12"/>
  <c r="AN114" i="12"/>
  <c r="AM114" i="12"/>
  <c r="AL114" i="12"/>
  <c r="AK114" i="12"/>
  <c r="AJ114" i="12"/>
  <c r="AI114" i="12"/>
  <c r="AR113" i="12"/>
  <c r="AQ113" i="12"/>
  <c r="AP113" i="12"/>
  <c r="AO113" i="12"/>
  <c r="AN113" i="12"/>
  <c r="AM113" i="12"/>
  <c r="AL113" i="12"/>
  <c r="AK113" i="12"/>
  <c r="AJ113" i="12"/>
  <c r="AI11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R102" i="12"/>
  <c r="AQ102" i="12"/>
  <c r="AP102" i="12"/>
  <c r="AO102" i="12"/>
  <c r="AN102" i="12"/>
  <c r="AM102" i="12"/>
  <c r="AL102" i="12"/>
  <c r="AK102" i="12"/>
  <c r="AJ102" i="12"/>
  <c r="AI102" i="12"/>
  <c r="AH102" i="12"/>
  <c r="AG102" i="12"/>
  <c r="AR101" i="12"/>
  <c r="AQ101" i="12"/>
  <c r="AP101" i="12"/>
  <c r="AO101" i="12"/>
  <c r="AN101" i="12"/>
  <c r="AM101" i="12"/>
  <c r="AL101" i="12"/>
  <c r="AK101" i="12"/>
  <c r="AJ101" i="12"/>
  <c r="AI101" i="12"/>
  <c r="AH101" i="12"/>
  <c r="AG101" i="12"/>
  <c r="AR100" i="12"/>
  <c r="AQ100" i="12"/>
  <c r="AP100" i="12"/>
  <c r="AO100" i="12"/>
  <c r="AN100" i="12"/>
  <c r="AM100" i="12"/>
  <c r="AL100" i="12"/>
  <c r="AK100" i="12"/>
  <c r="AJ100" i="12"/>
  <c r="AI100" i="12"/>
  <c r="AH100" i="12"/>
  <c r="AG100" i="12"/>
  <c r="AR99" i="12"/>
  <c r="AQ99" i="12"/>
  <c r="AP99" i="12"/>
  <c r="AO99" i="12"/>
  <c r="AN99" i="12"/>
  <c r="AM99" i="12"/>
  <c r="AL99" i="12"/>
  <c r="AK99" i="12"/>
  <c r="AJ99" i="12"/>
  <c r="AI99" i="12"/>
  <c r="AH99" i="12"/>
  <c r="AG99" i="12"/>
  <c r="AR98" i="12"/>
  <c r="AQ98" i="12"/>
  <c r="AP98" i="12"/>
  <c r="AO98" i="12"/>
  <c r="AN98" i="12"/>
  <c r="AM98" i="12"/>
  <c r="AL98" i="12"/>
  <c r="AK98" i="12"/>
  <c r="AJ98" i="12"/>
  <c r="AI98" i="12"/>
  <c r="AH98" i="12"/>
  <c r="AG98" i="12"/>
  <c r="AR97" i="12"/>
  <c r="AQ97" i="12"/>
  <c r="AP97" i="12"/>
  <c r="AO97" i="12"/>
  <c r="AN97" i="12"/>
  <c r="AM97" i="12"/>
  <c r="AL97" i="12"/>
  <c r="AK97" i="12"/>
  <c r="AJ97" i="12"/>
  <c r="AI97" i="12"/>
  <c r="AH97" i="12"/>
  <c r="AG97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R95" i="12"/>
  <c r="AQ95" i="12"/>
  <c r="AP95" i="12"/>
  <c r="AO95" i="12"/>
  <c r="AN95" i="12"/>
  <c r="AM95" i="12"/>
  <c r="AL95" i="12"/>
  <c r="AK95" i="12"/>
  <c r="AJ95" i="12"/>
  <c r="AI95" i="12"/>
  <c r="AH95" i="12"/>
  <c r="AG95" i="12"/>
  <c r="AR94" i="12"/>
  <c r="AQ94" i="12"/>
  <c r="AP94" i="12"/>
  <c r="AO94" i="12"/>
  <c r="AN94" i="12"/>
  <c r="AM94" i="12"/>
  <c r="AL94" i="12"/>
  <c r="AK94" i="12"/>
  <c r="AJ94" i="12"/>
  <c r="AI94" i="12"/>
  <c r="AH94" i="12"/>
  <c r="AG94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R82" i="12"/>
  <c r="AQ82" i="12"/>
  <c r="AP82" i="12"/>
  <c r="AO82" i="12"/>
  <c r="AN82" i="12"/>
  <c r="AM82" i="12"/>
  <c r="AL82" i="12"/>
  <c r="AK82" i="12"/>
  <c r="AJ82" i="12"/>
  <c r="AI82" i="12"/>
  <c r="AH82" i="12"/>
  <c r="AG82" i="12"/>
  <c r="AR81" i="12"/>
  <c r="AQ81" i="12"/>
  <c r="AP81" i="12"/>
  <c r="AO81" i="12"/>
  <c r="AN81" i="12"/>
  <c r="AM81" i="12"/>
  <c r="AL81" i="12"/>
  <c r="AK81" i="12"/>
  <c r="AJ81" i="12"/>
  <c r="AI81" i="12"/>
  <c r="AH81" i="12"/>
  <c r="AG81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R19" i="12"/>
  <c r="AQ19" i="12"/>
  <c r="AR18" i="12"/>
  <c r="AQ18" i="12"/>
  <c r="AR17" i="12"/>
  <c r="AQ17" i="12"/>
  <c r="AR16" i="12"/>
  <c r="AQ16" i="12"/>
  <c r="AR15" i="12"/>
  <c r="AQ15" i="12"/>
  <c r="AR14" i="12"/>
  <c r="AQ14" i="12"/>
  <c r="AR13" i="12"/>
  <c r="AQ13" i="12"/>
  <c r="AR12" i="12"/>
  <c r="AQ12" i="12"/>
  <c r="AR11" i="12"/>
  <c r="AQ11" i="12"/>
  <c r="AR10" i="12"/>
  <c r="AQ10" i="12"/>
  <c r="AR9" i="12"/>
  <c r="AQ9" i="12"/>
  <c r="AR8" i="12"/>
  <c r="AQ8" i="12"/>
  <c r="AO8" i="12"/>
  <c r="AG8" i="12"/>
  <c r="K484" i="12"/>
  <c r="J484" i="12"/>
  <c r="I484" i="12"/>
  <c r="H484" i="12"/>
  <c r="G484" i="12"/>
  <c r="F484" i="12"/>
  <c r="E484" i="12"/>
  <c r="D484" i="12"/>
  <c r="M482" i="12"/>
  <c r="O482" i="12" s="1"/>
  <c r="L482" i="12"/>
  <c r="N482" i="12" s="1"/>
  <c r="M481" i="12"/>
  <c r="O481" i="12" s="1"/>
  <c r="L481" i="12"/>
  <c r="N481" i="12" s="1"/>
  <c r="M480" i="12"/>
  <c r="O480" i="12" s="1"/>
  <c r="L480" i="12"/>
  <c r="N480" i="12" s="1"/>
  <c r="M479" i="12"/>
  <c r="O479" i="12" s="1"/>
  <c r="L479" i="12"/>
  <c r="N479" i="12" s="1"/>
  <c r="M478" i="12"/>
  <c r="O478" i="12" s="1"/>
  <c r="L478" i="12"/>
  <c r="N478" i="12" s="1"/>
  <c r="M477" i="12"/>
  <c r="O477" i="12" s="1"/>
  <c r="L477" i="12"/>
  <c r="N477" i="12" s="1"/>
  <c r="M476" i="12"/>
  <c r="O476" i="12" s="1"/>
  <c r="L476" i="12"/>
  <c r="N476" i="12" s="1"/>
  <c r="M475" i="12"/>
  <c r="O475" i="12" s="1"/>
  <c r="L475" i="12"/>
  <c r="N475" i="12" s="1"/>
  <c r="M474" i="12"/>
  <c r="O474" i="12" s="1"/>
  <c r="L474" i="12"/>
  <c r="N474" i="12" s="1"/>
  <c r="M473" i="12"/>
  <c r="O473" i="12" s="1"/>
  <c r="L473" i="12"/>
  <c r="N473" i="12" s="1"/>
  <c r="M472" i="12"/>
  <c r="O472" i="12" s="1"/>
  <c r="L472" i="12"/>
  <c r="N472" i="12" s="1"/>
  <c r="M471" i="12"/>
  <c r="O471" i="12" s="1"/>
  <c r="L471" i="12"/>
  <c r="N471" i="12" s="1"/>
  <c r="S336" i="12"/>
  <c r="R336" i="12"/>
  <c r="AH105" i="12" l="1"/>
  <c r="AH252" i="12"/>
  <c r="AH168" i="12"/>
  <c r="AK252" i="12"/>
  <c r="AK273" i="12"/>
  <c r="AJ105" i="12"/>
  <c r="AR105" i="12"/>
  <c r="AR168" i="12"/>
  <c r="AI231" i="12"/>
  <c r="AI252" i="12"/>
  <c r="AT123" i="12"/>
  <c r="AT156" i="12"/>
  <c r="AT294" i="12"/>
  <c r="AS294" i="12"/>
  <c r="AW281" i="12"/>
  <c r="AT160" i="12"/>
  <c r="AK42" i="12"/>
  <c r="AK105" i="12"/>
  <c r="AK147" i="12"/>
  <c r="AK168" i="12"/>
  <c r="AP168" i="12"/>
  <c r="AT61" i="12"/>
  <c r="AT72" i="12"/>
  <c r="AQ252" i="12"/>
  <c r="AQ231" i="12"/>
  <c r="AR210" i="12"/>
  <c r="AT200" i="12"/>
  <c r="AG84" i="12"/>
  <c r="AQ63" i="12"/>
  <c r="AK63" i="12"/>
  <c r="AI63" i="12"/>
  <c r="AH63" i="12"/>
  <c r="AQ42" i="12"/>
  <c r="AP42" i="12"/>
  <c r="AI42" i="12"/>
  <c r="AH42" i="12"/>
  <c r="AS33" i="12"/>
  <c r="AS37" i="12"/>
  <c r="AS82" i="12"/>
  <c r="AS95" i="12"/>
  <c r="AS96" i="12"/>
  <c r="AS100" i="12"/>
  <c r="AM126" i="12"/>
  <c r="AS186" i="12"/>
  <c r="AS207" i="12"/>
  <c r="AJ210" i="12"/>
  <c r="AT203" i="12"/>
  <c r="AS144" i="12"/>
  <c r="AS155" i="12"/>
  <c r="AS159" i="12"/>
  <c r="AM252" i="12"/>
  <c r="AN42" i="12"/>
  <c r="AN63" i="12"/>
  <c r="AN105" i="12"/>
  <c r="AT134" i="12"/>
  <c r="AT184" i="12"/>
  <c r="AN231" i="12"/>
  <c r="AT224" i="12"/>
  <c r="AN252" i="12"/>
  <c r="AT260" i="12"/>
  <c r="AM84" i="12"/>
  <c r="AQ21" i="12"/>
  <c r="AS74" i="12"/>
  <c r="AS116" i="12"/>
  <c r="AS118" i="12"/>
  <c r="AS120" i="12"/>
  <c r="AS122" i="12"/>
  <c r="AS229" i="12"/>
  <c r="AM105" i="12"/>
  <c r="AR21" i="12"/>
  <c r="AT34" i="12"/>
  <c r="AT53" i="12"/>
  <c r="AT115" i="12"/>
  <c r="AT208" i="12"/>
  <c r="AT271" i="12"/>
  <c r="AS99" i="12"/>
  <c r="AJ168" i="12"/>
  <c r="AT75" i="12"/>
  <c r="AT78" i="12"/>
  <c r="AT79" i="12"/>
  <c r="AT82" i="12"/>
  <c r="AS135" i="12"/>
  <c r="AS139" i="12"/>
  <c r="AS141" i="12"/>
  <c r="AS166" i="12"/>
  <c r="AS183" i="12"/>
  <c r="AT226" i="12"/>
  <c r="AT228" i="12"/>
  <c r="AT116" i="12"/>
  <c r="AT120" i="12"/>
  <c r="AL189" i="12"/>
  <c r="AT177" i="12"/>
  <c r="AT181" i="12"/>
  <c r="AT270" i="12"/>
  <c r="AS71" i="12"/>
  <c r="AS208" i="12"/>
  <c r="AT31" i="12"/>
  <c r="AT35" i="12"/>
  <c r="AT39" i="12"/>
  <c r="AT50" i="12"/>
  <c r="AT54" i="12"/>
  <c r="AT56" i="12"/>
  <c r="AT57" i="12"/>
  <c r="AT58" i="12"/>
  <c r="AM210" i="12"/>
  <c r="AT202" i="12"/>
  <c r="AT204" i="12"/>
  <c r="AK231" i="12"/>
  <c r="AS219" i="12"/>
  <c r="AS223" i="12"/>
  <c r="AT205" i="12"/>
  <c r="AT92" i="12"/>
  <c r="AT94" i="12"/>
  <c r="AT96" i="12"/>
  <c r="AT100" i="12"/>
  <c r="AT102" i="12"/>
  <c r="AJ126" i="12"/>
  <c r="AR126" i="12"/>
  <c r="AT114" i="12"/>
  <c r="AG189" i="12"/>
  <c r="AS176" i="12"/>
  <c r="AS180" i="12"/>
  <c r="AS182" i="12"/>
  <c r="AT229" i="12"/>
  <c r="AS240" i="12"/>
  <c r="AS244" i="12"/>
  <c r="AS248" i="12"/>
  <c r="AS261" i="12"/>
  <c r="AS263" i="12"/>
  <c r="AS269" i="12"/>
  <c r="AS271" i="12"/>
  <c r="AJ84" i="12"/>
  <c r="AT142" i="12"/>
  <c r="AT145" i="12"/>
  <c r="AT157" i="12"/>
  <c r="AT161" i="12"/>
  <c r="AT164" i="12"/>
  <c r="AT165" i="12"/>
  <c r="AT183" i="12"/>
  <c r="AT186" i="12"/>
  <c r="AG210" i="12"/>
  <c r="AO210" i="12"/>
  <c r="AS200" i="12"/>
  <c r="AT263" i="12"/>
  <c r="AT265" i="12"/>
  <c r="AT267" i="12"/>
  <c r="AS103" i="12"/>
  <c r="AS73" i="12"/>
  <c r="AS206" i="12"/>
  <c r="AH126" i="12"/>
  <c r="AR84" i="12"/>
  <c r="AS30" i="12"/>
  <c r="AS34" i="12"/>
  <c r="AS38" i="12"/>
  <c r="AS51" i="12"/>
  <c r="AS55" i="12"/>
  <c r="AS59" i="12"/>
  <c r="AI147" i="12"/>
  <c r="AQ147" i="12"/>
  <c r="AI189" i="12"/>
  <c r="AQ189" i="12"/>
  <c r="AS179" i="12"/>
  <c r="AL42" i="12"/>
  <c r="AT33" i="12"/>
  <c r="AT36" i="12"/>
  <c r="AT37" i="12"/>
  <c r="AT40" i="12"/>
  <c r="AL63" i="12"/>
  <c r="AT51" i="12"/>
  <c r="AT52" i="12"/>
  <c r="AT55" i="12"/>
  <c r="AT59" i="12"/>
  <c r="AT60" i="12"/>
  <c r="AK84" i="12"/>
  <c r="AS72" i="12"/>
  <c r="AT76" i="12"/>
  <c r="AI105" i="12"/>
  <c r="AQ105" i="12"/>
  <c r="AS93" i="12"/>
  <c r="AS97" i="12"/>
  <c r="AS101" i="12"/>
  <c r="AK126" i="12"/>
  <c r="AS124" i="12"/>
  <c r="AG147" i="12"/>
  <c r="AO147" i="12"/>
  <c r="AS136" i="12"/>
  <c r="AS137" i="12"/>
  <c r="AS140" i="12"/>
  <c r="AT144" i="12"/>
  <c r="AN168" i="12"/>
  <c r="AT163" i="12"/>
  <c r="AM189" i="12"/>
  <c r="AT185" i="12"/>
  <c r="AS187" i="12"/>
  <c r="AK210" i="12"/>
  <c r="AS198" i="12"/>
  <c r="AS199" i="12"/>
  <c r="AG231" i="12"/>
  <c r="AS218" i="12"/>
  <c r="AS220" i="12"/>
  <c r="AS221" i="12"/>
  <c r="AS222" i="12"/>
  <c r="AS224" i="12"/>
  <c r="AL252" i="12"/>
  <c r="AT240" i="12"/>
  <c r="AT241" i="12"/>
  <c r="AT244" i="12"/>
  <c r="AT245" i="12"/>
  <c r="AT248" i="12"/>
  <c r="AT249" i="12"/>
  <c r="AL273" i="12"/>
  <c r="AT261" i="12"/>
  <c r="AT32" i="12"/>
  <c r="AM42" i="12"/>
  <c r="AS32" i="12"/>
  <c r="AS50" i="12"/>
  <c r="AS60" i="12"/>
  <c r="AL84" i="12"/>
  <c r="AT74" i="12"/>
  <c r="AS76" i="12"/>
  <c r="AS80" i="12"/>
  <c r="AT97" i="12"/>
  <c r="AT101" i="12"/>
  <c r="AL126" i="12"/>
  <c r="AS119" i="12"/>
  <c r="AS123" i="12"/>
  <c r="AH147" i="12"/>
  <c r="AP147" i="12"/>
  <c r="AT136" i="12"/>
  <c r="AT137" i="12"/>
  <c r="AT138" i="12"/>
  <c r="AT140" i="12"/>
  <c r="AT141" i="12"/>
  <c r="AS142" i="12"/>
  <c r="AS145" i="12"/>
  <c r="AG168" i="12"/>
  <c r="AO168" i="12"/>
  <c r="AS157" i="12"/>
  <c r="AS158" i="12"/>
  <c r="AS161" i="12"/>
  <c r="AS162" i="12"/>
  <c r="AS163" i="12"/>
  <c r="AS165" i="12"/>
  <c r="AN189" i="12"/>
  <c r="AT180" i="12"/>
  <c r="AL210" i="12"/>
  <c r="AT198" i="12"/>
  <c r="AT199" i="12"/>
  <c r="AS202" i="12"/>
  <c r="AS203" i="12"/>
  <c r="AT207" i="12"/>
  <c r="AH231" i="12"/>
  <c r="AT218" i="12"/>
  <c r="AT222" i="12"/>
  <c r="AS225" i="12"/>
  <c r="AS226" i="12"/>
  <c r="AS228" i="12"/>
  <c r="AM273" i="12"/>
  <c r="AS265" i="12"/>
  <c r="AG42" i="12"/>
  <c r="AO42" i="12"/>
  <c r="AS31" i="12"/>
  <c r="AS35" i="12"/>
  <c r="AS36" i="12"/>
  <c r="AS39" i="12"/>
  <c r="AS40" i="12"/>
  <c r="AG63" i="12"/>
  <c r="AO63" i="12"/>
  <c r="AS52" i="12"/>
  <c r="AS53" i="12"/>
  <c r="AS54" i="12"/>
  <c r="AS56" i="12"/>
  <c r="AS57" i="12"/>
  <c r="AS58" i="12"/>
  <c r="AS61" i="12"/>
  <c r="AN84" i="12"/>
  <c r="AS75" i="12"/>
  <c r="AS79" i="12"/>
  <c r="AL105" i="12"/>
  <c r="AT93" i="12"/>
  <c r="AT95" i="12"/>
  <c r="AT98" i="12"/>
  <c r="AT99" i="12"/>
  <c r="AT103" i="12"/>
  <c r="AN126" i="12"/>
  <c r="AJ147" i="12"/>
  <c r="AR147" i="12"/>
  <c r="AI168" i="12"/>
  <c r="AQ168" i="12"/>
  <c r="AH189" i="12"/>
  <c r="AT176" i="12"/>
  <c r="AT178" i="12"/>
  <c r="AT179" i="12"/>
  <c r="AT182" i="12"/>
  <c r="AS184" i="12"/>
  <c r="AN210" i="12"/>
  <c r="AT206" i="12"/>
  <c r="AJ231" i="12"/>
  <c r="AR231" i="12"/>
  <c r="AG252" i="12"/>
  <c r="AS239" i="12"/>
  <c r="AS241" i="12"/>
  <c r="AS242" i="12"/>
  <c r="AS243" i="12"/>
  <c r="AS245" i="12"/>
  <c r="AS246" i="12"/>
  <c r="AS247" i="12"/>
  <c r="AS249" i="12"/>
  <c r="AS250" i="12"/>
  <c r="AG273" i="12"/>
  <c r="AO273" i="12"/>
  <c r="AS262" i="12"/>
  <c r="AS264" i="12"/>
  <c r="AT269" i="12"/>
  <c r="AH273" i="12"/>
  <c r="AP273" i="12"/>
  <c r="AT262" i="12"/>
  <c r="AT264" i="12"/>
  <c r="AS268" i="12"/>
  <c r="AT227" i="12"/>
  <c r="AT239" i="12"/>
  <c r="AT243" i="12"/>
  <c r="AT247" i="12"/>
  <c r="AH84" i="12"/>
  <c r="AT71" i="12"/>
  <c r="AT73" i="12"/>
  <c r="AS77" i="12"/>
  <c r="AS78" i="12"/>
  <c r="AS81" i="12"/>
  <c r="AT113" i="12"/>
  <c r="AT124" i="12"/>
  <c r="AL147" i="12"/>
  <c r="AT135" i="12"/>
  <c r="AT139" i="12"/>
  <c r="AS143" i="12"/>
  <c r="AS156" i="12"/>
  <c r="AS160" i="12"/>
  <c r="AS164" i="12"/>
  <c r="AJ189" i="12"/>
  <c r="AR189" i="12"/>
  <c r="AS185" i="12"/>
  <c r="AT187" i="12"/>
  <c r="AH210" i="12"/>
  <c r="AT197" i="12"/>
  <c r="AS201" i="12"/>
  <c r="AS204" i="12"/>
  <c r="AL231" i="12"/>
  <c r="AT219" i="12"/>
  <c r="AT220" i="12"/>
  <c r="AT221" i="12"/>
  <c r="AT223" i="12"/>
  <c r="AS227" i="12"/>
  <c r="AI273" i="12"/>
  <c r="AQ273" i="12"/>
  <c r="AS266" i="12"/>
  <c r="AS267" i="12"/>
  <c r="AT268" i="12"/>
  <c r="AJ42" i="12"/>
  <c r="AR42" i="12"/>
  <c r="AT30" i="12"/>
  <c r="AT38" i="12"/>
  <c r="AJ63" i="12"/>
  <c r="AR63" i="12"/>
  <c r="AI84" i="12"/>
  <c r="AQ84" i="12"/>
  <c r="AT77" i="12"/>
  <c r="AT80" i="12"/>
  <c r="AT81" i="12"/>
  <c r="AG105" i="12"/>
  <c r="AO105" i="12"/>
  <c r="AS94" i="12"/>
  <c r="AS98" i="12"/>
  <c r="AS102" i="12"/>
  <c r="AI126" i="12"/>
  <c r="AQ126" i="12"/>
  <c r="AS114" i="12"/>
  <c r="AS115" i="12"/>
  <c r="AT117" i="12"/>
  <c r="AT119" i="12"/>
  <c r="AT121" i="12"/>
  <c r="AS134" i="12"/>
  <c r="AS138" i="12"/>
  <c r="AT143" i="12"/>
  <c r="AL168" i="12"/>
  <c r="AT158" i="12"/>
  <c r="AT159" i="12"/>
  <c r="AT162" i="12"/>
  <c r="AT166" i="12"/>
  <c r="AK189" i="12"/>
  <c r="AS177" i="12"/>
  <c r="AS178" i="12"/>
  <c r="AS181" i="12"/>
  <c r="AI210" i="12"/>
  <c r="AQ210" i="12"/>
  <c r="AT201" i="12"/>
  <c r="AS205" i="12"/>
  <c r="AM231" i="12"/>
  <c r="AT225" i="12"/>
  <c r="AJ252" i="12"/>
  <c r="AR252" i="12"/>
  <c r="AT242" i="12"/>
  <c r="AT246" i="12"/>
  <c r="AT250" i="12"/>
  <c r="AJ273" i="12"/>
  <c r="AR273" i="12"/>
  <c r="AT266" i="12"/>
  <c r="AS270" i="12"/>
  <c r="AG126" i="12"/>
  <c r="AT118" i="12"/>
  <c r="AT122" i="12"/>
  <c r="AS117" i="12"/>
  <c r="AS121" i="12"/>
  <c r="AS113" i="12"/>
  <c r="AN273" i="12"/>
  <c r="AS260" i="12"/>
  <c r="AO252" i="12"/>
  <c r="AP252" i="12"/>
  <c r="AO231" i="12"/>
  <c r="AP231" i="12"/>
  <c r="AP210" i="12"/>
  <c r="AS197" i="12"/>
  <c r="AO189" i="12"/>
  <c r="AP189" i="12"/>
  <c r="AM168" i="12"/>
  <c r="AT155" i="12"/>
  <c r="AN147" i="12"/>
  <c r="AM147" i="12"/>
  <c r="AO126" i="12"/>
  <c r="AP126" i="12"/>
  <c r="AP105" i="12"/>
  <c r="AS92" i="12"/>
  <c r="AO84" i="12"/>
  <c r="AP84" i="12"/>
  <c r="AP63" i="12"/>
  <c r="AM63" i="12"/>
  <c r="AT29" i="12"/>
  <c r="AS29" i="12"/>
  <c r="M484" i="12"/>
  <c r="L484" i="12"/>
  <c r="AS168" i="12" l="1"/>
  <c r="AT273" i="12"/>
  <c r="AS147" i="12"/>
  <c r="AS105" i="12"/>
  <c r="AT252" i="12"/>
  <c r="AS63" i="12"/>
  <c r="AS231" i="12"/>
  <c r="AT189" i="12"/>
  <c r="AS189" i="12"/>
  <c r="AT210" i="12"/>
  <c r="AT105" i="12"/>
  <c r="AT147" i="12"/>
  <c r="AT126" i="12"/>
  <c r="AS84" i="12"/>
  <c r="AT84" i="12"/>
  <c r="AS252" i="12"/>
  <c r="AT231" i="12"/>
  <c r="AS210" i="12"/>
  <c r="AS42" i="12"/>
  <c r="AT168" i="12"/>
  <c r="AS273" i="12"/>
  <c r="AT42" i="12"/>
  <c r="AT63" i="12"/>
  <c r="AS126" i="12"/>
  <c r="AR313" i="12" l="1"/>
  <c r="AQ313" i="12"/>
  <c r="AP313" i="12"/>
  <c r="AO313" i="12"/>
  <c r="AN313" i="12"/>
  <c r="AM313" i="12"/>
  <c r="AL313" i="12"/>
  <c r="AK313" i="12"/>
  <c r="AH313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R309" i="12"/>
  <c r="AQ309" i="12"/>
  <c r="AP309" i="12"/>
  <c r="AO309" i="12"/>
  <c r="AN309" i="12"/>
  <c r="AM309" i="12"/>
  <c r="AL309" i="12"/>
  <c r="AK309" i="12"/>
  <c r="AH309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R305" i="12"/>
  <c r="AQ305" i="12"/>
  <c r="AP305" i="12"/>
  <c r="AO305" i="12"/>
  <c r="AN305" i="12"/>
  <c r="AM305" i="12"/>
  <c r="AL305" i="12"/>
  <c r="AK305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R302" i="12"/>
  <c r="AQ302" i="12"/>
  <c r="AP302" i="12"/>
  <c r="AO302" i="12"/>
  <c r="AN302" i="12"/>
  <c r="AM302" i="12"/>
  <c r="AJ302" i="12"/>
  <c r="AI302" i="12"/>
  <c r="AH302" i="12"/>
  <c r="AG302" i="12"/>
  <c r="U262" i="12"/>
  <c r="T262" i="12"/>
  <c r="AG307" i="12" l="1"/>
  <c r="AS307" i="12" s="1"/>
  <c r="AG308" i="12"/>
  <c r="AS308" i="12" s="1"/>
  <c r="AG309" i="12"/>
  <c r="AG310" i="12"/>
  <c r="AS310" i="12" s="1"/>
  <c r="AG311" i="12"/>
  <c r="AS311" i="12" s="1"/>
  <c r="AG312" i="12"/>
  <c r="AS312" i="12" s="1"/>
  <c r="AG313" i="12"/>
  <c r="AK302" i="12"/>
  <c r="AS302" i="12" s="1"/>
  <c r="AL302" i="12"/>
  <c r="AT302" i="12" s="1"/>
  <c r="M275" i="12"/>
  <c r="AH305" i="12"/>
  <c r="AH315" i="12" s="1"/>
  <c r="AG305" i="12"/>
  <c r="AR315" i="12"/>
  <c r="AQ315" i="12"/>
  <c r="AP315" i="12"/>
  <c r="AS306" i="12"/>
  <c r="AN315" i="12"/>
  <c r="AO315" i="12"/>
  <c r="AS303" i="12"/>
  <c r="AS304" i="12"/>
  <c r="AT303" i="12"/>
  <c r="AT304" i="12"/>
  <c r="AT307" i="12"/>
  <c r="AT308" i="12"/>
  <c r="AT310" i="12"/>
  <c r="AT311" i="12"/>
  <c r="AT312" i="12"/>
  <c r="V305" i="12"/>
  <c r="AI305" i="12"/>
  <c r="V309" i="12"/>
  <c r="AI309" i="12"/>
  <c r="V313" i="12"/>
  <c r="AI313" i="12"/>
  <c r="AM315" i="12"/>
  <c r="AT306" i="12"/>
  <c r="W305" i="12"/>
  <c r="AJ305" i="12"/>
  <c r="W309" i="12"/>
  <c r="AJ309" i="12"/>
  <c r="AT309" i="12" s="1"/>
  <c r="W313" i="12"/>
  <c r="AJ313" i="12"/>
  <c r="AT313" i="12" s="1"/>
  <c r="V302" i="12"/>
  <c r="V303" i="12"/>
  <c r="V304" i="12"/>
  <c r="V306" i="12"/>
  <c r="V307" i="12"/>
  <c r="V308" i="12"/>
  <c r="V310" i="12"/>
  <c r="V311" i="12"/>
  <c r="V312" i="12"/>
  <c r="W302" i="12"/>
  <c r="W303" i="12"/>
  <c r="W304" i="12"/>
  <c r="W306" i="12"/>
  <c r="W307" i="12"/>
  <c r="W308" i="12"/>
  <c r="W310" i="12"/>
  <c r="W311" i="12"/>
  <c r="W312" i="12"/>
  <c r="AK315" i="12" l="1"/>
  <c r="AS313" i="12"/>
  <c r="M128" i="12"/>
  <c r="M233" i="12"/>
  <c r="AS309" i="12"/>
  <c r="AJ315" i="12"/>
  <c r="AI315" i="12"/>
  <c r="AL315" i="12"/>
  <c r="AG315" i="12"/>
  <c r="AT305" i="12"/>
  <c r="AT315" i="12" s="1"/>
  <c r="AS305" i="12"/>
  <c r="U241" i="12"/>
  <c r="T241" i="12"/>
  <c r="AS315" i="12" l="1"/>
  <c r="U220" i="12"/>
  <c r="T220" i="12"/>
  <c r="U199" i="12" l="1"/>
  <c r="T199" i="12"/>
  <c r="U178" i="12" l="1"/>
  <c r="T178" i="12"/>
  <c r="U157" i="12" l="1"/>
  <c r="T157" i="12"/>
  <c r="U136" i="12" l="1"/>
  <c r="T136" i="12"/>
  <c r="W115" i="12" l="1"/>
  <c r="V115" i="12"/>
  <c r="W114" i="12"/>
  <c r="V114" i="12"/>
  <c r="W113" i="12"/>
  <c r="U94" i="12" l="1"/>
  <c r="T94" i="12"/>
  <c r="U103" i="12"/>
  <c r="T103" i="12"/>
  <c r="U102" i="12"/>
  <c r="T102" i="12"/>
  <c r="U101" i="12"/>
  <c r="T100" i="12"/>
  <c r="U99" i="12"/>
  <c r="T99" i="12"/>
  <c r="U98" i="12"/>
  <c r="T98" i="12"/>
  <c r="U97" i="12"/>
  <c r="T97" i="12"/>
  <c r="U96" i="12"/>
  <c r="T96" i="12"/>
  <c r="U95" i="12"/>
  <c r="T95" i="12"/>
  <c r="U93" i="12"/>
  <c r="T93" i="12"/>
  <c r="U92" i="12"/>
  <c r="T92" i="12"/>
  <c r="T106" i="12" l="1"/>
  <c r="U106" i="12"/>
  <c r="U107" i="12" s="1"/>
  <c r="T107" i="12"/>
  <c r="U73" i="12"/>
  <c r="T73" i="12"/>
  <c r="U52" i="12" l="1"/>
  <c r="T52" i="12"/>
  <c r="U51" i="12"/>
  <c r="T51" i="12"/>
  <c r="U315" i="12" l="1"/>
  <c r="T315" i="12"/>
  <c r="U271" i="12"/>
  <c r="T271" i="12"/>
  <c r="U270" i="12"/>
  <c r="T270" i="12"/>
  <c r="U269" i="12"/>
  <c r="T269" i="12"/>
  <c r="U268" i="12"/>
  <c r="T268" i="12"/>
  <c r="U265" i="12"/>
  <c r="T265" i="12"/>
  <c r="U261" i="12"/>
  <c r="T261" i="12"/>
  <c r="U260" i="12"/>
  <c r="T260" i="12"/>
  <c r="S273" i="12"/>
  <c r="R273" i="12"/>
  <c r="Q273" i="12"/>
  <c r="P273" i="12"/>
  <c r="U274" i="12" l="1"/>
  <c r="U275" i="12" s="1"/>
  <c r="T274" i="12"/>
  <c r="T275" i="12" s="1"/>
  <c r="R315" i="12"/>
  <c r="S315" i="12"/>
  <c r="U250" i="12"/>
  <c r="X250" i="12" s="1"/>
  <c r="T250" i="12"/>
  <c r="U247" i="12"/>
  <c r="T247" i="12"/>
  <c r="U246" i="12"/>
  <c r="T246" i="12"/>
  <c r="U245" i="12"/>
  <c r="T245" i="12"/>
  <c r="U244" i="12"/>
  <c r="T244" i="12"/>
  <c r="U240" i="12"/>
  <c r="T240" i="12"/>
  <c r="U239" i="12"/>
  <c r="T239" i="12"/>
  <c r="S252" i="12"/>
  <c r="R252" i="12"/>
  <c r="T253" i="12" l="1"/>
  <c r="U253" i="12"/>
  <c r="U254" i="12" s="1"/>
  <c r="U229" i="12"/>
  <c r="T229" i="12"/>
  <c r="U228" i="12"/>
  <c r="T228" i="12"/>
  <c r="U227" i="12"/>
  <c r="T227" i="12"/>
  <c r="U226" i="12"/>
  <c r="T226" i="12"/>
  <c r="U225" i="12"/>
  <c r="T225" i="12"/>
  <c r="U224" i="12"/>
  <c r="T224" i="12"/>
  <c r="U223" i="12"/>
  <c r="T223" i="12"/>
  <c r="U222" i="12"/>
  <c r="T222" i="12"/>
  <c r="U221" i="12"/>
  <c r="T221" i="12"/>
  <c r="U219" i="12"/>
  <c r="T219" i="12"/>
  <c r="U218" i="12"/>
  <c r="T218" i="12"/>
  <c r="U232" i="12" l="1"/>
  <c r="U233" i="12" s="1"/>
  <c r="T232" i="12"/>
  <c r="T233" i="12" s="1"/>
  <c r="U231" i="12"/>
  <c r="T231" i="12"/>
  <c r="S231" i="12"/>
  <c r="R231" i="12"/>
  <c r="S210" i="12"/>
  <c r="R210" i="12"/>
  <c r="U208" i="12"/>
  <c r="T208" i="12"/>
  <c r="U205" i="12"/>
  <c r="T205" i="12"/>
  <c r="U204" i="12"/>
  <c r="T204" i="12"/>
  <c r="U203" i="12"/>
  <c r="T203" i="12"/>
  <c r="U202" i="12"/>
  <c r="T202" i="12"/>
  <c r="U201" i="12"/>
  <c r="T201" i="12"/>
  <c r="U200" i="12"/>
  <c r="T200" i="12"/>
  <c r="U198" i="12"/>
  <c r="T198" i="12"/>
  <c r="U197" i="12"/>
  <c r="T197" i="12"/>
  <c r="U211" i="12" l="1"/>
  <c r="U212" i="12" s="1"/>
  <c r="T211" i="12"/>
  <c r="T212" i="12"/>
  <c r="S189" i="12"/>
  <c r="R189" i="12"/>
  <c r="U187" i="12"/>
  <c r="T187" i="12"/>
  <c r="U186" i="12"/>
  <c r="T186" i="12"/>
  <c r="U185" i="12"/>
  <c r="T185" i="12"/>
  <c r="U184" i="12"/>
  <c r="T184" i="12"/>
  <c r="U183" i="12"/>
  <c r="T183" i="12"/>
  <c r="U182" i="12"/>
  <c r="T182" i="12"/>
  <c r="U181" i="12"/>
  <c r="T181" i="12"/>
  <c r="U180" i="12"/>
  <c r="T180" i="12"/>
  <c r="U179" i="12"/>
  <c r="T179" i="12"/>
  <c r="U177" i="12"/>
  <c r="T177" i="12"/>
  <c r="U176" i="12"/>
  <c r="T176" i="12"/>
  <c r="T190" i="12" l="1"/>
  <c r="U190" i="12"/>
  <c r="U191" i="12" s="1"/>
  <c r="T191" i="12"/>
  <c r="U189" i="12"/>
  <c r="T189" i="12"/>
  <c r="S168" i="12"/>
  <c r="R168" i="12"/>
  <c r="U166" i="12"/>
  <c r="T166" i="12"/>
  <c r="U165" i="12"/>
  <c r="T165" i="12"/>
  <c r="U164" i="12"/>
  <c r="U163" i="12"/>
  <c r="T163" i="12"/>
  <c r="U162" i="12"/>
  <c r="T162" i="12"/>
  <c r="U161" i="12"/>
  <c r="T161" i="12"/>
  <c r="U160" i="12"/>
  <c r="T160" i="12"/>
  <c r="U159" i="12"/>
  <c r="T159" i="12"/>
  <c r="U158" i="12"/>
  <c r="T158" i="12"/>
  <c r="U156" i="12"/>
  <c r="T156" i="12"/>
  <c r="U155" i="12"/>
  <c r="T155" i="12"/>
  <c r="T169" i="12" l="1"/>
  <c r="T170" i="12" s="1"/>
  <c r="U169" i="12"/>
  <c r="U170" i="12"/>
  <c r="U168" i="12"/>
  <c r="T168" i="12"/>
  <c r="U145" i="12" l="1"/>
  <c r="T145" i="12"/>
  <c r="U144" i="12"/>
  <c r="T144" i="12"/>
  <c r="U142" i="12"/>
  <c r="T142" i="12"/>
  <c r="U141" i="12"/>
  <c r="T141" i="12"/>
  <c r="U140" i="12"/>
  <c r="T140" i="12"/>
  <c r="U139" i="12"/>
  <c r="T139" i="12"/>
  <c r="U138" i="12"/>
  <c r="T138" i="12"/>
  <c r="U137" i="12"/>
  <c r="T137" i="12"/>
  <c r="U135" i="12"/>
  <c r="T135" i="12"/>
  <c r="U134" i="12"/>
  <c r="T134" i="12"/>
  <c r="S147" i="12"/>
  <c r="R147" i="12"/>
  <c r="U148" i="12" l="1"/>
  <c r="U149" i="12" s="1"/>
  <c r="T148" i="12"/>
  <c r="T149" i="12" s="1"/>
  <c r="W124" i="12"/>
  <c r="V124" i="12"/>
  <c r="W123" i="12"/>
  <c r="V123" i="12"/>
  <c r="W122" i="12"/>
  <c r="V122" i="12"/>
  <c r="W121" i="12"/>
  <c r="V121" i="12"/>
  <c r="W120" i="12"/>
  <c r="V120" i="12"/>
  <c r="W119" i="12"/>
  <c r="V119" i="12"/>
  <c r="W118" i="12"/>
  <c r="V118" i="12"/>
  <c r="W117" i="12"/>
  <c r="V117" i="12"/>
  <c r="W116" i="12"/>
  <c r="V116" i="12"/>
  <c r="V113" i="12"/>
  <c r="S126" i="12"/>
  <c r="R126" i="12"/>
  <c r="S105" i="12"/>
  <c r="R105" i="12"/>
  <c r="S84" i="12"/>
  <c r="R84" i="12"/>
  <c r="U82" i="12"/>
  <c r="T82" i="12"/>
  <c r="U81" i="12"/>
  <c r="T81" i="12"/>
  <c r="U80" i="12"/>
  <c r="U79" i="12"/>
  <c r="T79" i="12"/>
  <c r="U78" i="12"/>
  <c r="T78" i="12"/>
  <c r="U77" i="12"/>
  <c r="T77" i="12"/>
  <c r="U76" i="12"/>
  <c r="T76" i="12"/>
  <c r="U75" i="12"/>
  <c r="T75" i="12"/>
  <c r="U74" i="12"/>
  <c r="T74" i="12"/>
  <c r="U72" i="12"/>
  <c r="T72" i="12"/>
  <c r="U71" i="12"/>
  <c r="T71" i="12"/>
  <c r="S63" i="12"/>
  <c r="R63" i="12"/>
  <c r="U61" i="12"/>
  <c r="T61" i="12"/>
  <c r="AV61" i="12" s="1"/>
  <c r="U60" i="12"/>
  <c r="T60" i="12"/>
  <c r="U59" i="12"/>
  <c r="U58" i="12"/>
  <c r="T58" i="12"/>
  <c r="U57" i="12"/>
  <c r="T57" i="12"/>
  <c r="U56" i="12"/>
  <c r="T56" i="12"/>
  <c r="U55" i="12"/>
  <c r="T55" i="12"/>
  <c r="U53" i="12"/>
  <c r="T53" i="12"/>
  <c r="U50" i="12"/>
  <c r="T50" i="12"/>
  <c r="S42" i="12"/>
  <c r="R42" i="12"/>
  <c r="U40" i="12"/>
  <c r="T40" i="12"/>
  <c r="U39" i="12"/>
  <c r="T39" i="12"/>
  <c r="U38" i="12"/>
  <c r="U37" i="12"/>
  <c r="T37" i="12"/>
  <c r="U36" i="12"/>
  <c r="T36" i="12"/>
  <c r="U35" i="12"/>
  <c r="T35" i="12"/>
  <c r="U34" i="12"/>
  <c r="T34" i="12"/>
  <c r="U33" i="12"/>
  <c r="T33" i="12"/>
  <c r="U32" i="12"/>
  <c r="T32" i="12"/>
  <c r="U31" i="12"/>
  <c r="T31" i="12"/>
  <c r="U30" i="12"/>
  <c r="T30" i="12"/>
  <c r="U29" i="12"/>
  <c r="T29" i="12"/>
  <c r="U19" i="12"/>
  <c r="T19" i="12"/>
  <c r="U18" i="12"/>
  <c r="T18" i="12"/>
  <c r="U17" i="12"/>
  <c r="T17" i="12"/>
  <c r="T16" i="12"/>
  <c r="U15" i="12"/>
  <c r="T15" i="12"/>
  <c r="U14" i="12"/>
  <c r="T14" i="12"/>
  <c r="U12" i="12"/>
  <c r="T12" i="12"/>
  <c r="U11" i="12"/>
  <c r="T11" i="12"/>
  <c r="U10" i="12"/>
  <c r="T10" i="12"/>
  <c r="U9" i="12"/>
  <c r="T9" i="12"/>
  <c r="U8" i="12"/>
  <c r="T8" i="12"/>
  <c r="S21" i="12"/>
  <c r="R21" i="12"/>
  <c r="U85" i="12" l="1"/>
  <c r="V127" i="12"/>
  <c r="T43" i="12"/>
  <c r="T44" i="12" s="1"/>
  <c r="U43" i="12"/>
  <c r="U44" i="12" s="1"/>
  <c r="U64" i="12"/>
  <c r="U65" i="12" s="1"/>
  <c r="T22" i="12"/>
  <c r="U22" i="12"/>
  <c r="U23" i="12" s="1"/>
  <c r="T64" i="12"/>
  <c r="T65" i="12" s="1"/>
  <c r="W127" i="12"/>
  <c r="W128" i="12" s="1"/>
  <c r="T85" i="12"/>
  <c r="T86" i="12" s="1"/>
  <c r="V128" i="12"/>
  <c r="T23" i="12"/>
  <c r="U86" i="12"/>
  <c r="T63" i="12"/>
  <c r="U63" i="12"/>
  <c r="T84" i="12"/>
  <c r="U84" i="12"/>
  <c r="G526" i="12" l="1"/>
  <c r="K463" i="12"/>
  <c r="J463" i="12"/>
  <c r="I463" i="12"/>
  <c r="H463" i="12"/>
  <c r="G463" i="12"/>
  <c r="F463" i="12"/>
  <c r="E463" i="12"/>
  <c r="D463" i="12"/>
  <c r="M461" i="12"/>
  <c r="O461" i="12" s="1"/>
  <c r="L461" i="12"/>
  <c r="N461" i="12" s="1"/>
  <c r="M460" i="12"/>
  <c r="O460" i="12" s="1"/>
  <c r="L460" i="12"/>
  <c r="N460" i="12" s="1"/>
  <c r="M459" i="12"/>
  <c r="O459" i="12" s="1"/>
  <c r="L459" i="12"/>
  <c r="N459" i="12" s="1"/>
  <c r="M458" i="12"/>
  <c r="O458" i="12" s="1"/>
  <c r="L458" i="12"/>
  <c r="N458" i="12" s="1"/>
  <c r="M457" i="12"/>
  <c r="O457" i="12" s="1"/>
  <c r="L457" i="12"/>
  <c r="N457" i="12" s="1"/>
  <c r="M456" i="12"/>
  <c r="O456" i="12" s="1"/>
  <c r="L456" i="12"/>
  <c r="N456" i="12" s="1"/>
  <c r="M455" i="12"/>
  <c r="O455" i="12" s="1"/>
  <c r="L455" i="12"/>
  <c r="N455" i="12" s="1"/>
  <c r="M454" i="12"/>
  <c r="O454" i="12" s="1"/>
  <c r="L454" i="12"/>
  <c r="N454" i="12" s="1"/>
  <c r="M453" i="12"/>
  <c r="O453" i="12" s="1"/>
  <c r="L453" i="12"/>
  <c r="N453" i="12" s="1"/>
  <c r="M452" i="12"/>
  <c r="O452" i="12" s="1"/>
  <c r="L452" i="12"/>
  <c r="N452" i="12" s="1"/>
  <c r="M451" i="12"/>
  <c r="O451" i="12" s="1"/>
  <c r="L451" i="12"/>
  <c r="N451" i="12" s="1"/>
  <c r="M450" i="12"/>
  <c r="O450" i="12" s="1"/>
  <c r="L450" i="12"/>
  <c r="N450" i="12" s="1"/>
  <c r="K442" i="12"/>
  <c r="J442" i="12"/>
  <c r="I442" i="12"/>
  <c r="H442" i="12"/>
  <c r="G442" i="12"/>
  <c r="F442" i="12"/>
  <c r="E442" i="12"/>
  <c r="D442" i="12"/>
  <c r="M440" i="12"/>
  <c r="O440" i="12" s="1"/>
  <c r="L440" i="12"/>
  <c r="N440" i="12" s="1"/>
  <c r="M439" i="12"/>
  <c r="O439" i="12" s="1"/>
  <c r="L439" i="12"/>
  <c r="N439" i="12" s="1"/>
  <c r="M438" i="12"/>
  <c r="O438" i="12" s="1"/>
  <c r="L438" i="12"/>
  <c r="N438" i="12" s="1"/>
  <c r="M437" i="12"/>
  <c r="O437" i="12" s="1"/>
  <c r="L437" i="12"/>
  <c r="N437" i="12" s="1"/>
  <c r="M436" i="12"/>
  <c r="O436" i="12" s="1"/>
  <c r="L436" i="12"/>
  <c r="N436" i="12" s="1"/>
  <c r="M435" i="12"/>
  <c r="O435" i="12" s="1"/>
  <c r="L435" i="12"/>
  <c r="N435" i="12" s="1"/>
  <c r="M434" i="12"/>
  <c r="O434" i="12" s="1"/>
  <c r="L434" i="12"/>
  <c r="N434" i="12" s="1"/>
  <c r="M433" i="12"/>
  <c r="O433" i="12" s="1"/>
  <c r="L433" i="12"/>
  <c r="N433" i="12" s="1"/>
  <c r="M432" i="12"/>
  <c r="O432" i="12" s="1"/>
  <c r="L432" i="12"/>
  <c r="N432" i="12" s="1"/>
  <c r="M431" i="12"/>
  <c r="O431" i="12" s="1"/>
  <c r="L431" i="12"/>
  <c r="N431" i="12" s="1"/>
  <c r="M430" i="12"/>
  <c r="O430" i="12" s="1"/>
  <c r="L430" i="12"/>
  <c r="N430" i="12" s="1"/>
  <c r="M429" i="12"/>
  <c r="O429" i="12" s="1"/>
  <c r="L429" i="12"/>
  <c r="K421" i="12"/>
  <c r="J421" i="12"/>
  <c r="I421" i="12"/>
  <c r="H421" i="12"/>
  <c r="G421" i="12"/>
  <c r="F421" i="12"/>
  <c r="E421" i="12"/>
  <c r="D421" i="12"/>
  <c r="M419" i="12"/>
  <c r="O419" i="12" s="1"/>
  <c r="L419" i="12"/>
  <c r="N419" i="12" s="1"/>
  <c r="M418" i="12"/>
  <c r="O418" i="12" s="1"/>
  <c r="L418" i="12"/>
  <c r="N418" i="12" s="1"/>
  <c r="M417" i="12"/>
  <c r="O417" i="12" s="1"/>
  <c r="L417" i="12"/>
  <c r="N417" i="12" s="1"/>
  <c r="M416" i="12"/>
  <c r="O416" i="12" s="1"/>
  <c r="L416" i="12"/>
  <c r="N416" i="12" s="1"/>
  <c r="M415" i="12"/>
  <c r="O415" i="12" s="1"/>
  <c r="L415" i="12"/>
  <c r="N415" i="12" s="1"/>
  <c r="M414" i="12"/>
  <c r="O414" i="12" s="1"/>
  <c r="L414" i="12"/>
  <c r="N414" i="12" s="1"/>
  <c r="M413" i="12"/>
  <c r="O413" i="12" s="1"/>
  <c r="L413" i="12"/>
  <c r="N413" i="12" s="1"/>
  <c r="M412" i="12"/>
  <c r="O412" i="12" s="1"/>
  <c r="L412" i="12"/>
  <c r="N412" i="12" s="1"/>
  <c r="M411" i="12"/>
  <c r="O411" i="12" s="1"/>
  <c r="L411" i="12"/>
  <c r="N411" i="12" s="1"/>
  <c r="M410" i="12"/>
  <c r="O410" i="12" s="1"/>
  <c r="L410" i="12"/>
  <c r="N410" i="12" s="1"/>
  <c r="M409" i="12"/>
  <c r="O409" i="12" s="1"/>
  <c r="L409" i="12"/>
  <c r="N409" i="12" s="1"/>
  <c r="M408" i="12"/>
  <c r="L408" i="12"/>
  <c r="N408" i="12" s="1"/>
  <c r="K400" i="12"/>
  <c r="J400" i="12"/>
  <c r="I400" i="12"/>
  <c r="H400" i="12"/>
  <c r="G400" i="12"/>
  <c r="F400" i="12"/>
  <c r="E400" i="12"/>
  <c r="D400" i="12"/>
  <c r="M398" i="12"/>
  <c r="O398" i="12" s="1"/>
  <c r="L398" i="12"/>
  <c r="N398" i="12" s="1"/>
  <c r="M397" i="12"/>
  <c r="O397" i="12" s="1"/>
  <c r="L397" i="12"/>
  <c r="N397" i="12" s="1"/>
  <c r="M396" i="12"/>
  <c r="O396" i="12" s="1"/>
  <c r="L396" i="12"/>
  <c r="N396" i="12" s="1"/>
  <c r="M395" i="12"/>
  <c r="O395" i="12" s="1"/>
  <c r="L395" i="12"/>
  <c r="N395" i="12" s="1"/>
  <c r="M394" i="12"/>
  <c r="O394" i="12" s="1"/>
  <c r="L394" i="12"/>
  <c r="N394" i="12" s="1"/>
  <c r="M393" i="12"/>
  <c r="O393" i="12" s="1"/>
  <c r="L393" i="12"/>
  <c r="N393" i="12" s="1"/>
  <c r="M392" i="12"/>
  <c r="O392" i="12" s="1"/>
  <c r="L392" i="12"/>
  <c r="N392" i="12" s="1"/>
  <c r="M391" i="12"/>
  <c r="O391" i="12" s="1"/>
  <c r="L391" i="12"/>
  <c r="N391" i="12" s="1"/>
  <c r="M390" i="12"/>
  <c r="O390" i="12" s="1"/>
  <c r="L390" i="12"/>
  <c r="N390" i="12" s="1"/>
  <c r="M389" i="12"/>
  <c r="O389" i="12" s="1"/>
  <c r="L389" i="12"/>
  <c r="N389" i="12" s="1"/>
  <c r="M388" i="12"/>
  <c r="O388" i="12" s="1"/>
  <c r="L388" i="12"/>
  <c r="N388" i="12" s="1"/>
  <c r="M387" i="12"/>
  <c r="O387" i="12" s="1"/>
  <c r="L387" i="12"/>
  <c r="K379" i="12"/>
  <c r="J379" i="12"/>
  <c r="I379" i="12"/>
  <c r="H379" i="12"/>
  <c r="G379" i="12"/>
  <c r="F379" i="12"/>
  <c r="E379" i="12"/>
  <c r="D379" i="12"/>
  <c r="M377" i="12"/>
  <c r="O377" i="12" s="1"/>
  <c r="L377" i="12"/>
  <c r="N377" i="12" s="1"/>
  <c r="M376" i="12"/>
  <c r="O376" i="12" s="1"/>
  <c r="L376" i="12"/>
  <c r="N376" i="12" s="1"/>
  <c r="M375" i="12"/>
  <c r="O375" i="12" s="1"/>
  <c r="L375" i="12"/>
  <c r="N375" i="12" s="1"/>
  <c r="M374" i="12"/>
  <c r="O374" i="12" s="1"/>
  <c r="L374" i="12"/>
  <c r="N374" i="12" s="1"/>
  <c r="M373" i="12"/>
  <c r="O373" i="12" s="1"/>
  <c r="L373" i="12"/>
  <c r="N373" i="12" s="1"/>
  <c r="M372" i="12"/>
  <c r="O372" i="12" s="1"/>
  <c r="L372" i="12"/>
  <c r="N372" i="12" s="1"/>
  <c r="M371" i="12"/>
  <c r="O371" i="12" s="1"/>
  <c r="L371" i="12"/>
  <c r="N371" i="12" s="1"/>
  <c r="M370" i="12"/>
  <c r="O370" i="12" s="1"/>
  <c r="L370" i="12"/>
  <c r="N370" i="12" s="1"/>
  <c r="M369" i="12"/>
  <c r="O369" i="12" s="1"/>
  <c r="L369" i="12"/>
  <c r="N369" i="12" s="1"/>
  <c r="M368" i="12"/>
  <c r="O368" i="12" s="1"/>
  <c r="L368" i="12"/>
  <c r="N368" i="12" s="1"/>
  <c r="M367" i="12"/>
  <c r="O367" i="12" s="1"/>
  <c r="L367" i="12"/>
  <c r="N367" i="12" s="1"/>
  <c r="M366" i="12"/>
  <c r="O366" i="12" s="1"/>
  <c r="L366" i="12"/>
  <c r="N366" i="12" s="1"/>
  <c r="K358" i="12"/>
  <c r="J358" i="12"/>
  <c r="I358" i="12"/>
  <c r="H358" i="12"/>
  <c r="G358" i="12"/>
  <c r="F358" i="12"/>
  <c r="E358" i="12"/>
  <c r="D358" i="12"/>
  <c r="M356" i="12"/>
  <c r="O356" i="12" s="1"/>
  <c r="L356" i="12"/>
  <c r="N356" i="12" s="1"/>
  <c r="M355" i="12"/>
  <c r="O355" i="12" s="1"/>
  <c r="L355" i="12"/>
  <c r="N355" i="12" s="1"/>
  <c r="M354" i="12"/>
  <c r="O354" i="12" s="1"/>
  <c r="L354" i="12"/>
  <c r="N354" i="12" s="1"/>
  <c r="M353" i="12"/>
  <c r="O353" i="12" s="1"/>
  <c r="L353" i="12"/>
  <c r="N353" i="12" s="1"/>
  <c r="M352" i="12"/>
  <c r="O352" i="12" s="1"/>
  <c r="L352" i="12"/>
  <c r="N352" i="12" s="1"/>
  <c r="M351" i="12"/>
  <c r="O351" i="12" s="1"/>
  <c r="L351" i="12"/>
  <c r="N351" i="12" s="1"/>
  <c r="M350" i="12"/>
  <c r="O350" i="12" s="1"/>
  <c r="L350" i="12"/>
  <c r="N350" i="12" s="1"/>
  <c r="M349" i="12"/>
  <c r="O349" i="12" s="1"/>
  <c r="L349" i="12"/>
  <c r="N349" i="12" s="1"/>
  <c r="M348" i="12"/>
  <c r="O348" i="12" s="1"/>
  <c r="L348" i="12"/>
  <c r="N348" i="12" s="1"/>
  <c r="M347" i="12"/>
  <c r="O347" i="12" s="1"/>
  <c r="L347" i="12"/>
  <c r="N347" i="12" s="1"/>
  <c r="M346" i="12"/>
  <c r="O346" i="12" s="1"/>
  <c r="L346" i="12"/>
  <c r="N346" i="12" s="1"/>
  <c r="M345" i="12"/>
  <c r="O345" i="12" s="1"/>
  <c r="L345" i="12"/>
  <c r="N345" i="12" s="1"/>
  <c r="Q336" i="12"/>
  <c r="P336" i="12"/>
  <c r="O336" i="12"/>
  <c r="N336" i="12"/>
  <c r="M336" i="12"/>
  <c r="L336" i="12"/>
  <c r="I336" i="12"/>
  <c r="H336" i="12"/>
  <c r="G336" i="12"/>
  <c r="F336" i="12"/>
  <c r="E336" i="12"/>
  <c r="D336" i="12"/>
  <c r="J317" i="12"/>
  <c r="J316" i="12"/>
  <c r="AB273" i="12"/>
  <c r="Z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AU271" i="12"/>
  <c r="AU270" i="12"/>
  <c r="AU269" i="12"/>
  <c r="AU268" i="12"/>
  <c r="AU267" i="12"/>
  <c r="AU266" i="12"/>
  <c r="AU265" i="12"/>
  <c r="AC273" i="12"/>
  <c r="AA273" i="12"/>
  <c r="AU264" i="12"/>
  <c r="AU263" i="12"/>
  <c r="AU262" i="12"/>
  <c r="AU261" i="12"/>
  <c r="AU260" i="12"/>
  <c r="J254" i="12"/>
  <c r="J253" i="12"/>
  <c r="AB252" i="12"/>
  <c r="Z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D252" i="12"/>
  <c r="AU250" i="12"/>
  <c r="AU249" i="12"/>
  <c r="AU248" i="12"/>
  <c r="AU247" i="12"/>
  <c r="AU246" i="12"/>
  <c r="AU245" i="12"/>
  <c r="AU244" i="12"/>
  <c r="AU243" i="12"/>
  <c r="AU242" i="12"/>
  <c r="AU241" i="12"/>
  <c r="AU240" i="12"/>
  <c r="AU239" i="12"/>
  <c r="J233" i="12"/>
  <c r="J232" i="12"/>
  <c r="AB231" i="12"/>
  <c r="Z231" i="12"/>
  <c r="Q231" i="12"/>
  <c r="P231" i="12"/>
  <c r="O231" i="12"/>
  <c r="N231" i="12"/>
  <c r="M231" i="12"/>
  <c r="L231" i="12"/>
  <c r="K231" i="12"/>
  <c r="J231" i="12"/>
  <c r="I231" i="12"/>
  <c r="H231" i="12"/>
  <c r="G231" i="12"/>
  <c r="F231" i="12"/>
  <c r="E231" i="12"/>
  <c r="D231" i="12"/>
  <c r="AU229" i="12"/>
  <c r="AU228" i="12"/>
  <c r="AU227" i="12"/>
  <c r="AU226" i="12"/>
  <c r="AU225" i="12"/>
  <c r="AU224" i="12"/>
  <c r="AU223" i="12"/>
  <c r="AU222" i="12"/>
  <c r="AU221" i="12"/>
  <c r="AU220" i="12"/>
  <c r="AU219" i="12"/>
  <c r="AU218" i="12"/>
  <c r="J212" i="12"/>
  <c r="J211" i="12"/>
  <c r="AB210" i="12"/>
  <c r="Z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AU208" i="12"/>
  <c r="AU207" i="12"/>
  <c r="AU206" i="12"/>
  <c r="AU205" i="12"/>
  <c r="AU204" i="12"/>
  <c r="AU203" i="12"/>
  <c r="AU202" i="12"/>
  <c r="AU201" i="12"/>
  <c r="AU200" i="12"/>
  <c r="AU199" i="12"/>
  <c r="AU198" i="12"/>
  <c r="AU197" i="12"/>
  <c r="J191" i="12"/>
  <c r="J190" i="12"/>
  <c r="AB189" i="12"/>
  <c r="Z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AU187" i="12"/>
  <c r="AU186" i="12"/>
  <c r="AU185" i="12"/>
  <c r="AU184" i="12"/>
  <c r="AU183" i="12"/>
  <c r="AU182" i="12"/>
  <c r="AU181" i="12"/>
  <c r="AU180" i="12"/>
  <c r="AU179" i="12"/>
  <c r="AU178" i="12"/>
  <c r="AU177" i="12"/>
  <c r="AU176" i="12"/>
  <c r="J170" i="12"/>
  <c r="J169" i="12"/>
  <c r="AB168" i="12"/>
  <c r="Z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AU166" i="12"/>
  <c r="AU165" i="12"/>
  <c r="AU164" i="12"/>
  <c r="AU163" i="12"/>
  <c r="AU162" i="12"/>
  <c r="AU161" i="12"/>
  <c r="AU160" i="12"/>
  <c r="AU159" i="12"/>
  <c r="AU158" i="12"/>
  <c r="AU157" i="12"/>
  <c r="AU156" i="12"/>
  <c r="AU155" i="12"/>
  <c r="J149" i="12"/>
  <c r="J148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AU145" i="12"/>
  <c r="AU144" i="12"/>
  <c r="AU143" i="12"/>
  <c r="AU142" i="12"/>
  <c r="AU141" i="12"/>
  <c r="AU140" i="12"/>
  <c r="AU139" i="12"/>
  <c r="AU138" i="12"/>
  <c r="AU137" i="12"/>
  <c r="AU136" i="12"/>
  <c r="AU135" i="12"/>
  <c r="AU134" i="12"/>
  <c r="J128" i="12"/>
  <c r="J127" i="12"/>
  <c r="U126" i="12"/>
  <c r="T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AU124" i="12"/>
  <c r="AU123" i="12"/>
  <c r="AU122" i="12"/>
  <c r="AU121" i="12"/>
  <c r="AU120" i="12"/>
  <c r="AU119" i="12"/>
  <c r="AU118" i="12"/>
  <c r="AU117" i="12"/>
  <c r="AU116" i="12"/>
  <c r="AU115" i="12"/>
  <c r="AU114" i="12"/>
  <c r="AU113" i="12"/>
  <c r="J107" i="12"/>
  <c r="J106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AU103" i="12"/>
  <c r="AU102" i="12"/>
  <c r="AU101" i="12"/>
  <c r="AU100" i="12"/>
  <c r="AU99" i="12"/>
  <c r="AU98" i="12"/>
  <c r="AU97" i="12"/>
  <c r="AU96" i="12"/>
  <c r="AU95" i="12"/>
  <c r="AU94" i="12"/>
  <c r="AU93" i="12"/>
  <c r="AU92" i="12"/>
  <c r="J86" i="12"/>
  <c r="J85" i="12"/>
  <c r="AB84" i="12"/>
  <c r="Z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AU82" i="12"/>
  <c r="AU81" i="12"/>
  <c r="AU80" i="12"/>
  <c r="AU79" i="12"/>
  <c r="AU78" i="12"/>
  <c r="AU77" i="12"/>
  <c r="AU76" i="12"/>
  <c r="AU75" i="12"/>
  <c r="AU74" i="12"/>
  <c r="AU73" i="12"/>
  <c r="AU72" i="12"/>
  <c r="AU71" i="12"/>
  <c r="J65" i="12"/>
  <c r="J64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AU61" i="12"/>
  <c r="AU60" i="12"/>
  <c r="AU59" i="12"/>
  <c r="AU58" i="12"/>
  <c r="AU57" i="12"/>
  <c r="AU56" i="12"/>
  <c r="AU55" i="12"/>
  <c r="AU54" i="12"/>
  <c r="AU53" i="12"/>
  <c r="AU52" i="12"/>
  <c r="AU51" i="12"/>
  <c r="AU50" i="12"/>
  <c r="J44" i="12"/>
  <c r="J43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AU40" i="12"/>
  <c r="AU39" i="12"/>
  <c r="AU38" i="12"/>
  <c r="AU37" i="12"/>
  <c r="AU36" i="12"/>
  <c r="AU35" i="12"/>
  <c r="AU34" i="12"/>
  <c r="AU33" i="12"/>
  <c r="AU32" i="12"/>
  <c r="AU31" i="12"/>
  <c r="AU30" i="12"/>
  <c r="AU29" i="12"/>
  <c r="J23" i="12"/>
  <c r="J22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U19" i="12"/>
  <c r="AP19" i="12"/>
  <c r="AO19" i="12"/>
  <c r="AN19" i="12"/>
  <c r="AM19" i="12"/>
  <c r="AL19" i="12"/>
  <c r="AK19" i="12"/>
  <c r="AJ19" i="12"/>
  <c r="AI19" i="12"/>
  <c r="AH19" i="12"/>
  <c r="AG19" i="12"/>
  <c r="AU18" i="12"/>
  <c r="AP18" i="12"/>
  <c r="AO18" i="12"/>
  <c r="AN18" i="12"/>
  <c r="AM18" i="12"/>
  <c r="AL18" i="12"/>
  <c r="AK18" i="12"/>
  <c r="AJ18" i="12"/>
  <c r="AI18" i="12"/>
  <c r="AH18" i="12"/>
  <c r="AG18" i="12"/>
  <c r="AU17" i="12"/>
  <c r="AP17" i="12"/>
  <c r="AO17" i="12"/>
  <c r="AN17" i="12"/>
  <c r="AM17" i="12"/>
  <c r="AL17" i="12"/>
  <c r="AK17" i="12"/>
  <c r="AJ17" i="12"/>
  <c r="AI17" i="12"/>
  <c r="AH17" i="12"/>
  <c r="AG17" i="12"/>
  <c r="AU16" i="12"/>
  <c r="AP16" i="12"/>
  <c r="AO16" i="12"/>
  <c r="AN16" i="12"/>
  <c r="AM16" i="12"/>
  <c r="AL16" i="12"/>
  <c r="AK16" i="12"/>
  <c r="AJ16" i="12"/>
  <c r="AI16" i="12"/>
  <c r="AH16" i="12"/>
  <c r="AG16" i="12"/>
  <c r="AU15" i="12"/>
  <c r="AP15" i="12"/>
  <c r="AO15" i="12"/>
  <c r="AN15" i="12"/>
  <c r="AM15" i="12"/>
  <c r="AL15" i="12"/>
  <c r="AK15" i="12"/>
  <c r="AJ15" i="12"/>
  <c r="AI15" i="12"/>
  <c r="AH15" i="12"/>
  <c r="AG15" i="12"/>
  <c r="AU14" i="12"/>
  <c r="AP14" i="12"/>
  <c r="AO14" i="12"/>
  <c r="AN14" i="12"/>
  <c r="AM14" i="12"/>
  <c r="AL14" i="12"/>
  <c r="AK14" i="12"/>
  <c r="AJ14" i="12"/>
  <c r="AI14" i="12"/>
  <c r="AH14" i="12"/>
  <c r="AG14" i="12"/>
  <c r="AU13" i="12"/>
  <c r="AP13" i="12"/>
  <c r="AO13" i="12"/>
  <c r="AN13" i="12"/>
  <c r="AM13" i="12"/>
  <c r="AL13" i="12"/>
  <c r="AK13" i="12"/>
  <c r="AJ13" i="12"/>
  <c r="AI13" i="12"/>
  <c r="AH13" i="12"/>
  <c r="AG13" i="12"/>
  <c r="AU12" i="12"/>
  <c r="AP12" i="12"/>
  <c r="AO12" i="12"/>
  <c r="AN12" i="12"/>
  <c r="AM12" i="12"/>
  <c r="AL12" i="12"/>
  <c r="AK12" i="12"/>
  <c r="AJ12" i="12"/>
  <c r="AI12" i="12"/>
  <c r="AH12" i="12"/>
  <c r="AG12" i="12"/>
  <c r="AU11" i="12"/>
  <c r="AP11" i="12"/>
  <c r="AO11" i="12"/>
  <c r="AN11" i="12"/>
  <c r="AM11" i="12"/>
  <c r="AL11" i="12"/>
  <c r="AK11" i="12"/>
  <c r="AJ11" i="12"/>
  <c r="AI11" i="12"/>
  <c r="AH11" i="12"/>
  <c r="AG11" i="12"/>
  <c r="AU10" i="12"/>
  <c r="AP10" i="12"/>
  <c r="AO10" i="12"/>
  <c r="AN10" i="12"/>
  <c r="AM10" i="12"/>
  <c r="AL10" i="12"/>
  <c r="AK10" i="12"/>
  <c r="AJ10" i="12"/>
  <c r="AI10" i="12"/>
  <c r="AH10" i="12"/>
  <c r="AG10" i="12"/>
  <c r="AU9" i="12"/>
  <c r="AP9" i="12"/>
  <c r="AO9" i="12"/>
  <c r="AN9" i="12"/>
  <c r="AM9" i="12"/>
  <c r="AL9" i="12"/>
  <c r="AK9" i="12"/>
  <c r="AJ9" i="12"/>
  <c r="AI9" i="12"/>
  <c r="AH9" i="12"/>
  <c r="AG9" i="12"/>
  <c r="AU8" i="12"/>
  <c r="AP8" i="12"/>
  <c r="AN8" i="12"/>
  <c r="AM8" i="12"/>
  <c r="AL8" i="12"/>
  <c r="AK8" i="12"/>
  <c r="AJ8" i="12"/>
  <c r="AI8" i="12"/>
  <c r="AH8" i="12"/>
  <c r="M274" i="9"/>
  <c r="L274" i="9"/>
  <c r="M253" i="9"/>
  <c r="L253" i="9"/>
  <c r="M232" i="9"/>
  <c r="L232" i="9"/>
  <c r="M211" i="9"/>
  <c r="L211" i="9"/>
  <c r="M190" i="9"/>
  <c r="L190" i="9"/>
  <c r="M169" i="9"/>
  <c r="L169" i="9"/>
  <c r="M148" i="9"/>
  <c r="L148" i="9"/>
  <c r="M127" i="9"/>
  <c r="L127" i="9"/>
  <c r="M106" i="9"/>
  <c r="L106" i="9"/>
  <c r="L85" i="9"/>
  <c r="M85" i="9"/>
  <c r="M64" i="9"/>
  <c r="L64" i="9"/>
  <c r="M43" i="9"/>
  <c r="L43" i="9"/>
  <c r="M22" i="9"/>
  <c r="L22" i="9"/>
  <c r="G316" i="9"/>
  <c r="F316" i="9"/>
  <c r="K289" i="9"/>
  <c r="AT9" i="12" l="1"/>
  <c r="AW9" i="12" s="1"/>
  <c r="AS12" i="12"/>
  <c r="AV12" i="12" s="1"/>
  <c r="AT17" i="12"/>
  <c r="AW17" i="12" s="1"/>
  <c r="AT12" i="12"/>
  <c r="AW12" i="12" s="1"/>
  <c r="AS9" i="12"/>
  <c r="AV9" i="12" s="1"/>
  <c r="AT14" i="12"/>
  <c r="AW14" i="12" s="1"/>
  <c r="AS17" i="12"/>
  <c r="AV17" i="12" s="1"/>
  <c r="AT15" i="12"/>
  <c r="AW15" i="12" s="1"/>
  <c r="AS18" i="12"/>
  <c r="AV18" i="12" s="1"/>
  <c r="AS13" i="12"/>
  <c r="AV13" i="12" s="1"/>
  <c r="AS15" i="12"/>
  <c r="AV15" i="12" s="1"/>
  <c r="AS8" i="12"/>
  <c r="AT10" i="12"/>
  <c r="AW10" i="12" s="1"/>
  <c r="AT18" i="12"/>
  <c r="AW18" i="12" s="1"/>
  <c r="AT13" i="12"/>
  <c r="AW13" i="12" s="1"/>
  <c r="AS16" i="12"/>
  <c r="AV16" i="12" s="1"/>
  <c r="AS11" i="12"/>
  <c r="AV11" i="12" s="1"/>
  <c r="AT16" i="12"/>
  <c r="AW16" i="12" s="1"/>
  <c r="AS10" i="12"/>
  <c r="AV10" i="12" s="1"/>
  <c r="AT8" i="12"/>
  <c r="AS19" i="12"/>
  <c r="AV19" i="12" s="1"/>
  <c r="AT11" i="12"/>
  <c r="AW11" i="12" s="1"/>
  <c r="AS14" i="12"/>
  <c r="AV14" i="12" s="1"/>
  <c r="AT19" i="12"/>
  <c r="AW19" i="12" s="1"/>
  <c r="H526" i="12"/>
  <c r="L519" i="12"/>
  <c r="N519" i="12" s="1"/>
  <c r="L520" i="12"/>
  <c r="N520" i="12" s="1"/>
  <c r="L521" i="12"/>
  <c r="N521" i="12" s="1"/>
  <c r="L522" i="12"/>
  <c r="N522" i="12" s="1"/>
  <c r="L523" i="12"/>
  <c r="N523" i="12" s="1"/>
  <c r="L524" i="12"/>
  <c r="N524" i="12" s="1"/>
  <c r="M516" i="12"/>
  <c r="O516" i="12" s="1"/>
  <c r="M518" i="12"/>
  <c r="O518" i="12" s="1"/>
  <c r="M520" i="12"/>
  <c r="O520" i="12" s="1"/>
  <c r="M522" i="12"/>
  <c r="O522" i="12" s="1"/>
  <c r="M523" i="12"/>
  <c r="O523" i="12" s="1"/>
  <c r="M524" i="12"/>
  <c r="O524" i="12" s="1"/>
  <c r="L442" i="12"/>
  <c r="J526" i="12"/>
  <c r="L400" i="12"/>
  <c r="K526" i="12"/>
  <c r="AW78" i="12"/>
  <c r="AA84" i="12"/>
  <c r="AW198" i="12"/>
  <c r="AC189" i="12"/>
  <c r="AC210" i="12"/>
  <c r="T336" i="12"/>
  <c r="AV142" i="12"/>
  <c r="AW156" i="12"/>
  <c r="AA189" i="12"/>
  <c r="AV31" i="12"/>
  <c r="AW34" i="12"/>
  <c r="AV39" i="12"/>
  <c r="AW55" i="12"/>
  <c r="AW144" i="12"/>
  <c r="AW52" i="12"/>
  <c r="T147" i="12"/>
  <c r="AC252" i="12"/>
  <c r="AW204" i="12"/>
  <c r="AW60" i="12"/>
  <c r="AV72" i="12"/>
  <c r="AV76" i="12"/>
  <c r="AV185" i="12"/>
  <c r="AW79" i="12"/>
  <c r="AW163" i="12"/>
  <c r="AV164" i="12"/>
  <c r="AW261" i="12"/>
  <c r="AV124" i="12"/>
  <c r="AW164" i="12"/>
  <c r="AV186" i="12"/>
  <c r="AW201" i="12"/>
  <c r="AV204" i="12"/>
  <c r="AW266" i="12"/>
  <c r="AB315" i="12"/>
  <c r="AO21" i="12"/>
  <c r="AV95" i="12"/>
  <c r="AV99" i="12"/>
  <c r="AW182" i="12"/>
  <c r="AV247" i="12"/>
  <c r="AP21" i="12"/>
  <c r="AW37" i="12"/>
  <c r="AV38" i="12"/>
  <c r="AV57" i="12"/>
  <c r="AW241" i="12"/>
  <c r="AV244" i="12"/>
  <c r="AI21" i="12"/>
  <c r="AL21" i="12"/>
  <c r="AV268" i="12"/>
  <c r="U210" i="12"/>
  <c r="N429" i="12"/>
  <c r="D526" i="12"/>
  <c r="M421" i="12"/>
  <c r="O408" i="12"/>
  <c r="N387" i="12"/>
  <c r="F526" i="12"/>
  <c r="L358" i="12"/>
  <c r="L514" i="12"/>
  <c r="N514" i="12" s="1"/>
  <c r="L515" i="12"/>
  <c r="N515" i="12" s="1"/>
  <c r="L516" i="12"/>
  <c r="N516" i="12" s="1"/>
  <c r="M514" i="12"/>
  <c r="O514" i="12" s="1"/>
  <c r="L517" i="12"/>
  <c r="N517" i="12" s="1"/>
  <c r="L518" i="12"/>
  <c r="N518" i="12" s="1"/>
  <c r="AW271" i="12"/>
  <c r="U273" i="12"/>
  <c r="AW270" i="12"/>
  <c r="AV262" i="12"/>
  <c r="AW265" i="12"/>
  <c r="AW260" i="12"/>
  <c r="AV261" i="12"/>
  <c r="AV265" i="12"/>
  <c r="AW264" i="12"/>
  <c r="AV267" i="12"/>
  <c r="AV266" i="12"/>
  <c r="AW267" i="12"/>
  <c r="AW249" i="12"/>
  <c r="AW242" i="12"/>
  <c r="AW246" i="12"/>
  <c r="U252" i="12"/>
  <c r="AW250" i="12"/>
  <c r="AV246" i="12"/>
  <c r="AW243" i="12"/>
  <c r="AV250" i="12"/>
  <c r="AV242" i="12"/>
  <c r="AV219" i="12"/>
  <c r="AV223" i="12"/>
  <c r="AV227" i="12"/>
  <c r="AW228" i="12"/>
  <c r="AW221" i="12"/>
  <c r="AW223" i="12"/>
  <c r="AW227" i="12"/>
  <c r="AW220" i="12"/>
  <c r="AW226" i="12"/>
  <c r="AV224" i="12"/>
  <c r="AV228" i="12"/>
  <c r="AV203" i="12"/>
  <c r="AW200" i="12"/>
  <c r="AV201" i="12"/>
  <c r="AV205" i="12"/>
  <c r="AV207" i="12"/>
  <c r="AV200" i="12"/>
  <c r="AW203" i="12"/>
  <c r="AW207" i="12"/>
  <c r="AV208" i="12"/>
  <c r="AV176" i="12"/>
  <c r="AV180" i="12"/>
  <c r="AV182" i="12"/>
  <c r="AW177" i="12"/>
  <c r="AW184" i="12"/>
  <c r="AV179" i="12"/>
  <c r="AW180" i="12"/>
  <c r="AW185" i="12"/>
  <c r="AW158" i="12"/>
  <c r="AW162" i="12"/>
  <c r="AW166" i="12"/>
  <c r="AV165" i="12"/>
  <c r="AV159" i="12"/>
  <c r="AV163" i="12"/>
  <c r="AW157" i="12"/>
  <c r="AV156" i="12"/>
  <c r="AA168" i="12"/>
  <c r="AV160" i="12"/>
  <c r="AV144" i="12"/>
  <c r="AV135" i="12"/>
  <c r="AV141" i="12"/>
  <c r="AV143" i="12"/>
  <c r="AV145" i="12"/>
  <c r="AW135" i="12"/>
  <c r="AW143" i="12"/>
  <c r="AW141" i="12"/>
  <c r="AV134" i="12"/>
  <c r="AW140" i="12"/>
  <c r="AW142" i="12"/>
  <c r="P315" i="12"/>
  <c r="AV121" i="12"/>
  <c r="AW117" i="12"/>
  <c r="AV123" i="12"/>
  <c r="AW113" i="12"/>
  <c r="AW114" i="12"/>
  <c r="AV117" i="12"/>
  <c r="AW123" i="12"/>
  <c r="AV120" i="12"/>
  <c r="AV118" i="12"/>
  <c r="AW118" i="12"/>
  <c r="AW120" i="12"/>
  <c r="AW99" i="12"/>
  <c r="AW97" i="12"/>
  <c r="AW101" i="12"/>
  <c r="AV103" i="12"/>
  <c r="AW92" i="12"/>
  <c r="U105" i="12"/>
  <c r="AW96" i="12"/>
  <c r="T105" i="12"/>
  <c r="AW98" i="12"/>
  <c r="AW102" i="12"/>
  <c r="AV98" i="12"/>
  <c r="AV100" i="12"/>
  <c r="AW95" i="12"/>
  <c r="AV77" i="12"/>
  <c r="AW74" i="12"/>
  <c r="AW77" i="12"/>
  <c r="AW73" i="12"/>
  <c r="AV75" i="12"/>
  <c r="AV80" i="12"/>
  <c r="AV74" i="12"/>
  <c r="AW80" i="12"/>
  <c r="AV79" i="12"/>
  <c r="AW72" i="12"/>
  <c r="AV81" i="12"/>
  <c r="AW56" i="12"/>
  <c r="AV58" i="12"/>
  <c r="AV55" i="12"/>
  <c r="H315" i="12"/>
  <c r="AV56" i="12"/>
  <c r="AV53" i="12"/>
  <c r="AW57" i="12"/>
  <c r="AV33" i="12"/>
  <c r="AV30" i="12"/>
  <c r="X330" i="12"/>
  <c r="AW36" i="12"/>
  <c r="U42" i="12"/>
  <c r="AW33" i="12"/>
  <c r="AV34" i="12"/>
  <c r="D315" i="12"/>
  <c r="AW30" i="12"/>
  <c r="AV35" i="12"/>
  <c r="AV37" i="12"/>
  <c r="AW38" i="12"/>
  <c r="AW40" i="12"/>
  <c r="X333" i="12"/>
  <c r="AW29" i="12"/>
  <c r="AW32" i="12"/>
  <c r="AG21" i="12"/>
  <c r="AH21" i="12"/>
  <c r="G315" i="12"/>
  <c r="G316" i="12" s="1"/>
  <c r="O315" i="12"/>
  <c r="AJ21" i="12"/>
  <c r="W324" i="12"/>
  <c r="W326" i="12"/>
  <c r="W328" i="12"/>
  <c r="AM21" i="12"/>
  <c r="AK21" i="12"/>
  <c r="X332" i="12"/>
  <c r="U21" i="12"/>
  <c r="AN21" i="12"/>
  <c r="X326" i="12"/>
  <c r="AW58" i="12"/>
  <c r="AV73" i="12"/>
  <c r="AV101" i="12"/>
  <c r="AW115" i="12"/>
  <c r="AW136" i="12"/>
  <c r="T21" i="12"/>
  <c r="T42" i="12"/>
  <c r="AV54" i="12"/>
  <c r="AW75" i="12"/>
  <c r="AW76" i="12"/>
  <c r="AV82" i="12"/>
  <c r="V126" i="12"/>
  <c r="AV158" i="12"/>
  <c r="AV162" i="12"/>
  <c r="AV52" i="12"/>
  <c r="AW53" i="12"/>
  <c r="AW54" i="12"/>
  <c r="AV60" i="12"/>
  <c r="AW61" i="12"/>
  <c r="AW82" i="12"/>
  <c r="AV94" i="12"/>
  <c r="AW100" i="12"/>
  <c r="AV122" i="12"/>
  <c r="AV138" i="12"/>
  <c r="U147" i="12"/>
  <c r="AV157" i="12"/>
  <c r="AW179" i="12"/>
  <c r="AV187" i="12"/>
  <c r="AV115" i="12"/>
  <c r="AV93" i="12"/>
  <c r="AW94" i="12"/>
  <c r="AW103" i="12"/>
  <c r="W126" i="12"/>
  <c r="AW122" i="12"/>
  <c r="AW138" i="12"/>
  <c r="AW187" i="12"/>
  <c r="AV206" i="12"/>
  <c r="AW119" i="12"/>
  <c r="AV40" i="12"/>
  <c r="AC84" i="12"/>
  <c r="AW81" i="12"/>
  <c r="AW93" i="12"/>
  <c r="AV96" i="12"/>
  <c r="AV97" i="12"/>
  <c r="AV102" i="12"/>
  <c r="AV161" i="12"/>
  <c r="AW165" i="12"/>
  <c r="T210" i="12"/>
  <c r="AW206" i="12"/>
  <c r="AW224" i="12"/>
  <c r="AV32" i="12"/>
  <c r="AV36" i="12"/>
  <c r="AV51" i="12"/>
  <c r="AV59" i="12"/>
  <c r="AV137" i="12"/>
  <c r="AV181" i="12"/>
  <c r="AV136" i="12"/>
  <c r="AW31" i="12"/>
  <c r="AW35" i="12"/>
  <c r="AW39" i="12"/>
  <c r="AW51" i="12"/>
  <c r="AW59" i="12"/>
  <c r="AV78" i="12"/>
  <c r="AV116" i="12"/>
  <c r="AW121" i="12"/>
  <c r="AW124" i="12"/>
  <c r="AW137" i="12"/>
  <c r="AW116" i="12"/>
  <c r="AW159" i="12"/>
  <c r="AW161" i="12"/>
  <c r="AW183" i="12"/>
  <c r="AW186" i="12"/>
  <c r="AW205" i="12"/>
  <c r="AV226" i="12"/>
  <c r="AV140" i="12"/>
  <c r="AC168" i="12"/>
  <c r="AW160" i="12"/>
  <c r="AV177" i="12"/>
  <c r="AV178" i="12"/>
  <c r="AV183" i="12"/>
  <c r="AA210" i="12"/>
  <c r="AV202" i="12"/>
  <c r="AC231" i="12"/>
  <c r="AA231" i="12"/>
  <c r="AW245" i="12"/>
  <c r="K315" i="12"/>
  <c r="X323" i="12"/>
  <c r="AW178" i="12"/>
  <c r="AW202" i="12"/>
  <c r="AV229" i="12"/>
  <c r="AV264" i="12"/>
  <c r="X325" i="12"/>
  <c r="M315" i="12"/>
  <c r="X334" i="12"/>
  <c r="AV114" i="12"/>
  <c r="AW139" i="12"/>
  <c r="AW145" i="12"/>
  <c r="AV166" i="12"/>
  <c r="AV220" i="12"/>
  <c r="AV225" i="12"/>
  <c r="AW229" i="12"/>
  <c r="AV240" i="12"/>
  <c r="E315" i="12"/>
  <c r="AV119" i="12"/>
  <c r="AV139" i="12"/>
  <c r="AV198" i="12"/>
  <c r="AV199" i="12"/>
  <c r="AW208" i="12"/>
  <c r="AW219" i="12"/>
  <c r="AV221" i="12"/>
  <c r="AV222" i="12"/>
  <c r="AW225" i="12"/>
  <c r="AW240" i="12"/>
  <c r="AW181" i="12"/>
  <c r="AV184" i="12"/>
  <c r="AW199" i="12"/>
  <c r="AW222" i="12"/>
  <c r="AV249" i="12"/>
  <c r="AV270" i="12"/>
  <c r="W325" i="12"/>
  <c r="AV248" i="12"/>
  <c r="AV263" i="12"/>
  <c r="Z315" i="12"/>
  <c r="U336" i="12"/>
  <c r="M358" i="12"/>
  <c r="M400" i="12"/>
  <c r="AW248" i="12"/>
  <c r="T273" i="12"/>
  <c r="AW263" i="12"/>
  <c r="AV269" i="12"/>
  <c r="F315" i="12"/>
  <c r="F316" i="12" s="1"/>
  <c r="N315" i="12"/>
  <c r="M442" i="12"/>
  <c r="E526" i="12"/>
  <c r="T252" i="12"/>
  <c r="AW247" i="12"/>
  <c r="AW262" i="12"/>
  <c r="AW269" i="12"/>
  <c r="W327" i="12"/>
  <c r="M515" i="12"/>
  <c r="O515" i="12" s="1"/>
  <c r="AV243" i="12"/>
  <c r="AV245" i="12"/>
  <c r="AV271" i="12"/>
  <c r="X329" i="12"/>
  <c r="X331" i="12"/>
  <c r="M517" i="12"/>
  <c r="O517" i="12" s="1"/>
  <c r="AA252" i="12"/>
  <c r="AW268" i="12"/>
  <c r="I315" i="12"/>
  <c r="Q315" i="12"/>
  <c r="M519" i="12"/>
  <c r="O519" i="12" s="1"/>
  <c r="AV241" i="12"/>
  <c r="AW244" i="12"/>
  <c r="T254" i="12"/>
  <c r="J315" i="12"/>
  <c r="J318" i="12" s="1"/>
  <c r="X324" i="12"/>
  <c r="X328" i="12"/>
  <c r="W329" i="12"/>
  <c r="I526" i="12"/>
  <c r="M521" i="12"/>
  <c r="O521" i="12" s="1"/>
  <c r="L421" i="12"/>
  <c r="W330" i="12"/>
  <c r="W331" i="12"/>
  <c r="W332" i="12"/>
  <c r="W333" i="12"/>
  <c r="W334" i="12"/>
  <c r="L315" i="12"/>
  <c r="L379" i="12"/>
  <c r="L463" i="12"/>
  <c r="M379" i="12"/>
  <c r="M463" i="12"/>
  <c r="L513" i="12"/>
  <c r="M513" i="12"/>
  <c r="G318" i="12" l="1"/>
  <c r="F318" i="12"/>
  <c r="K318" i="12"/>
  <c r="R317" i="12"/>
  <c r="R318" i="12" s="1"/>
  <c r="E316" i="12"/>
  <c r="D316" i="12"/>
  <c r="S317" i="12"/>
  <c r="AW311" i="12"/>
  <c r="AV308" i="12"/>
  <c r="AW304" i="12"/>
  <c r="AV306" i="12"/>
  <c r="AW306" i="12"/>
  <c r="AW313" i="12"/>
  <c r="AW309" i="12"/>
  <c r="AV307" i="12"/>
  <c r="AV305" i="12"/>
  <c r="AC315" i="12"/>
  <c r="AW312" i="12"/>
  <c r="AW307" i="12"/>
  <c r="X327" i="12"/>
  <c r="X336" i="12" s="1"/>
  <c r="AV303" i="12"/>
  <c r="AW302" i="12"/>
  <c r="AW303" i="12"/>
  <c r="AV304" i="12"/>
  <c r="AW305" i="12"/>
  <c r="AV312" i="12"/>
  <c r="AV309" i="12"/>
  <c r="M254" i="12"/>
  <c r="AV197" i="12"/>
  <c r="AW134" i="12"/>
  <c r="M212" i="12"/>
  <c r="L526" i="12"/>
  <c r="N513" i="12"/>
  <c r="W315" i="12"/>
  <c r="AV50" i="12"/>
  <c r="M526" i="12"/>
  <c r="G527" i="12" s="1"/>
  <c r="O513" i="12"/>
  <c r="AV239" i="12"/>
  <c r="AV113" i="12"/>
  <c r="AV8" i="12"/>
  <c r="AS21" i="12"/>
  <c r="AW197" i="12"/>
  <c r="AV155" i="12"/>
  <c r="AW176" i="12"/>
  <c r="AV92" i="12"/>
  <c r="AT21" i="12"/>
  <c r="AW8" i="12"/>
  <c r="AV218" i="12"/>
  <c r="AW50" i="12"/>
  <c r="AV311" i="12"/>
  <c r="AV313" i="12"/>
  <c r="AW155" i="12"/>
  <c r="AV260" i="12"/>
  <c r="AW310" i="12"/>
  <c r="AA315" i="12"/>
  <c r="AV310" i="12"/>
  <c r="AW71" i="12"/>
  <c r="W323" i="12"/>
  <c r="W336" i="12" s="1"/>
  <c r="V315" i="12"/>
  <c r="AW308" i="12"/>
  <c r="AW239" i="12"/>
  <c r="AW218" i="12"/>
  <c r="AV71" i="12"/>
  <c r="AV29" i="12"/>
  <c r="AA265" i="9"/>
  <c r="AA244" i="9"/>
  <c r="AA243" i="9"/>
  <c r="Y265" i="9"/>
  <c r="Y243" i="9"/>
  <c r="AA223" i="9"/>
  <c r="Y223" i="9"/>
  <c r="Y222" i="9"/>
  <c r="AA222" i="9"/>
  <c r="AA202" i="9"/>
  <c r="AA201" i="9"/>
  <c r="Y202" i="9"/>
  <c r="Y201" i="9"/>
  <c r="AA97" i="9"/>
  <c r="Y97" i="9"/>
  <c r="AA96" i="9"/>
  <c r="Y96" i="9"/>
  <c r="L528" i="12" l="1"/>
  <c r="H4" i="15"/>
  <c r="M528" i="12"/>
  <c r="E527" i="12"/>
  <c r="K527" i="12"/>
  <c r="I527" i="12"/>
  <c r="AV302" i="12"/>
  <c r="J296" i="9" l="1"/>
  <c r="J295" i="9"/>
  <c r="J275" i="9"/>
  <c r="J274" i="9"/>
  <c r="J254" i="9"/>
  <c r="J253" i="9"/>
  <c r="J233" i="9"/>
  <c r="J232" i="9"/>
  <c r="J212" i="9"/>
  <c r="J211" i="9"/>
  <c r="J191" i="9"/>
  <c r="J190" i="9"/>
  <c r="J170" i="9"/>
  <c r="J169" i="9"/>
  <c r="J149" i="9"/>
  <c r="J148" i="9"/>
  <c r="J128" i="9"/>
  <c r="J127" i="9"/>
  <c r="J107" i="9"/>
  <c r="J106" i="9"/>
  <c r="J86" i="9"/>
  <c r="J85" i="9"/>
  <c r="J65" i="9"/>
  <c r="J64" i="9"/>
  <c r="J44" i="9"/>
  <c r="J43" i="9"/>
  <c r="J23" i="9"/>
  <c r="J22" i="9"/>
  <c r="R56" i="9" l="1"/>
  <c r="S56" i="9"/>
  <c r="AA273" i="9" l="1"/>
  <c r="Y273" i="9"/>
  <c r="Z273" i="9"/>
  <c r="Z252" i="9"/>
  <c r="X252" i="9"/>
  <c r="AA242" i="9"/>
  <c r="Y242" i="9"/>
  <c r="AA241" i="9"/>
  <c r="Y241" i="9"/>
  <c r="AA240" i="9"/>
  <c r="Y240" i="9"/>
  <c r="AA239" i="9"/>
  <c r="Y239" i="9"/>
  <c r="AA221" i="9"/>
  <c r="Y221" i="9"/>
  <c r="AA220" i="9"/>
  <c r="Y220" i="9"/>
  <c r="AA219" i="9"/>
  <c r="Y219" i="9"/>
  <c r="AA218" i="9"/>
  <c r="Y218" i="9"/>
  <c r="K461" i="9"/>
  <c r="J461" i="9"/>
  <c r="I461" i="9"/>
  <c r="H461" i="9"/>
  <c r="G461" i="9"/>
  <c r="F461" i="9"/>
  <c r="E461" i="9"/>
  <c r="D461" i="9"/>
  <c r="K460" i="9"/>
  <c r="J460" i="9"/>
  <c r="I460" i="9"/>
  <c r="H460" i="9"/>
  <c r="G460" i="9"/>
  <c r="F460" i="9"/>
  <c r="E460" i="9"/>
  <c r="D460" i="9"/>
  <c r="K459" i="9"/>
  <c r="J459" i="9"/>
  <c r="I459" i="9"/>
  <c r="H459" i="9"/>
  <c r="G459" i="9"/>
  <c r="F459" i="9"/>
  <c r="E459" i="9"/>
  <c r="D459" i="9"/>
  <c r="K458" i="9"/>
  <c r="J458" i="9"/>
  <c r="I458" i="9"/>
  <c r="H458" i="9"/>
  <c r="G458" i="9"/>
  <c r="F458" i="9"/>
  <c r="E458" i="9"/>
  <c r="D458" i="9"/>
  <c r="K457" i="9"/>
  <c r="J457" i="9"/>
  <c r="I457" i="9"/>
  <c r="H457" i="9"/>
  <c r="G457" i="9"/>
  <c r="F457" i="9"/>
  <c r="E457" i="9"/>
  <c r="D457" i="9"/>
  <c r="K456" i="9"/>
  <c r="J456" i="9"/>
  <c r="I456" i="9"/>
  <c r="H456" i="9"/>
  <c r="G456" i="9"/>
  <c r="F456" i="9"/>
  <c r="E456" i="9"/>
  <c r="D456" i="9"/>
  <c r="K455" i="9"/>
  <c r="J455" i="9"/>
  <c r="I455" i="9"/>
  <c r="H455" i="9"/>
  <c r="G455" i="9"/>
  <c r="F455" i="9"/>
  <c r="E455" i="9"/>
  <c r="D455" i="9"/>
  <c r="K454" i="9"/>
  <c r="J454" i="9"/>
  <c r="I454" i="9"/>
  <c r="H454" i="9"/>
  <c r="G454" i="9"/>
  <c r="F454" i="9"/>
  <c r="E454" i="9"/>
  <c r="D454" i="9"/>
  <c r="K453" i="9"/>
  <c r="J453" i="9"/>
  <c r="I453" i="9"/>
  <c r="H453" i="9"/>
  <c r="G453" i="9"/>
  <c r="F453" i="9"/>
  <c r="E453" i="9"/>
  <c r="D453" i="9"/>
  <c r="K452" i="9"/>
  <c r="J452" i="9"/>
  <c r="I452" i="9"/>
  <c r="H452" i="9"/>
  <c r="G452" i="9"/>
  <c r="F452" i="9"/>
  <c r="E452" i="9"/>
  <c r="D452" i="9"/>
  <c r="K451" i="9"/>
  <c r="J451" i="9"/>
  <c r="I451" i="9"/>
  <c r="H451" i="9"/>
  <c r="G451" i="9"/>
  <c r="F451" i="9"/>
  <c r="E451" i="9"/>
  <c r="D451" i="9"/>
  <c r="K450" i="9"/>
  <c r="J450" i="9"/>
  <c r="I450" i="9"/>
  <c r="H450" i="9"/>
  <c r="G450" i="9"/>
  <c r="F450" i="9"/>
  <c r="E450" i="9"/>
  <c r="D450" i="9"/>
  <c r="I286" i="9"/>
  <c r="J463" i="9" l="1"/>
  <c r="H463" i="9"/>
  <c r="F463" i="9"/>
  <c r="K463" i="9"/>
  <c r="I463" i="9"/>
  <c r="G463" i="9"/>
  <c r="Y252" i="9"/>
  <c r="AA252" i="9"/>
  <c r="M453" i="9"/>
  <c r="M456" i="9"/>
  <c r="M461" i="9"/>
  <c r="M457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M450" i="9"/>
  <c r="M451" i="9"/>
  <c r="M452" i="9"/>
  <c r="M454" i="9"/>
  <c r="M455" i="9"/>
  <c r="M458" i="9"/>
  <c r="M459" i="9"/>
  <c r="M460" i="9"/>
  <c r="D463" i="9"/>
  <c r="E463" i="9"/>
  <c r="L463" i="9" l="1"/>
  <c r="M463" i="9"/>
  <c r="S292" i="9"/>
  <c r="R292" i="9"/>
  <c r="S291" i="9"/>
  <c r="R291" i="9"/>
  <c r="S290" i="9"/>
  <c r="R290" i="9"/>
  <c r="S289" i="9"/>
  <c r="R289" i="9"/>
  <c r="S288" i="9"/>
  <c r="R288" i="9"/>
  <c r="S287" i="9"/>
  <c r="R287" i="9"/>
  <c r="S286" i="9"/>
  <c r="R286" i="9"/>
  <c r="S285" i="9"/>
  <c r="R285" i="9"/>
  <c r="S284" i="9"/>
  <c r="R284" i="9"/>
  <c r="S283" i="9"/>
  <c r="R283" i="9"/>
  <c r="S282" i="9"/>
  <c r="R282" i="9"/>
  <c r="R281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Q289" i="9"/>
  <c r="P289" i="9"/>
  <c r="O289" i="9"/>
  <c r="N289" i="9"/>
  <c r="M289" i="9"/>
  <c r="L289" i="9"/>
  <c r="J289" i="9"/>
  <c r="I289" i="9"/>
  <c r="H289" i="9"/>
  <c r="G289" i="9"/>
  <c r="F289" i="9"/>
  <c r="E289" i="9"/>
  <c r="D289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Q286" i="9"/>
  <c r="P286" i="9"/>
  <c r="O286" i="9"/>
  <c r="N286" i="9"/>
  <c r="M286" i="9"/>
  <c r="L286" i="9"/>
  <c r="K286" i="9"/>
  <c r="J286" i="9"/>
  <c r="H286" i="9"/>
  <c r="G286" i="9"/>
  <c r="F286" i="9"/>
  <c r="E286" i="9"/>
  <c r="D286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L295" i="9" l="1"/>
  <c r="L149" i="9" s="1"/>
  <c r="M295" i="9"/>
  <c r="U286" i="9"/>
  <c r="T282" i="9"/>
  <c r="U290" i="9"/>
  <c r="U282" i="9"/>
  <c r="T289" i="9"/>
  <c r="U285" i="9"/>
  <c r="T288" i="9"/>
  <c r="T292" i="9"/>
  <c r="T281" i="9"/>
  <c r="T284" i="9"/>
  <c r="U288" i="9"/>
  <c r="U292" i="9"/>
  <c r="T285" i="9"/>
  <c r="U284" i="9"/>
  <c r="T287" i="9"/>
  <c r="T291" i="9"/>
  <c r="T283" i="9"/>
  <c r="U287" i="9"/>
  <c r="U291" i="9"/>
  <c r="U289" i="9"/>
  <c r="U283" i="9"/>
  <c r="T286" i="9"/>
  <c r="T290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AQ271" i="9"/>
  <c r="AN271" i="9"/>
  <c r="AM271" i="9"/>
  <c r="AL271" i="9"/>
  <c r="AK271" i="9"/>
  <c r="AJ271" i="9"/>
  <c r="AI271" i="9"/>
  <c r="AH271" i="9"/>
  <c r="AG271" i="9"/>
  <c r="AF271" i="9"/>
  <c r="AE271" i="9"/>
  <c r="S271" i="9"/>
  <c r="R271" i="9"/>
  <c r="AQ270" i="9"/>
  <c r="AN270" i="9"/>
  <c r="AM270" i="9"/>
  <c r="AL270" i="9"/>
  <c r="AK270" i="9"/>
  <c r="AJ270" i="9"/>
  <c r="AI270" i="9"/>
  <c r="AH270" i="9"/>
  <c r="AG270" i="9"/>
  <c r="AF270" i="9"/>
  <c r="AE270" i="9"/>
  <c r="S270" i="9"/>
  <c r="R270" i="9"/>
  <c r="AQ269" i="9"/>
  <c r="AN269" i="9"/>
  <c r="AM269" i="9"/>
  <c r="AL269" i="9"/>
  <c r="AK269" i="9"/>
  <c r="AJ269" i="9"/>
  <c r="AI269" i="9"/>
  <c r="AH269" i="9"/>
  <c r="AG269" i="9"/>
  <c r="AF269" i="9"/>
  <c r="AE269" i="9"/>
  <c r="S269" i="9"/>
  <c r="R269" i="9"/>
  <c r="AQ268" i="9"/>
  <c r="AN268" i="9"/>
  <c r="AM268" i="9"/>
  <c r="AL268" i="9"/>
  <c r="AK268" i="9"/>
  <c r="AJ268" i="9"/>
  <c r="AI268" i="9"/>
  <c r="AH268" i="9"/>
  <c r="AG268" i="9"/>
  <c r="AF268" i="9"/>
  <c r="AE268" i="9"/>
  <c r="S268" i="9"/>
  <c r="R268" i="9"/>
  <c r="AQ267" i="9"/>
  <c r="AN267" i="9"/>
  <c r="AM267" i="9"/>
  <c r="AL267" i="9"/>
  <c r="AK267" i="9"/>
  <c r="AJ267" i="9"/>
  <c r="AI267" i="9"/>
  <c r="AH267" i="9"/>
  <c r="AG267" i="9"/>
  <c r="AF267" i="9"/>
  <c r="AE267" i="9"/>
  <c r="S267" i="9"/>
  <c r="R267" i="9"/>
  <c r="AQ266" i="9"/>
  <c r="AN266" i="9"/>
  <c r="AM266" i="9"/>
  <c r="AL266" i="9"/>
  <c r="AK266" i="9"/>
  <c r="AJ266" i="9"/>
  <c r="AI266" i="9"/>
  <c r="AH266" i="9"/>
  <c r="AG266" i="9"/>
  <c r="AF266" i="9"/>
  <c r="AE266" i="9"/>
  <c r="S266" i="9"/>
  <c r="R266" i="9"/>
  <c r="AQ265" i="9"/>
  <c r="AN265" i="9"/>
  <c r="AM265" i="9"/>
  <c r="AL265" i="9"/>
  <c r="AK265" i="9"/>
  <c r="AJ265" i="9"/>
  <c r="AI265" i="9"/>
  <c r="AH265" i="9"/>
  <c r="AG265" i="9"/>
  <c r="AF265" i="9"/>
  <c r="AE265" i="9"/>
  <c r="S265" i="9"/>
  <c r="R265" i="9"/>
  <c r="AQ264" i="9"/>
  <c r="AN264" i="9"/>
  <c r="AM264" i="9"/>
  <c r="AL264" i="9"/>
  <c r="AK264" i="9"/>
  <c r="AJ264" i="9"/>
  <c r="AI264" i="9"/>
  <c r="AH264" i="9"/>
  <c r="AG264" i="9"/>
  <c r="AF264" i="9"/>
  <c r="AE264" i="9"/>
  <c r="S264" i="9"/>
  <c r="R264" i="9"/>
  <c r="AQ263" i="9"/>
  <c r="AN263" i="9"/>
  <c r="AM263" i="9"/>
  <c r="AL263" i="9"/>
  <c r="AK263" i="9"/>
  <c r="AJ263" i="9"/>
  <c r="AI263" i="9"/>
  <c r="AH263" i="9"/>
  <c r="AG263" i="9"/>
  <c r="AF263" i="9"/>
  <c r="AE263" i="9"/>
  <c r="S263" i="9"/>
  <c r="R263" i="9"/>
  <c r="AQ262" i="9"/>
  <c r="AN262" i="9"/>
  <c r="AM262" i="9"/>
  <c r="AL262" i="9"/>
  <c r="AK262" i="9"/>
  <c r="AJ262" i="9"/>
  <c r="AI262" i="9"/>
  <c r="AH262" i="9"/>
  <c r="AG262" i="9"/>
  <c r="AF262" i="9"/>
  <c r="AE262" i="9"/>
  <c r="S262" i="9"/>
  <c r="R262" i="9"/>
  <c r="AQ261" i="9"/>
  <c r="AN261" i="9"/>
  <c r="AM261" i="9"/>
  <c r="AL261" i="9"/>
  <c r="AK261" i="9"/>
  <c r="AJ261" i="9"/>
  <c r="AI261" i="9"/>
  <c r="AH261" i="9"/>
  <c r="AG261" i="9"/>
  <c r="AF261" i="9"/>
  <c r="AE261" i="9"/>
  <c r="S261" i="9"/>
  <c r="R261" i="9"/>
  <c r="AQ260" i="9"/>
  <c r="AN260" i="9"/>
  <c r="AM260" i="9"/>
  <c r="AL260" i="9"/>
  <c r="AK260" i="9"/>
  <c r="AJ260" i="9"/>
  <c r="AI260" i="9"/>
  <c r="AH260" i="9"/>
  <c r="AG260" i="9"/>
  <c r="AF260" i="9"/>
  <c r="AE260" i="9"/>
  <c r="S260" i="9"/>
  <c r="R260" i="9"/>
  <c r="M44" i="9" l="1"/>
  <c r="S274" i="9"/>
  <c r="R274" i="9"/>
  <c r="L44" i="9"/>
  <c r="L23" i="9"/>
  <c r="AN273" i="9"/>
  <c r="AO271" i="9"/>
  <c r="AR271" i="9" s="1"/>
  <c r="AP270" i="9"/>
  <c r="AS270" i="9" s="1"/>
  <c r="AG273" i="9"/>
  <c r="AP271" i="9"/>
  <c r="AS271" i="9" s="1"/>
  <c r="AP269" i="9"/>
  <c r="AS269" i="9" s="1"/>
  <c r="AO268" i="9"/>
  <c r="AR268" i="9" s="1"/>
  <c r="AP266" i="9"/>
  <c r="AS266" i="9" s="1"/>
  <c r="AP268" i="9"/>
  <c r="AS268" i="9" s="1"/>
  <c r="AO269" i="9"/>
  <c r="AR269" i="9" s="1"/>
  <c r="AO266" i="9"/>
  <c r="AR266" i="9" s="1"/>
  <c r="AO267" i="9"/>
  <c r="AR267" i="9" s="1"/>
  <c r="AH273" i="9"/>
  <c r="AM273" i="9"/>
  <c r="AP267" i="9"/>
  <c r="AS267" i="9" s="1"/>
  <c r="AO270" i="9"/>
  <c r="AR270" i="9" s="1"/>
  <c r="AE273" i="9"/>
  <c r="AP265" i="9"/>
  <c r="AS265" i="9" s="1"/>
  <c r="AF273" i="9"/>
  <c r="AO265" i="9"/>
  <c r="AR265" i="9" s="1"/>
  <c r="AP262" i="9"/>
  <c r="AS262" i="9" s="1"/>
  <c r="AO263" i="9"/>
  <c r="AR263" i="9" s="1"/>
  <c r="AO264" i="9"/>
  <c r="AR264" i="9" s="1"/>
  <c r="AI273" i="9"/>
  <c r="AO262" i="9"/>
  <c r="AR262" i="9" s="1"/>
  <c r="AP263" i="9"/>
  <c r="AS263" i="9" s="1"/>
  <c r="AJ273" i="9"/>
  <c r="AP264" i="9"/>
  <c r="AS264" i="9" s="1"/>
  <c r="AK273" i="9"/>
  <c r="AO261" i="9"/>
  <c r="AR261" i="9" s="1"/>
  <c r="S273" i="9"/>
  <c r="AL273" i="9"/>
  <c r="AP261" i="9"/>
  <c r="AS261" i="9" s="1"/>
  <c r="AO260" i="9"/>
  <c r="R273" i="9"/>
  <c r="AP260" i="9"/>
  <c r="AP273" i="9" l="1"/>
  <c r="AS260" i="9"/>
  <c r="AR260" i="9"/>
  <c r="AO273" i="9"/>
  <c r="R34" i="9" l="1"/>
  <c r="S34" i="9"/>
  <c r="P304" i="9" l="1"/>
  <c r="N452" i="9" s="1"/>
  <c r="P305" i="9"/>
  <c r="N453" i="9" s="1"/>
  <c r="AG81" i="8" l="1"/>
  <c r="AG80" i="8"/>
  <c r="AG79" i="8"/>
  <c r="AG78" i="8"/>
  <c r="AE81" i="8"/>
  <c r="AE80" i="8"/>
  <c r="AE79" i="8"/>
  <c r="AE78" i="8"/>
  <c r="AG206" i="8"/>
  <c r="AE206" i="8"/>
  <c r="AG121" i="8" l="1"/>
  <c r="AE121" i="8"/>
  <c r="AF252" i="8"/>
  <c r="AD252" i="8"/>
  <c r="AG250" i="8"/>
  <c r="AE250" i="8"/>
  <c r="AG249" i="8"/>
  <c r="AE249" i="8"/>
  <c r="AG248" i="8"/>
  <c r="AE248" i="8"/>
  <c r="AG247" i="8"/>
  <c r="AE247" i="8"/>
  <c r="AG246" i="8"/>
  <c r="AE246" i="8"/>
  <c r="AG229" i="8"/>
  <c r="AG228" i="8"/>
  <c r="AG227" i="8"/>
  <c r="AG226" i="8"/>
  <c r="AG225" i="8"/>
  <c r="AG224" i="8"/>
  <c r="AG223" i="8"/>
  <c r="AE229" i="8"/>
  <c r="AE228" i="8"/>
  <c r="AE227" i="8"/>
  <c r="AE226" i="8"/>
  <c r="AE225" i="8"/>
  <c r="AE224" i="8"/>
  <c r="AE223" i="8"/>
  <c r="AG208" i="8"/>
  <c r="AG207" i="8"/>
  <c r="AG205" i="8"/>
  <c r="AG204" i="8"/>
  <c r="AG203" i="8"/>
  <c r="AE208" i="8"/>
  <c r="AE207" i="8"/>
  <c r="AE205" i="8"/>
  <c r="AE204" i="8"/>
  <c r="AE203" i="8"/>
  <c r="AG187" i="8"/>
  <c r="AG186" i="8"/>
  <c r="AG185" i="8"/>
  <c r="AG184" i="8"/>
  <c r="AG183" i="8"/>
  <c r="AG182" i="8"/>
  <c r="AE187" i="8"/>
  <c r="AE186" i="8"/>
  <c r="AE185" i="8"/>
  <c r="AE184" i="8"/>
  <c r="AE183" i="8"/>
  <c r="AE182" i="8"/>
  <c r="AG166" i="8"/>
  <c r="AG165" i="8"/>
  <c r="AG164" i="8"/>
  <c r="AG163" i="8"/>
  <c r="AG162" i="8"/>
  <c r="AG161" i="8"/>
  <c r="AE166" i="8"/>
  <c r="AE165" i="8"/>
  <c r="AE164" i="8"/>
  <c r="AE163" i="8"/>
  <c r="AE162" i="8"/>
  <c r="AE161" i="8"/>
  <c r="AG124" i="8"/>
  <c r="AG123" i="8"/>
  <c r="AG122" i="8"/>
  <c r="AG120" i="8"/>
  <c r="AG119" i="8"/>
  <c r="AE124" i="8"/>
  <c r="AE123" i="8"/>
  <c r="AE122" i="8"/>
  <c r="AE120" i="8"/>
  <c r="AE119" i="8"/>
  <c r="AG98" i="8"/>
  <c r="AG103" i="8"/>
  <c r="AG102" i="8"/>
  <c r="AG101" i="8"/>
  <c r="AG100" i="8"/>
  <c r="AG99" i="8"/>
  <c r="AE103" i="8"/>
  <c r="AE102" i="8"/>
  <c r="AE101" i="8"/>
  <c r="AE100" i="8"/>
  <c r="AE99" i="8"/>
  <c r="AE98" i="8"/>
  <c r="AG82" i="8"/>
  <c r="AG77" i="8"/>
  <c r="AE82" i="8"/>
  <c r="AE77" i="8"/>
  <c r="AE252" i="8" l="1"/>
  <c r="AG252" i="8"/>
  <c r="AF124" i="9"/>
  <c r="AE124" i="9"/>
  <c r="AF123" i="9"/>
  <c r="AE123" i="9"/>
  <c r="AF122" i="9"/>
  <c r="AE122" i="9"/>
  <c r="AF121" i="9"/>
  <c r="AE121" i="9"/>
  <c r="AF120" i="9"/>
  <c r="AE120" i="9"/>
  <c r="AF119" i="9"/>
  <c r="AE119" i="9"/>
  <c r="AF118" i="9"/>
  <c r="AE118" i="9"/>
  <c r="AF117" i="9"/>
  <c r="AE117" i="9"/>
  <c r="AF116" i="9"/>
  <c r="AE116" i="9"/>
  <c r="AF115" i="9"/>
  <c r="AE115" i="9"/>
  <c r="AF114" i="9"/>
  <c r="AE114" i="9"/>
  <c r="AF113" i="9"/>
  <c r="AE113" i="9"/>
  <c r="AF250" i="9"/>
  <c r="AE250" i="9"/>
  <c r="AF249" i="9"/>
  <c r="AE249" i="9"/>
  <c r="AF248" i="9"/>
  <c r="AE248" i="9"/>
  <c r="AF247" i="9"/>
  <c r="AE247" i="9"/>
  <c r="AF246" i="9"/>
  <c r="AE246" i="9"/>
  <c r="AF245" i="9"/>
  <c r="AE245" i="9"/>
  <c r="AF244" i="9"/>
  <c r="AE244" i="9"/>
  <c r="AF243" i="9"/>
  <c r="AE243" i="9"/>
  <c r="AF242" i="9"/>
  <c r="AE242" i="9"/>
  <c r="AF241" i="9"/>
  <c r="AE241" i="9"/>
  <c r="AF240" i="9"/>
  <c r="AE240" i="9"/>
  <c r="AF239" i="9"/>
  <c r="AE239" i="9"/>
  <c r="AF229" i="9"/>
  <c r="AE229" i="9"/>
  <c r="AF228" i="9"/>
  <c r="AE228" i="9"/>
  <c r="AF227" i="9"/>
  <c r="AE227" i="9"/>
  <c r="AF226" i="9"/>
  <c r="AE226" i="9"/>
  <c r="AF225" i="9"/>
  <c r="AE225" i="9"/>
  <c r="AF224" i="9"/>
  <c r="AE224" i="9"/>
  <c r="AF223" i="9"/>
  <c r="AE223" i="9"/>
  <c r="AF222" i="9"/>
  <c r="AE222" i="9"/>
  <c r="AF221" i="9"/>
  <c r="AE221" i="9"/>
  <c r="AF220" i="9"/>
  <c r="AE220" i="9"/>
  <c r="AF219" i="9"/>
  <c r="AE219" i="9"/>
  <c r="AF218" i="9"/>
  <c r="AE218" i="9"/>
  <c r="AF208" i="9"/>
  <c r="AE208" i="9"/>
  <c r="AF207" i="9"/>
  <c r="AE207" i="9"/>
  <c r="AF206" i="9"/>
  <c r="AE206" i="9"/>
  <c r="AF205" i="9"/>
  <c r="AE205" i="9"/>
  <c r="AF204" i="9"/>
  <c r="AE204" i="9"/>
  <c r="AF203" i="9"/>
  <c r="AE203" i="9"/>
  <c r="AF202" i="9"/>
  <c r="AE202" i="9"/>
  <c r="AF201" i="9"/>
  <c r="AE201" i="9"/>
  <c r="AF200" i="9"/>
  <c r="AE200" i="9"/>
  <c r="AF199" i="9"/>
  <c r="AE199" i="9"/>
  <c r="AF198" i="9"/>
  <c r="AE198" i="9"/>
  <c r="AF197" i="9"/>
  <c r="AE197" i="9"/>
  <c r="AF187" i="9"/>
  <c r="AE187" i="9"/>
  <c r="AF186" i="9"/>
  <c r="AE186" i="9"/>
  <c r="AF185" i="9"/>
  <c r="AE185" i="9"/>
  <c r="AF184" i="9"/>
  <c r="AE184" i="9"/>
  <c r="AF183" i="9"/>
  <c r="AE183" i="9"/>
  <c r="AF182" i="9"/>
  <c r="AE182" i="9"/>
  <c r="AF181" i="9"/>
  <c r="AE181" i="9"/>
  <c r="AF180" i="9"/>
  <c r="AE180" i="9"/>
  <c r="AF179" i="9"/>
  <c r="AE179" i="9"/>
  <c r="AF178" i="9"/>
  <c r="AE178" i="9"/>
  <c r="AF177" i="9"/>
  <c r="AE177" i="9"/>
  <c r="AF176" i="9"/>
  <c r="AE176" i="9"/>
  <c r="AF166" i="9"/>
  <c r="AE166" i="9"/>
  <c r="AF165" i="9"/>
  <c r="AE165" i="9"/>
  <c r="AF164" i="9"/>
  <c r="AE164" i="9"/>
  <c r="AF163" i="9"/>
  <c r="AE163" i="9"/>
  <c r="AF162" i="9"/>
  <c r="AE162" i="9"/>
  <c r="AF161" i="9"/>
  <c r="AE161" i="9"/>
  <c r="AF160" i="9"/>
  <c r="AE160" i="9"/>
  <c r="AF159" i="9"/>
  <c r="AE159" i="9"/>
  <c r="AF158" i="9"/>
  <c r="AE158" i="9"/>
  <c r="AF157" i="9"/>
  <c r="AE157" i="9"/>
  <c r="AF156" i="9"/>
  <c r="AE156" i="9"/>
  <c r="AF155" i="9"/>
  <c r="AE155" i="9"/>
  <c r="AF145" i="9"/>
  <c r="AE145" i="9"/>
  <c r="AF144" i="9"/>
  <c r="AE144" i="9"/>
  <c r="AF143" i="9"/>
  <c r="AE143" i="9"/>
  <c r="AF142" i="9"/>
  <c r="AE142" i="9"/>
  <c r="AF141" i="9"/>
  <c r="AE141" i="9"/>
  <c r="AF140" i="9"/>
  <c r="AE140" i="9"/>
  <c r="AF139" i="9"/>
  <c r="AE139" i="9"/>
  <c r="AF138" i="9"/>
  <c r="AE138" i="9"/>
  <c r="AF137" i="9"/>
  <c r="AE137" i="9"/>
  <c r="AF136" i="9"/>
  <c r="AE136" i="9"/>
  <c r="AF135" i="9"/>
  <c r="AE135" i="9"/>
  <c r="AF134" i="9"/>
  <c r="AE134" i="9"/>
  <c r="AF103" i="9"/>
  <c r="AE103" i="9"/>
  <c r="AF102" i="9"/>
  <c r="AE102" i="9"/>
  <c r="AF101" i="9"/>
  <c r="AE101" i="9"/>
  <c r="AF100" i="9"/>
  <c r="AE100" i="9"/>
  <c r="AF99" i="9"/>
  <c r="AE99" i="9"/>
  <c r="AF98" i="9"/>
  <c r="AE98" i="9"/>
  <c r="AF97" i="9"/>
  <c r="AE97" i="9"/>
  <c r="AF96" i="9"/>
  <c r="AE96" i="9"/>
  <c r="AF95" i="9"/>
  <c r="AE95" i="9"/>
  <c r="AF94" i="9"/>
  <c r="AE94" i="9"/>
  <c r="AF93" i="9"/>
  <c r="AE93" i="9"/>
  <c r="AF92" i="9"/>
  <c r="AE92" i="9"/>
  <c r="AF82" i="9"/>
  <c r="AE82" i="9"/>
  <c r="AF81" i="9"/>
  <c r="AE81" i="9"/>
  <c r="AF80" i="9"/>
  <c r="AE80" i="9"/>
  <c r="AF79" i="9"/>
  <c r="AE79" i="9"/>
  <c r="AF78" i="9"/>
  <c r="AE78" i="9"/>
  <c r="AF77" i="9"/>
  <c r="AE77" i="9"/>
  <c r="AF76" i="9"/>
  <c r="AE76" i="9"/>
  <c r="AF75" i="9"/>
  <c r="AE75" i="9"/>
  <c r="AF74" i="9"/>
  <c r="AE74" i="9"/>
  <c r="AF73" i="9"/>
  <c r="AE73" i="9"/>
  <c r="AF72" i="9"/>
  <c r="AE72" i="9"/>
  <c r="AF71" i="9"/>
  <c r="AE71" i="9"/>
  <c r="AF61" i="9"/>
  <c r="AE61" i="9"/>
  <c r="AF60" i="9"/>
  <c r="AE60" i="9"/>
  <c r="AF59" i="9"/>
  <c r="AE59" i="9"/>
  <c r="AF58" i="9"/>
  <c r="AE58" i="9"/>
  <c r="AF57" i="9"/>
  <c r="AE57" i="9"/>
  <c r="AF56" i="9"/>
  <c r="AE56" i="9"/>
  <c r="AF55" i="9"/>
  <c r="AE55" i="9"/>
  <c r="AF54" i="9"/>
  <c r="AE54" i="9"/>
  <c r="AF53" i="9"/>
  <c r="AE53" i="9"/>
  <c r="AF52" i="9"/>
  <c r="AE52" i="9"/>
  <c r="AF51" i="9"/>
  <c r="AE51" i="9"/>
  <c r="AF50" i="9"/>
  <c r="AE50" i="9"/>
  <c r="AF40" i="9"/>
  <c r="AE40" i="9"/>
  <c r="AF39" i="9"/>
  <c r="AE39" i="9"/>
  <c r="AF38" i="9"/>
  <c r="AE38" i="9"/>
  <c r="AF37" i="9"/>
  <c r="AE37" i="9"/>
  <c r="AF36" i="9"/>
  <c r="AE36" i="9"/>
  <c r="AF35" i="9"/>
  <c r="AE35" i="9"/>
  <c r="AF34" i="9"/>
  <c r="AE34" i="9"/>
  <c r="AF33" i="9"/>
  <c r="AE33" i="9"/>
  <c r="AF32" i="9"/>
  <c r="AE32" i="9"/>
  <c r="AF31" i="9"/>
  <c r="AE31" i="9"/>
  <c r="AF30" i="9"/>
  <c r="AE30" i="9"/>
  <c r="AF29" i="9"/>
  <c r="AE29" i="9"/>
  <c r="AF19" i="9"/>
  <c r="AE19" i="9"/>
  <c r="AF18" i="9"/>
  <c r="AE18" i="9"/>
  <c r="AF17" i="9"/>
  <c r="AE17" i="9"/>
  <c r="AF16" i="9"/>
  <c r="AE16" i="9"/>
  <c r="AF15" i="9"/>
  <c r="AE15" i="9"/>
  <c r="AF14" i="9"/>
  <c r="AE14" i="9"/>
  <c r="AF13" i="9"/>
  <c r="AE13" i="9"/>
  <c r="AF12" i="9"/>
  <c r="AE12" i="9"/>
  <c r="AF11" i="9"/>
  <c r="AE11" i="9"/>
  <c r="AF10" i="9"/>
  <c r="AE10" i="9"/>
  <c r="AF9" i="9"/>
  <c r="AE9" i="9"/>
  <c r="AF8" i="9"/>
  <c r="AE8" i="9"/>
  <c r="R72" i="9"/>
  <c r="R134" i="9" l="1"/>
  <c r="M22" i="8" l="1"/>
  <c r="L22" i="8"/>
  <c r="K442" i="9" l="1"/>
  <c r="J442" i="9"/>
  <c r="I442" i="9"/>
  <c r="H442" i="9"/>
  <c r="G442" i="9"/>
  <c r="F442" i="9"/>
  <c r="E442" i="9"/>
  <c r="D442" i="9"/>
  <c r="M440" i="9"/>
  <c r="O440" i="9" s="1"/>
  <c r="L440" i="9"/>
  <c r="N440" i="9" s="1"/>
  <c r="M439" i="9"/>
  <c r="O439" i="9" s="1"/>
  <c r="L439" i="9"/>
  <c r="N439" i="9" s="1"/>
  <c r="M438" i="9"/>
  <c r="O438" i="9" s="1"/>
  <c r="L438" i="9"/>
  <c r="N438" i="9" s="1"/>
  <c r="M437" i="9"/>
  <c r="O437" i="9" s="1"/>
  <c r="L437" i="9"/>
  <c r="N437" i="9" s="1"/>
  <c r="M436" i="9"/>
  <c r="O436" i="9" s="1"/>
  <c r="L436" i="9"/>
  <c r="N436" i="9" s="1"/>
  <c r="M435" i="9"/>
  <c r="O435" i="9" s="1"/>
  <c r="L435" i="9"/>
  <c r="N435" i="9" s="1"/>
  <c r="M434" i="9"/>
  <c r="O434" i="9" s="1"/>
  <c r="L434" i="9"/>
  <c r="N434" i="9" s="1"/>
  <c r="M433" i="9"/>
  <c r="O433" i="9" s="1"/>
  <c r="L433" i="9"/>
  <c r="N433" i="9" s="1"/>
  <c r="M432" i="9"/>
  <c r="O432" i="9" s="1"/>
  <c r="L432" i="9"/>
  <c r="N432" i="9" s="1"/>
  <c r="M431" i="9"/>
  <c r="O431" i="9" s="1"/>
  <c r="L431" i="9"/>
  <c r="N431" i="9" s="1"/>
  <c r="M430" i="9"/>
  <c r="O430" i="9" s="1"/>
  <c r="L430" i="9"/>
  <c r="M429" i="9"/>
  <c r="O429" i="9" s="1"/>
  <c r="L429" i="9"/>
  <c r="N429" i="9" s="1"/>
  <c r="K421" i="9"/>
  <c r="J421" i="9"/>
  <c r="I421" i="9"/>
  <c r="H421" i="9"/>
  <c r="G421" i="9"/>
  <c r="F421" i="9"/>
  <c r="E421" i="9"/>
  <c r="D421" i="9"/>
  <c r="M419" i="9"/>
  <c r="O419" i="9" s="1"/>
  <c r="L419" i="9"/>
  <c r="N419" i="9" s="1"/>
  <c r="M418" i="9"/>
  <c r="O418" i="9" s="1"/>
  <c r="L418" i="9"/>
  <c r="N418" i="9" s="1"/>
  <c r="M417" i="9"/>
  <c r="O417" i="9" s="1"/>
  <c r="L417" i="9"/>
  <c r="N417" i="9" s="1"/>
  <c r="M416" i="9"/>
  <c r="O416" i="9" s="1"/>
  <c r="L416" i="9"/>
  <c r="N416" i="9" s="1"/>
  <c r="M415" i="9"/>
  <c r="O415" i="9" s="1"/>
  <c r="L415" i="9"/>
  <c r="N415" i="9" s="1"/>
  <c r="M414" i="9"/>
  <c r="O414" i="9" s="1"/>
  <c r="L414" i="9"/>
  <c r="N414" i="9" s="1"/>
  <c r="M413" i="9"/>
  <c r="O413" i="9" s="1"/>
  <c r="L413" i="9"/>
  <c r="N413" i="9" s="1"/>
  <c r="M412" i="9"/>
  <c r="O412" i="9" s="1"/>
  <c r="L412" i="9"/>
  <c r="N412" i="9" s="1"/>
  <c r="M411" i="9"/>
  <c r="O411" i="9" s="1"/>
  <c r="L411" i="9"/>
  <c r="N411" i="9" s="1"/>
  <c r="M410" i="9"/>
  <c r="O410" i="9" s="1"/>
  <c r="L410" i="9"/>
  <c r="N410" i="9" s="1"/>
  <c r="M409" i="9"/>
  <c r="O409" i="9" s="1"/>
  <c r="L409" i="9"/>
  <c r="N409" i="9" s="1"/>
  <c r="M408" i="9"/>
  <c r="O408" i="9" s="1"/>
  <c r="L408" i="9"/>
  <c r="N408" i="9" s="1"/>
  <c r="K400" i="9"/>
  <c r="J400" i="9"/>
  <c r="I400" i="9"/>
  <c r="H400" i="9"/>
  <c r="G400" i="9"/>
  <c r="F400" i="9"/>
  <c r="E400" i="9"/>
  <c r="D400" i="9"/>
  <c r="M398" i="9"/>
  <c r="O398" i="9" s="1"/>
  <c r="L398" i="9"/>
  <c r="N398" i="9" s="1"/>
  <c r="M397" i="9"/>
  <c r="O397" i="9" s="1"/>
  <c r="L397" i="9"/>
  <c r="N397" i="9" s="1"/>
  <c r="M396" i="9"/>
  <c r="O396" i="9" s="1"/>
  <c r="L396" i="9"/>
  <c r="N396" i="9" s="1"/>
  <c r="M395" i="9"/>
  <c r="O395" i="9" s="1"/>
  <c r="L395" i="9"/>
  <c r="N395" i="9" s="1"/>
  <c r="M394" i="9"/>
  <c r="O394" i="9" s="1"/>
  <c r="L394" i="9"/>
  <c r="N394" i="9" s="1"/>
  <c r="M393" i="9"/>
  <c r="O393" i="9" s="1"/>
  <c r="L393" i="9"/>
  <c r="N393" i="9" s="1"/>
  <c r="M392" i="9"/>
  <c r="O392" i="9" s="1"/>
  <c r="L392" i="9"/>
  <c r="N392" i="9" s="1"/>
  <c r="M391" i="9"/>
  <c r="O391" i="9" s="1"/>
  <c r="L391" i="9"/>
  <c r="N391" i="9" s="1"/>
  <c r="M390" i="9"/>
  <c r="O390" i="9" s="1"/>
  <c r="L390" i="9"/>
  <c r="N390" i="9" s="1"/>
  <c r="M389" i="9"/>
  <c r="O389" i="9" s="1"/>
  <c r="L389" i="9"/>
  <c r="N389" i="9" s="1"/>
  <c r="M388" i="9"/>
  <c r="O388" i="9" s="1"/>
  <c r="L388" i="9"/>
  <c r="N388" i="9" s="1"/>
  <c r="M387" i="9"/>
  <c r="L387" i="9"/>
  <c r="N387" i="9" s="1"/>
  <c r="K379" i="9"/>
  <c r="J379" i="9"/>
  <c r="I379" i="9"/>
  <c r="H379" i="9"/>
  <c r="G379" i="9"/>
  <c r="F379" i="9"/>
  <c r="E379" i="9"/>
  <c r="D379" i="9"/>
  <c r="M377" i="9"/>
  <c r="O377" i="9" s="1"/>
  <c r="L377" i="9"/>
  <c r="N377" i="9" s="1"/>
  <c r="M376" i="9"/>
  <c r="O376" i="9" s="1"/>
  <c r="L376" i="9"/>
  <c r="N376" i="9" s="1"/>
  <c r="M375" i="9"/>
  <c r="O375" i="9" s="1"/>
  <c r="L375" i="9"/>
  <c r="N375" i="9" s="1"/>
  <c r="M374" i="9"/>
  <c r="O374" i="9" s="1"/>
  <c r="L374" i="9"/>
  <c r="N374" i="9" s="1"/>
  <c r="M373" i="9"/>
  <c r="O373" i="9" s="1"/>
  <c r="L373" i="9"/>
  <c r="N373" i="9" s="1"/>
  <c r="M372" i="9"/>
  <c r="O372" i="9" s="1"/>
  <c r="L372" i="9"/>
  <c r="N372" i="9" s="1"/>
  <c r="M371" i="9"/>
  <c r="O371" i="9" s="1"/>
  <c r="L371" i="9"/>
  <c r="N371" i="9" s="1"/>
  <c r="M370" i="9"/>
  <c r="O370" i="9" s="1"/>
  <c r="L370" i="9"/>
  <c r="N370" i="9" s="1"/>
  <c r="M369" i="9"/>
  <c r="O369" i="9" s="1"/>
  <c r="L369" i="9"/>
  <c r="N369" i="9" s="1"/>
  <c r="M368" i="9"/>
  <c r="O368" i="9" s="1"/>
  <c r="L368" i="9"/>
  <c r="N368" i="9" s="1"/>
  <c r="M367" i="9"/>
  <c r="O367" i="9" s="1"/>
  <c r="L367" i="9"/>
  <c r="N367" i="9" s="1"/>
  <c r="M366" i="9"/>
  <c r="O366" i="9" s="1"/>
  <c r="L366" i="9"/>
  <c r="N366" i="9" s="1"/>
  <c r="K358" i="9"/>
  <c r="J358" i="9"/>
  <c r="I358" i="9"/>
  <c r="H358" i="9"/>
  <c r="G358" i="9"/>
  <c r="F358" i="9"/>
  <c r="E358" i="9"/>
  <c r="D358" i="9"/>
  <c r="M356" i="9"/>
  <c r="O356" i="9" s="1"/>
  <c r="L356" i="9"/>
  <c r="N356" i="9" s="1"/>
  <c r="M355" i="9"/>
  <c r="O355" i="9" s="1"/>
  <c r="L355" i="9"/>
  <c r="N355" i="9" s="1"/>
  <c r="M354" i="9"/>
  <c r="O354" i="9" s="1"/>
  <c r="L354" i="9"/>
  <c r="N354" i="9" s="1"/>
  <c r="M353" i="9"/>
  <c r="O353" i="9" s="1"/>
  <c r="L353" i="9"/>
  <c r="N353" i="9" s="1"/>
  <c r="M352" i="9"/>
  <c r="O352" i="9" s="1"/>
  <c r="L352" i="9"/>
  <c r="N352" i="9" s="1"/>
  <c r="M351" i="9"/>
  <c r="O351" i="9" s="1"/>
  <c r="L351" i="9"/>
  <c r="N351" i="9" s="1"/>
  <c r="M350" i="9"/>
  <c r="O350" i="9" s="1"/>
  <c r="L350" i="9"/>
  <c r="N350" i="9" s="1"/>
  <c r="M349" i="9"/>
  <c r="O349" i="9" s="1"/>
  <c r="L349" i="9"/>
  <c r="N349" i="9" s="1"/>
  <c r="M348" i="9"/>
  <c r="O348" i="9" s="1"/>
  <c r="L348" i="9"/>
  <c r="N348" i="9" s="1"/>
  <c r="M347" i="9"/>
  <c r="O347" i="9" s="1"/>
  <c r="L347" i="9"/>
  <c r="N347" i="9" s="1"/>
  <c r="M346" i="9"/>
  <c r="O346" i="9" s="1"/>
  <c r="L346" i="9"/>
  <c r="N346" i="9" s="1"/>
  <c r="M345" i="9"/>
  <c r="O345" i="9" s="1"/>
  <c r="L345" i="9"/>
  <c r="N345" i="9" s="1"/>
  <c r="K337" i="9"/>
  <c r="J337" i="9"/>
  <c r="I337" i="9"/>
  <c r="H337" i="9"/>
  <c r="G337" i="9"/>
  <c r="F337" i="9"/>
  <c r="E337" i="9"/>
  <c r="D337" i="9"/>
  <c r="M335" i="9"/>
  <c r="O335" i="9" s="1"/>
  <c r="L335" i="9"/>
  <c r="N335" i="9" s="1"/>
  <c r="M334" i="9"/>
  <c r="O334" i="9" s="1"/>
  <c r="L334" i="9"/>
  <c r="N334" i="9" s="1"/>
  <c r="M333" i="9"/>
  <c r="O333" i="9" s="1"/>
  <c r="L333" i="9"/>
  <c r="N333" i="9" s="1"/>
  <c r="M332" i="9"/>
  <c r="O332" i="9" s="1"/>
  <c r="L332" i="9"/>
  <c r="N332" i="9" s="1"/>
  <c r="M331" i="9"/>
  <c r="O331" i="9" s="1"/>
  <c r="L331" i="9"/>
  <c r="N331" i="9" s="1"/>
  <c r="M330" i="9"/>
  <c r="O330" i="9" s="1"/>
  <c r="L330" i="9"/>
  <c r="N330" i="9" s="1"/>
  <c r="M329" i="9"/>
  <c r="O329" i="9" s="1"/>
  <c r="L329" i="9"/>
  <c r="N329" i="9" s="1"/>
  <c r="M328" i="9"/>
  <c r="O328" i="9" s="1"/>
  <c r="L328" i="9"/>
  <c r="N328" i="9" s="1"/>
  <c r="M327" i="9"/>
  <c r="O327" i="9" s="1"/>
  <c r="L327" i="9"/>
  <c r="N327" i="9" s="1"/>
  <c r="M326" i="9"/>
  <c r="O326" i="9" s="1"/>
  <c r="L326" i="9"/>
  <c r="N326" i="9" s="1"/>
  <c r="M325" i="9"/>
  <c r="O325" i="9" s="1"/>
  <c r="L325" i="9"/>
  <c r="N325" i="9" s="1"/>
  <c r="M324" i="9"/>
  <c r="O324" i="9" s="1"/>
  <c r="L324" i="9"/>
  <c r="N324" i="9" s="1"/>
  <c r="O315" i="9"/>
  <c r="N315" i="9"/>
  <c r="M315" i="9"/>
  <c r="L315" i="9"/>
  <c r="K315" i="9"/>
  <c r="K316" i="9" s="1"/>
  <c r="J315" i="9"/>
  <c r="J316" i="9" s="1"/>
  <c r="I315" i="9"/>
  <c r="H315" i="9"/>
  <c r="G315" i="9"/>
  <c r="F315" i="9"/>
  <c r="E315" i="9"/>
  <c r="D315" i="9"/>
  <c r="Q313" i="9"/>
  <c r="O461" i="9" s="1"/>
  <c r="P313" i="9"/>
  <c r="N461" i="9" s="1"/>
  <c r="Q312" i="9"/>
  <c r="O460" i="9" s="1"/>
  <c r="P312" i="9"/>
  <c r="N460" i="9" s="1"/>
  <c r="Q311" i="9"/>
  <c r="O459" i="9" s="1"/>
  <c r="P311" i="9"/>
  <c r="N459" i="9" s="1"/>
  <c r="Q310" i="9"/>
  <c r="O458" i="9" s="1"/>
  <c r="P310" i="9"/>
  <c r="N458" i="9" s="1"/>
  <c r="Q309" i="9"/>
  <c r="O457" i="9" s="1"/>
  <c r="P309" i="9"/>
  <c r="N457" i="9" s="1"/>
  <c r="Q308" i="9"/>
  <c r="O456" i="9" s="1"/>
  <c r="P308" i="9"/>
  <c r="N456" i="9" s="1"/>
  <c r="Q307" i="9"/>
  <c r="O455" i="9" s="1"/>
  <c r="P307" i="9"/>
  <c r="N455" i="9" s="1"/>
  <c r="Q306" i="9"/>
  <c r="O454" i="9" s="1"/>
  <c r="P306" i="9"/>
  <c r="N454" i="9" s="1"/>
  <c r="Q305" i="9"/>
  <c r="O453" i="9" s="1"/>
  <c r="Q304" i="9"/>
  <c r="O452" i="9" s="1"/>
  <c r="Q303" i="9"/>
  <c r="O451" i="9" s="1"/>
  <c r="P303" i="9"/>
  <c r="N451" i="9" s="1"/>
  <c r="Q302" i="9"/>
  <c r="O450" i="9" s="1"/>
  <c r="P302" i="9"/>
  <c r="N450" i="9" s="1"/>
  <c r="AN292" i="9"/>
  <c r="AM292" i="9"/>
  <c r="AL292" i="9"/>
  <c r="AJ292" i="9"/>
  <c r="AI292" i="9"/>
  <c r="AH292" i="9"/>
  <c r="AG292" i="9"/>
  <c r="AM291" i="9"/>
  <c r="AL291" i="9"/>
  <c r="AJ291" i="9"/>
  <c r="AI291" i="9"/>
  <c r="AH291" i="9"/>
  <c r="AG291" i="9"/>
  <c r="AN290" i="9"/>
  <c r="AM290" i="9"/>
  <c r="AL290" i="9"/>
  <c r="AI290" i="9"/>
  <c r="AH290" i="9"/>
  <c r="AG290" i="9"/>
  <c r="AN289" i="9"/>
  <c r="AM289" i="9"/>
  <c r="AL289" i="9"/>
  <c r="AJ289" i="9"/>
  <c r="AG289" i="9"/>
  <c r="AN288" i="9"/>
  <c r="AM288" i="9"/>
  <c r="AL288" i="9"/>
  <c r="AJ288" i="9"/>
  <c r="AH288" i="9"/>
  <c r="AG288" i="9"/>
  <c r="AN287" i="9"/>
  <c r="AM287" i="9"/>
  <c r="AJ287" i="9"/>
  <c r="AG287" i="9"/>
  <c r="AN286" i="9"/>
  <c r="AM286" i="9"/>
  <c r="AL286" i="9"/>
  <c r="AJ286" i="9"/>
  <c r="AH286" i="9"/>
  <c r="AN285" i="9"/>
  <c r="AM285" i="9"/>
  <c r="AL285" i="9"/>
  <c r="AK285" i="9"/>
  <c r="AJ285" i="9"/>
  <c r="AI285" i="9"/>
  <c r="AL284" i="9"/>
  <c r="AK284" i="9"/>
  <c r="AJ284" i="9"/>
  <c r="AH284" i="9"/>
  <c r="AN283" i="9"/>
  <c r="AM283" i="9"/>
  <c r="AL283" i="9"/>
  <c r="AK283" i="9"/>
  <c r="AJ283" i="9"/>
  <c r="AI283" i="9"/>
  <c r="AH283" i="9"/>
  <c r="AG283" i="9"/>
  <c r="AN282" i="9"/>
  <c r="AK282" i="9"/>
  <c r="AJ282" i="9"/>
  <c r="AI282" i="9"/>
  <c r="AG282" i="9"/>
  <c r="S281" i="9"/>
  <c r="U281" i="9" s="1"/>
  <c r="AN281" i="9"/>
  <c r="M254" i="9"/>
  <c r="L254" i="9"/>
  <c r="AH281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AQ250" i="9"/>
  <c r="AN250" i="9"/>
  <c r="AM250" i="9"/>
  <c r="AL250" i="9"/>
  <c r="AK250" i="9"/>
  <c r="AJ250" i="9"/>
  <c r="AI250" i="9"/>
  <c r="AH250" i="9"/>
  <c r="AG250" i="9"/>
  <c r="S250" i="9"/>
  <c r="R250" i="9"/>
  <c r="AQ249" i="9"/>
  <c r="AN249" i="9"/>
  <c r="AM249" i="9"/>
  <c r="AL249" i="9"/>
  <c r="AK249" i="9"/>
  <c r="AJ249" i="9"/>
  <c r="AI249" i="9"/>
  <c r="AH249" i="9"/>
  <c r="AG249" i="9"/>
  <c r="S249" i="9"/>
  <c r="R249" i="9"/>
  <c r="AQ248" i="9"/>
  <c r="AN248" i="9"/>
  <c r="AM248" i="9"/>
  <c r="AL248" i="9"/>
  <c r="AK248" i="9"/>
  <c r="AJ248" i="9"/>
  <c r="AI248" i="9"/>
  <c r="AH248" i="9"/>
  <c r="AG248" i="9"/>
  <c r="S248" i="9"/>
  <c r="R248" i="9"/>
  <c r="AQ247" i="9"/>
  <c r="AN247" i="9"/>
  <c r="AM247" i="9"/>
  <c r="AL247" i="9"/>
  <c r="AK247" i="9"/>
  <c r="AJ247" i="9"/>
  <c r="AI247" i="9"/>
  <c r="AH247" i="9"/>
  <c r="AG247" i="9"/>
  <c r="S247" i="9"/>
  <c r="R247" i="9"/>
  <c r="AQ246" i="9"/>
  <c r="AN246" i="9"/>
  <c r="AM246" i="9"/>
  <c r="AL246" i="9"/>
  <c r="AK246" i="9"/>
  <c r="AJ246" i="9"/>
  <c r="AI246" i="9"/>
  <c r="AH246" i="9"/>
  <c r="AG246" i="9"/>
  <c r="S246" i="9"/>
  <c r="R246" i="9"/>
  <c r="AQ245" i="9"/>
  <c r="AN245" i="9"/>
  <c r="AM245" i="9"/>
  <c r="AL245" i="9"/>
  <c r="AK245" i="9"/>
  <c r="AJ245" i="9"/>
  <c r="AI245" i="9"/>
  <c r="AH245" i="9"/>
  <c r="AG245" i="9"/>
  <c r="S245" i="9"/>
  <c r="R245" i="9"/>
  <c r="AQ244" i="9"/>
  <c r="AN244" i="9"/>
  <c r="AM244" i="9"/>
  <c r="AL244" i="9"/>
  <c r="AK244" i="9"/>
  <c r="AJ244" i="9"/>
  <c r="AI244" i="9"/>
  <c r="AH244" i="9"/>
  <c r="AG244" i="9"/>
  <c r="S244" i="9"/>
  <c r="R244" i="9"/>
  <c r="AQ243" i="9"/>
  <c r="AN243" i="9"/>
  <c r="AM243" i="9"/>
  <c r="AL243" i="9"/>
  <c r="AK243" i="9"/>
  <c r="AJ243" i="9"/>
  <c r="AI243" i="9"/>
  <c r="AH243" i="9"/>
  <c r="AG243" i="9"/>
  <c r="S243" i="9"/>
  <c r="R243" i="9"/>
  <c r="AQ242" i="9"/>
  <c r="AN242" i="9"/>
  <c r="AM242" i="9"/>
  <c r="AL242" i="9"/>
  <c r="AK242" i="9"/>
  <c r="AJ242" i="9"/>
  <c r="AI242" i="9"/>
  <c r="AH242" i="9"/>
  <c r="AG242" i="9"/>
  <c r="S242" i="9"/>
  <c r="R242" i="9"/>
  <c r="AQ241" i="9"/>
  <c r="AN241" i="9"/>
  <c r="AM241" i="9"/>
  <c r="AL241" i="9"/>
  <c r="AK241" i="9"/>
  <c r="AJ241" i="9"/>
  <c r="AI241" i="9"/>
  <c r="AH241" i="9"/>
  <c r="AG241" i="9"/>
  <c r="S241" i="9"/>
  <c r="R241" i="9"/>
  <c r="AQ240" i="9"/>
  <c r="AN240" i="9"/>
  <c r="AM240" i="9"/>
  <c r="AL240" i="9"/>
  <c r="AK240" i="9"/>
  <c r="AJ240" i="9"/>
  <c r="AI240" i="9"/>
  <c r="AH240" i="9"/>
  <c r="AG240" i="9"/>
  <c r="S240" i="9"/>
  <c r="R240" i="9"/>
  <c r="AQ239" i="9"/>
  <c r="AN239" i="9"/>
  <c r="AM239" i="9"/>
  <c r="AL239" i="9"/>
  <c r="AK239" i="9"/>
  <c r="AJ239" i="9"/>
  <c r="AI239" i="9"/>
  <c r="AH239" i="9"/>
  <c r="AG239" i="9"/>
  <c r="S239" i="9"/>
  <c r="R239" i="9"/>
  <c r="Z231" i="9"/>
  <c r="X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AQ229" i="9"/>
  <c r="AN229" i="9"/>
  <c r="AM229" i="9"/>
  <c r="AL229" i="9"/>
  <c r="AK229" i="9"/>
  <c r="AJ229" i="9"/>
  <c r="AI229" i="9"/>
  <c r="AH229" i="9"/>
  <c r="AG229" i="9"/>
  <c r="S229" i="9"/>
  <c r="R229" i="9"/>
  <c r="AQ228" i="9"/>
  <c r="AN228" i="9"/>
  <c r="AM228" i="9"/>
  <c r="AL228" i="9"/>
  <c r="AK228" i="9"/>
  <c r="AJ228" i="9"/>
  <c r="AI228" i="9"/>
  <c r="AH228" i="9"/>
  <c r="AG228" i="9"/>
  <c r="S228" i="9"/>
  <c r="R228" i="9"/>
  <c r="AQ227" i="9"/>
  <c r="AN227" i="9"/>
  <c r="AM227" i="9"/>
  <c r="AL227" i="9"/>
  <c r="AK227" i="9"/>
  <c r="AJ227" i="9"/>
  <c r="AI227" i="9"/>
  <c r="AH227" i="9"/>
  <c r="AG227" i="9"/>
  <c r="S227" i="9"/>
  <c r="R227" i="9"/>
  <c r="AQ226" i="9"/>
  <c r="AN226" i="9"/>
  <c r="AM226" i="9"/>
  <c r="AL226" i="9"/>
  <c r="AK226" i="9"/>
  <c r="AJ226" i="9"/>
  <c r="AI226" i="9"/>
  <c r="AH226" i="9"/>
  <c r="AG226" i="9"/>
  <c r="S226" i="9"/>
  <c r="R226" i="9"/>
  <c r="AQ225" i="9"/>
  <c r="AN225" i="9"/>
  <c r="AM225" i="9"/>
  <c r="AL225" i="9"/>
  <c r="AK225" i="9"/>
  <c r="AJ225" i="9"/>
  <c r="AI225" i="9"/>
  <c r="AH225" i="9"/>
  <c r="AG225" i="9"/>
  <c r="S225" i="9"/>
  <c r="R225" i="9"/>
  <c r="AQ224" i="9"/>
  <c r="AN224" i="9"/>
  <c r="AM224" i="9"/>
  <c r="AL224" i="9"/>
  <c r="AK224" i="9"/>
  <c r="AJ224" i="9"/>
  <c r="AI224" i="9"/>
  <c r="AH224" i="9"/>
  <c r="AG224" i="9"/>
  <c r="S224" i="9"/>
  <c r="R224" i="9"/>
  <c r="AQ223" i="9"/>
  <c r="AN223" i="9"/>
  <c r="AM223" i="9"/>
  <c r="AL223" i="9"/>
  <c r="AK223" i="9"/>
  <c r="AJ223" i="9"/>
  <c r="AI223" i="9"/>
  <c r="AH223" i="9"/>
  <c r="AG223" i="9"/>
  <c r="S223" i="9"/>
  <c r="R223" i="9"/>
  <c r="AQ222" i="9"/>
  <c r="AN222" i="9"/>
  <c r="AM222" i="9"/>
  <c r="AL222" i="9"/>
  <c r="AK222" i="9"/>
  <c r="AJ222" i="9"/>
  <c r="AI222" i="9"/>
  <c r="AH222" i="9"/>
  <c r="AG222" i="9"/>
  <c r="S222" i="9"/>
  <c r="R222" i="9"/>
  <c r="AQ221" i="9"/>
  <c r="AN221" i="9"/>
  <c r="AM221" i="9"/>
  <c r="AL221" i="9"/>
  <c r="AK221" i="9"/>
  <c r="AJ221" i="9"/>
  <c r="AI221" i="9"/>
  <c r="AH221" i="9"/>
  <c r="AG221" i="9"/>
  <c r="S221" i="9"/>
  <c r="R221" i="9"/>
  <c r="AQ220" i="9"/>
  <c r="AN220" i="9"/>
  <c r="AM220" i="9"/>
  <c r="AL220" i="9"/>
  <c r="AK220" i="9"/>
  <c r="AJ220" i="9"/>
  <c r="AI220" i="9"/>
  <c r="AH220" i="9"/>
  <c r="AG220" i="9"/>
  <c r="S220" i="9"/>
  <c r="R220" i="9"/>
  <c r="AQ219" i="9"/>
  <c r="AN219" i="9"/>
  <c r="AM219" i="9"/>
  <c r="AL219" i="9"/>
  <c r="AK219" i="9"/>
  <c r="AJ219" i="9"/>
  <c r="AI219" i="9"/>
  <c r="AH219" i="9"/>
  <c r="AG219" i="9"/>
  <c r="S219" i="9"/>
  <c r="R219" i="9"/>
  <c r="AQ218" i="9"/>
  <c r="AN218" i="9"/>
  <c r="AM218" i="9"/>
  <c r="AL218" i="9"/>
  <c r="AK218" i="9"/>
  <c r="AJ218" i="9"/>
  <c r="AI218" i="9"/>
  <c r="AH218" i="9"/>
  <c r="AG218" i="9"/>
  <c r="S218" i="9"/>
  <c r="R218" i="9"/>
  <c r="Z210" i="9"/>
  <c r="X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AQ208" i="9"/>
  <c r="AN208" i="9"/>
  <c r="AM208" i="9"/>
  <c r="AL208" i="9"/>
  <c r="AK208" i="9"/>
  <c r="AJ208" i="9"/>
  <c r="AI208" i="9"/>
  <c r="AH208" i="9"/>
  <c r="AG208" i="9"/>
  <c r="S208" i="9"/>
  <c r="R208" i="9"/>
  <c r="AQ207" i="9"/>
  <c r="AN207" i="9"/>
  <c r="AM207" i="9"/>
  <c r="AL207" i="9"/>
  <c r="AK207" i="9"/>
  <c r="AJ207" i="9"/>
  <c r="AI207" i="9"/>
  <c r="AH207" i="9"/>
  <c r="AG207" i="9"/>
  <c r="S207" i="9"/>
  <c r="R207" i="9"/>
  <c r="AQ206" i="9"/>
  <c r="AN206" i="9"/>
  <c r="AM206" i="9"/>
  <c r="AL206" i="9"/>
  <c r="AK206" i="9"/>
  <c r="AJ206" i="9"/>
  <c r="AI206" i="9"/>
  <c r="AH206" i="9"/>
  <c r="AG206" i="9"/>
  <c r="S206" i="9"/>
  <c r="R206" i="9"/>
  <c r="AQ205" i="9"/>
  <c r="AN205" i="9"/>
  <c r="AM205" i="9"/>
  <c r="AL205" i="9"/>
  <c r="AK205" i="9"/>
  <c r="AJ205" i="9"/>
  <c r="AI205" i="9"/>
  <c r="AH205" i="9"/>
  <c r="AG205" i="9"/>
  <c r="S205" i="9"/>
  <c r="R205" i="9"/>
  <c r="AQ204" i="9"/>
  <c r="AN204" i="9"/>
  <c r="AM204" i="9"/>
  <c r="AL204" i="9"/>
  <c r="AK204" i="9"/>
  <c r="AJ204" i="9"/>
  <c r="AI204" i="9"/>
  <c r="AH204" i="9"/>
  <c r="AG204" i="9"/>
  <c r="S204" i="9"/>
  <c r="R204" i="9"/>
  <c r="AQ203" i="9"/>
  <c r="AN203" i="9"/>
  <c r="AM203" i="9"/>
  <c r="AL203" i="9"/>
  <c r="AK203" i="9"/>
  <c r="AJ203" i="9"/>
  <c r="AI203" i="9"/>
  <c r="AH203" i="9"/>
  <c r="AG203" i="9"/>
  <c r="S203" i="9"/>
  <c r="R203" i="9"/>
  <c r="AQ202" i="9"/>
  <c r="AN202" i="9"/>
  <c r="AM202" i="9"/>
  <c r="AL202" i="9"/>
  <c r="AK202" i="9"/>
  <c r="AJ202" i="9"/>
  <c r="AI202" i="9"/>
  <c r="AH202" i="9"/>
  <c r="AG202" i="9"/>
  <c r="S202" i="9"/>
  <c r="R202" i="9"/>
  <c r="AQ201" i="9"/>
  <c r="AN201" i="9"/>
  <c r="AM201" i="9"/>
  <c r="AL201" i="9"/>
  <c r="AK201" i="9"/>
  <c r="AJ201" i="9"/>
  <c r="AI201" i="9"/>
  <c r="AH201" i="9"/>
  <c r="AG201" i="9"/>
  <c r="S201" i="9"/>
  <c r="R201" i="9"/>
  <c r="AQ200" i="9"/>
  <c r="AN200" i="9"/>
  <c r="AM200" i="9"/>
  <c r="AL200" i="9"/>
  <c r="AK200" i="9"/>
  <c r="AJ200" i="9"/>
  <c r="AI200" i="9"/>
  <c r="AH200" i="9"/>
  <c r="AG200" i="9"/>
  <c r="AA200" i="9"/>
  <c r="Y200" i="9"/>
  <c r="S200" i="9"/>
  <c r="R200" i="9"/>
  <c r="AQ199" i="9"/>
  <c r="AN199" i="9"/>
  <c r="AM199" i="9"/>
  <c r="AL199" i="9"/>
  <c r="AK199" i="9"/>
  <c r="AJ199" i="9"/>
  <c r="AI199" i="9"/>
  <c r="AH199" i="9"/>
  <c r="AG199" i="9"/>
  <c r="AA199" i="9"/>
  <c r="Y199" i="9"/>
  <c r="S199" i="9"/>
  <c r="R199" i="9"/>
  <c r="AQ198" i="9"/>
  <c r="AN198" i="9"/>
  <c r="AM198" i="9"/>
  <c r="AL198" i="9"/>
  <c r="AK198" i="9"/>
  <c r="AJ198" i="9"/>
  <c r="AI198" i="9"/>
  <c r="AH198" i="9"/>
  <c r="AG198" i="9"/>
  <c r="AA198" i="9"/>
  <c r="Y198" i="9"/>
  <c r="S198" i="9"/>
  <c r="R198" i="9"/>
  <c r="AQ197" i="9"/>
  <c r="AN197" i="9"/>
  <c r="AM197" i="9"/>
  <c r="AL197" i="9"/>
  <c r="AK197" i="9"/>
  <c r="AJ197" i="9"/>
  <c r="AI197" i="9"/>
  <c r="AH197" i="9"/>
  <c r="AG197" i="9"/>
  <c r="AA197" i="9"/>
  <c r="Y197" i="9"/>
  <c r="S197" i="9"/>
  <c r="R197" i="9"/>
  <c r="Z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AQ187" i="9"/>
  <c r="AN187" i="9"/>
  <c r="AM187" i="9"/>
  <c r="AL187" i="9"/>
  <c r="AK187" i="9"/>
  <c r="AJ187" i="9"/>
  <c r="AI187" i="9"/>
  <c r="AH187" i="9"/>
  <c r="AG187" i="9"/>
  <c r="S187" i="9"/>
  <c r="R187" i="9"/>
  <c r="AQ186" i="9"/>
  <c r="AN186" i="9"/>
  <c r="AM186" i="9"/>
  <c r="AL186" i="9"/>
  <c r="AK186" i="9"/>
  <c r="AJ186" i="9"/>
  <c r="AI186" i="9"/>
  <c r="AH186" i="9"/>
  <c r="AG186" i="9"/>
  <c r="S186" i="9"/>
  <c r="R186" i="9"/>
  <c r="AQ185" i="9"/>
  <c r="AN185" i="9"/>
  <c r="AM185" i="9"/>
  <c r="AL185" i="9"/>
  <c r="AK185" i="9"/>
  <c r="AJ185" i="9"/>
  <c r="AI185" i="9"/>
  <c r="AH185" i="9"/>
  <c r="AG185" i="9"/>
  <c r="S185" i="9"/>
  <c r="R185" i="9"/>
  <c r="AQ184" i="9"/>
  <c r="AN184" i="9"/>
  <c r="AM184" i="9"/>
  <c r="AL184" i="9"/>
  <c r="AK184" i="9"/>
  <c r="AJ184" i="9"/>
  <c r="AI184" i="9"/>
  <c r="AH184" i="9"/>
  <c r="AG184" i="9"/>
  <c r="S184" i="9"/>
  <c r="R184" i="9"/>
  <c r="AQ183" i="9"/>
  <c r="AN183" i="9"/>
  <c r="AM183" i="9"/>
  <c r="AL183" i="9"/>
  <c r="AK183" i="9"/>
  <c r="AJ183" i="9"/>
  <c r="AI183" i="9"/>
  <c r="AH183" i="9"/>
  <c r="AG183" i="9"/>
  <c r="AQ182" i="9"/>
  <c r="AN182" i="9"/>
  <c r="AM182" i="9"/>
  <c r="AL182" i="9"/>
  <c r="AK182" i="9"/>
  <c r="AJ182" i="9"/>
  <c r="AI182" i="9"/>
  <c r="AH182" i="9"/>
  <c r="AG182" i="9"/>
  <c r="S182" i="9"/>
  <c r="R182" i="9"/>
  <c r="AQ181" i="9"/>
  <c r="AN181" i="9"/>
  <c r="AM181" i="9"/>
  <c r="AL181" i="9"/>
  <c r="AK181" i="9"/>
  <c r="AJ181" i="9"/>
  <c r="AI181" i="9"/>
  <c r="AH181" i="9"/>
  <c r="AG181" i="9"/>
  <c r="S181" i="9"/>
  <c r="R181" i="9"/>
  <c r="AQ180" i="9"/>
  <c r="AN180" i="9"/>
  <c r="AM180" i="9"/>
  <c r="AL180" i="9"/>
  <c r="AK180" i="9"/>
  <c r="AJ180" i="9"/>
  <c r="AI180" i="9"/>
  <c r="AH180" i="9"/>
  <c r="AG180" i="9"/>
  <c r="S180" i="9"/>
  <c r="R180" i="9"/>
  <c r="AQ179" i="9"/>
  <c r="AN179" i="9"/>
  <c r="AM179" i="9"/>
  <c r="AL179" i="9"/>
  <c r="AK179" i="9"/>
  <c r="AJ179" i="9"/>
  <c r="AI179" i="9"/>
  <c r="AH179" i="9"/>
  <c r="AG179" i="9"/>
  <c r="S179" i="9"/>
  <c r="R179" i="9"/>
  <c r="AQ178" i="9"/>
  <c r="AN178" i="9"/>
  <c r="AM178" i="9"/>
  <c r="AL178" i="9"/>
  <c r="AK178" i="9"/>
  <c r="AJ178" i="9"/>
  <c r="AI178" i="9"/>
  <c r="AH178" i="9"/>
  <c r="AG178" i="9"/>
  <c r="S178" i="9"/>
  <c r="R178" i="9"/>
  <c r="AQ177" i="9"/>
  <c r="AN177" i="9"/>
  <c r="AM177" i="9"/>
  <c r="AL177" i="9"/>
  <c r="AK177" i="9"/>
  <c r="AJ177" i="9"/>
  <c r="AI177" i="9"/>
  <c r="AH177" i="9"/>
  <c r="AG177" i="9"/>
  <c r="S177" i="9"/>
  <c r="R177" i="9"/>
  <c r="AQ176" i="9"/>
  <c r="AN176" i="9"/>
  <c r="AM176" i="9"/>
  <c r="AL176" i="9"/>
  <c r="AK176" i="9"/>
  <c r="AJ176" i="9"/>
  <c r="AI176" i="9"/>
  <c r="AH176" i="9"/>
  <c r="AG176" i="9"/>
  <c r="AA176" i="9"/>
  <c r="Y176" i="9"/>
  <c r="S176" i="9"/>
  <c r="R176" i="9"/>
  <c r="Z168" i="9"/>
  <c r="X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AQ166" i="9"/>
  <c r="AN166" i="9"/>
  <c r="AM166" i="9"/>
  <c r="AL166" i="9"/>
  <c r="AK166" i="9"/>
  <c r="AJ166" i="9"/>
  <c r="AI166" i="9"/>
  <c r="AH166" i="9"/>
  <c r="AG166" i="9"/>
  <c r="S166" i="9"/>
  <c r="R166" i="9"/>
  <c r="AQ165" i="9"/>
  <c r="AN165" i="9"/>
  <c r="AM165" i="9"/>
  <c r="AL165" i="9"/>
  <c r="AK165" i="9"/>
  <c r="AJ165" i="9"/>
  <c r="AI165" i="9"/>
  <c r="AH165" i="9"/>
  <c r="AG165" i="9"/>
  <c r="S165" i="9"/>
  <c r="R165" i="9"/>
  <c r="AQ164" i="9"/>
  <c r="AN164" i="9"/>
  <c r="AM164" i="9"/>
  <c r="AL164" i="9"/>
  <c r="AK164" i="9"/>
  <c r="AJ164" i="9"/>
  <c r="AI164" i="9"/>
  <c r="AH164" i="9"/>
  <c r="AG164" i="9"/>
  <c r="S164" i="9"/>
  <c r="R164" i="9"/>
  <c r="AQ163" i="9"/>
  <c r="AN163" i="9"/>
  <c r="AM163" i="9"/>
  <c r="AL163" i="9"/>
  <c r="AK163" i="9"/>
  <c r="AJ163" i="9"/>
  <c r="AI163" i="9"/>
  <c r="AH163" i="9"/>
  <c r="AG163" i="9"/>
  <c r="S163" i="9"/>
  <c r="R163" i="9"/>
  <c r="AQ162" i="9"/>
  <c r="AN162" i="9"/>
  <c r="AM162" i="9"/>
  <c r="AL162" i="9"/>
  <c r="AK162" i="9"/>
  <c r="AJ162" i="9"/>
  <c r="AI162" i="9"/>
  <c r="AH162" i="9"/>
  <c r="AG162" i="9"/>
  <c r="S162" i="9"/>
  <c r="R162" i="9"/>
  <c r="AQ161" i="9"/>
  <c r="AN161" i="9"/>
  <c r="AM161" i="9"/>
  <c r="AL161" i="9"/>
  <c r="AK161" i="9"/>
  <c r="AJ161" i="9"/>
  <c r="AI161" i="9"/>
  <c r="AH161" i="9"/>
  <c r="AG161" i="9"/>
  <c r="S161" i="9"/>
  <c r="R161" i="9"/>
  <c r="AQ160" i="9"/>
  <c r="AN160" i="9"/>
  <c r="AM160" i="9"/>
  <c r="AL160" i="9"/>
  <c r="AK160" i="9"/>
  <c r="AJ160" i="9"/>
  <c r="AI160" i="9"/>
  <c r="AH160" i="9"/>
  <c r="AG160" i="9"/>
  <c r="S160" i="9"/>
  <c r="R160" i="9"/>
  <c r="AQ159" i="9"/>
  <c r="AN159" i="9"/>
  <c r="AM159" i="9"/>
  <c r="AL159" i="9"/>
  <c r="AK159" i="9"/>
  <c r="AJ159" i="9"/>
  <c r="AI159" i="9"/>
  <c r="AH159" i="9"/>
  <c r="AG159" i="9"/>
  <c r="S159" i="9"/>
  <c r="R159" i="9"/>
  <c r="AQ158" i="9"/>
  <c r="AN158" i="9"/>
  <c r="AM158" i="9"/>
  <c r="AL158" i="9"/>
  <c r="AK158" i="9"/>
  <c r="AJ158" i="9"/>
  <c r="AI158" i="9"/>
  <c r="AH158" i="9"/>
  <c r="AG158" i="9"/>
  <c r="S158" i="9"/>
  <c r="R158" i="9"/>
  <c r="AQ157" i="9"/>
  <c r="AN157" i="9"/>
  <c r="AM157" i="9"/>
  <c r="AL157" i="9"/>
  <c r="AK157" i="9"/>
  <c r="AJ157" i="9"/>
  <c r="AI157" i="9"/>
  <c r="AH157" i="9"/>
  <c r="AG157" i="9"/>
  <c r="S157" i="9"/>
  <c r="R157" i="9"/>
  <c r="AQ156" i="9"/>
  <c r="AN156" i="9"/>
  <c r="AM156" i="9"/>
  <c r="AL156" i="9"/>
  <c r="AK156" i="9"/>
  <c r="AJ156" i="9"/>
  <c r="AI156" i="9"/>
  <c r="AH156" i="9"/>
  <c r="AG156" i="9"/>
  <c r="S156" i="9"/>
  <c r="R156" i="9"/>
  <c r="AQ155" i="9"/>
  <c r="AN155" i="9"/>
  <c r="AM155" i="9"/>
  <c r="AL155" i="9"/>
  <c r="AK155" i="9"/>
  <c r="AJ155" i="9"/>
  <c r="AI155" i="9"/>
  <c r="AH155" i="9"/>
  <c r="AG155" i="9"/>
  <c r="AA155" i="9"/>
  <c r="Y155" i="9"/>
  <c r="S155" i="9"/>
  <c r="R155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AQ145" i="9"/>
  <c r="AN145" i="9"/>
  <c r="AM145" i="9"/>
  <c r="AL145" i="9"/>
  <c r="AK145" i="9"/>
  <c r="AJ145" i="9"/>
  <c r="AI145" i="9"/>
  <c r="AH145" i="9"/>
  <c r="AG145" i="9"/>
  <c r="S145" i="9"/>
  <c r="R145" i="9"/>
  <c r="AQ144" i="9"/>
  <c r="AN144" i="9"/>
  <c r="AM144" i="9"/>
  <c r="AL144" i="9"/>
  <c r="AK144" i="9"/>
  <c r="AJ144" i="9"/>
  <c r="AI144" i="9"/>
  <c r="AH144" i="9"/>
  <c r="AG144" i="9"/>
  <c r="S144" i="9"/>
  <c r="R144" i="9"/>
  <c r="AQ143" i="9"/>
  <c r="AN143" i="9"/>
  <c r="AM143" i="9"/>
  <c r="AL143" i="9"/>
  <c r="AK143" i="9"/>
  <c r="AJ143" i="9"/>
  <c r="AI143" i="9"/>
  <c r="AH143" i="9"/>
  <c r="AG143" i="9"/>
  <c r="S143" i="9"/>
  <c r="R143" i="9"/>
  <c r="AQ142" i="9"/>
  <c r="AN142" i="9"/>
  <c r="AM142" i="9"/>
  <c r="AL142" i="9"/>
  <c r="AK142" i="9"/>
  <c r="AJ142" i="9"/>
  <c r="AI142" i="9"/>
  <c r="AH142" i="9"/>
  <c r="AG142" i="9"/>
  <c r="S142" i="9"/>
  <c r="R142" i="9"/>
  <c r="AQ141" i="9"/>
  <c r="AN141" i="9"/>
  <c r="AM141" i="9"/>
  <c r="AL141" i="9"/>
  <c r="AK141" i="9"/>
  <c r="AJ141" i="9"/>
  <c r="AI141" i="9"/>
  <c r="AH141" i="9"/>
  <c r="AG141" i="9"/>
  <c r="S141" i="9"/>
  <c r="R141" i="9"/>
  <c r="AQ140" i="9"/>
  <c r="AN140" i="9"/>
  <c r="AM140" i="9"/>
  <c r="AL140" i="9"/>
  <c r="AK140" i="9"/>
  <c r="AJ140" i="9"/>
  <c r="AI140" i="9"/>
  <c r="AH140" i="9"/>
  <c r="AG140" i="9"/>
  <c r="S140" i="9"/>
  <c r="R140" i="9"/>
  <c r="AQ139" i="9"/>
  <c r="AN139" i="9"/>
  <c r="AM139" i="9"/>
  <c r="AL139" i="9"/>
  <c r="AK139" i="9"/>
  <c r="AJ139" i="9"/>
  <c r="AI139" i="9"/>
  <c r="AH139" i="9"/>
  <c r="AG139" i="9"/>
  <c r="S139" i="9"/>
  <c r="R139" i="9"/>
  <c r="AQ138" i="9"/>
  <c r="AN138" i="9"/>
  <c r="AM138" i="9"/>
  <c r="AL138" i="9"/>
  <c r="AK138" i="9"/>
  <c r="AJ138" i="9"/>
  <c r="AI138" i="9"/>
  <c r="AH138" i="9"/>
  <c r="AG138" i="9"/>
  <c r="S138" i="9"/>
  <c r="R138" i="9"/>
  <c r="AQ137" i="9"/>
  <c r="AN137" i="9"/>
  <c r="AM137" i="9"/>
  <c r="AL137" i="9"/>
  <c r="AK137" i="9"/>
  <c r="AJ137" i="9"/>
  <c r="AI137" i="9"/>
  <c r="AH137" i="9"/>
  <c r="AG137" i="9"/>
  <c r="S137" i="9"/>
  <c r="R137" i="9"/>
  <c r="AQ136" i="9"/>
  <c r="AN136" i="9"/>
  <c r="AM136" i="9"/>
  <c r="AL136" i="9"/>
  <c r="AK136" i="9"/>
  <c r="AJ136" i="9"/>
  <c r="AI136" i="9"/>
  <c r="AH136" i="9"/>
  <c r="AG136" i="9"/>
  <c r="S136" i="9"/>
  <c r="R136" i="9"/>
  <c r="AQ135" i="9"/>
  <c r="AN135" i="9"/>
  <c r="AM135" i="9"/>
  <c r="AL135" i="9"/>
  <c r="AK135" i="9"/>
  <c r="AJ135" i="9"/>
  <c r="AI135" i="9"/>
  <c r="AH135" i="9"/>
  <c r="AG135" i="9"/>
  <c r="S135" i="9"/>
  <c r="R135" i="9"/>
  <c r="AQ134" i="9"/>
  <c r="AN134" i="9"/>
  <c r="AM134" i="9"/>
  <c r="AL134" i="9"/>
  <c r="AK134" i="9"/>
  <c r="AJ134" i="9"/>
  <c r="AI134" i="9"/>
  <c r="AH134" i="9"/>
  <c r="AG134" i="9"/>
  <c r="S134" i="9"/>
  <c r="Z126" i="9"/>
  <c r="X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AQ124" i="9"/>
  <c r="AN124" i="9"/>
  <c r="AM124" i="9"/>
  <c r="AL124" i="9"/>
  <c r="AK124" i="9"/>
  <c r="AJ124" i="9"/>
  <c r="AI124" i="9"/>
  <c r="AH124" i="9"/>
  <c r="AG124" i="9"/>
  <c r="U124" i="9"/>
  <c r="T124" i="9"/>
  <c r="AQ123" i="9"/>
  <c r="AN123" i="9"/>
  <c r="AM123" i="9"/>
  <c r="AL123" i="9"/>
  <c r="AK123" i="9"/>
  <c r="AJ123" i="9"/>
  <c r="AI123" i="9"/>
  <c r="AH123" i="9"/>
  <c r="AG123" i="9"/>
  <c r="U123" i="9"/>
  <c r="T123" i="9"/>
  <c r="AQ122" i="9"/>
  <c r="AN122" i="9"/>
  <c r="AM122" i="9"/>
  <c r="AL122" i="9"/>
  <c r="AK122" i="9"/>
  <c r="AJ122" i="9"/>
  <c r="AI122" i="9"/>
  <c r="AH122" i="9"/>
  <c r="AG122" i="9"/>
  <c r="U122" i="9"/>
  <c r="T122" i="9"/>
  <c r="AQ121" i="9"/>
  <c r="AN121" i="9"/>
  <c r="AM121" i="9"/>
  <c r="AL121" i="9"/>
  <c r="AK121" i="9"/>
  <c r="AJ121" i="9"/>
  <c r="AI121" i="9"/>
  <c r="AH121" i="9"/>
  <c r="AG121" i="9"/>
  <c r="U121" i="9"/>
  <c r="T121" i="9"/>
  <c r="AQ120" i="9"/>
  <c r="AN120" i="9"/>
  <c r="AM120" i="9"/>
  <c r="AL120" i="9"/>
  <c r="AK120" i="9"/>
  <c r="AJ120" i="9"/>
  <c r="AI120" i="9"/>
  <c r="AH120" i="9"/>
  <c r="AG120" i="9"/>
  <c r="U120" i="9"/>
  <c r="T120" i="9"/>
  <c r="AQ119" i="9"/>
  <c r="AN119" i="9"/>
  <c r="AM119" i="9"/>
  <c r="AL119" i="9"/>
  <c r="AK119" i="9"/>
  <c r="AJ119" i="9"/>
  <c r="AI119" i="9"/>
  <c r="AH119" i="9"/>
  <c r="AG119" i="9"/>
  <c r="U119" i="9"/>
  <c r="T119" i="9"/>
  <c r="AQ118" i="9"/>
  <c r="AN118" i="9"/>
  <c r="AM118" i="9"/>
  <c r="AL118" i="9"/>
  <c r="AK118" i="9"/>
  <c r="AJ118" i="9"/>
  <c r="AI118" i="9"/>
  <c r="AH118" i="9"/>
  <c r="AG118" i="9"/>
  <c r="U118" i="9"/>
  <c r="T118" i="9"/>
  <c r="AQ117" i="9"/>
  <c r="AN117" i="9"/>
  <c r="AM117" i="9"/>
  <c r="AL117" i="9"/>
  <c r="AK117" i="9"/>
  <c r="AJ117" i="9"/>
  <c r="AI117" i="9"/>
  <c r="AH117" i="9"/>
  <c r="AG117" i="9"/>
  <c r="U117" i="9"/>
  <c r="T117" i="9"/>
  <c r="AQ116" i="9"/>
  <c r="AN116" i="9"/>
  <c r="AM116" i="9"/>
  <c r="AL116" i="9"/>
  <c r="AK116" i="9"/>
  <c r="AJ116" i="9"/>
  <c r="AI116" i="9"/>
  <c r="AH116" i="9"/>
  <c r="AG116" i="9"/>
  <c r="U116" i="9"/>
  <c r="T116" i="9"/>
  <c r="AQ115" i="9"/>
  <c r="AN115" i="9"/>
  <c r="AM115" i="9"/>
  <c r="AL115" i="9"/>
  <c r="AK115" i="9"/>
  <c r="AJ115" i="9"/>
  <c r="AI115" i="9"/>
  <c r="AH115" i="9"/>
  <c r="AG115" i="9"/>
  <c r="U115" i="9"/>
  <c r="T115" i="9"/>
  <c r="AQ114" i="9"/>
  <c r="AN114" i="9"/>
  <c r="AM114" i="9"/>
  <c r="AL114" i="9"/>
  <c r="AK114" i="9"/>
  <c r="AJ114" i="9"/>
  <c r="AI114" i="9"/>
  <c r="AH114" i="9"/>
  <c r="AG114" i="9"/>
  <c r="U114" i="9"/>
  <c r="T114" i="9"/>
  <c r="AQ113" i="9"/>
  <c r="AN113" i="9"/>
  <c r="AM113" i="9"/>
  <c r="AL113" i="9"/>
  <c r="AK113" i="9"/>
  <c r="AJ113" i="9"/>
  <c r="AI113" i="9"/>
  <c r="AH113" i="9"/>
  <c r="AG113" i="9"/>
  <c r="AA113" i="9"/>
  <c r="Y113" i="9"/>
  <c r="U113" i="9"/>
  <c r="T113" i="9"/>
  <c r="Z105" i="9"/>
  <c r="X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AQ103" i="9"/>
  <c r="AN103" i="9"/>
  <c r="AM103" i="9"/>
  <c r="AL103" i="9"/>
  <c r="AK103" i="9"/>
  <c r="AJ103" i="9"/>
  <c r="AI103" i="9"/>
  <c r="AH103" i="9"/>
  <c r="AG103" i="9"/>
  <c r="S103" i="9"/>
  <c r="R103" i="9"/>
  <c r="AQ102" i="9"/>
  <c r="AN102" i="9"/>
  <c r="AM102" i="9"/>
  <c r="AL102" i="9"/>
  <c r="AK102" i="9"/>
  <c r="AJ102" i="9"/>
  <c r="AI102" i="9"/>
  <c r="AH102" i="9"/>
  <c r="AG102" i="9"/>
  <c r="S102" i="9"/>
  <c r="R102" i="9"/>
  <c r="AQ101" i="9"/>
  <c r="AN101" i="9"/>
  <c r="AM101" i="9"/>
  <c r="AL101" i="9"/>
  <c r="AK101" i="9"/>
  <c r="AJ101" i="9"/>
  <c r="AI101" i="9"/>
  <c r="AH101" i="9"/>
  <c r="AG101" i="9"/>
  <c r="S101" i="9"/>
  <c r="R101" i="9"/>
  <c r="AQ100" i="9"/>
  <c r="AN100" i="9"/>
  <c r="AM100" i="9"/>
  <c r="AL100" i="9"/>
  <c r="AK100" i="9"/>
  <c r="AJ100" i="9"/>
  <c r="AI100" i="9"/>
  <c r="AH100" i="9"/>
  <c r="AG100" i="9"/>
  <c r="S100" i="9"/>
  <c r="R100" i="9"/>
  <c r="AQ99" i="9"/>
  <c r="AN99" i="9"/>
  <c r="AM99" i="9"/>
  <c r="AL99" i="9"/>
  <c r="AK99" i="9"/>
  <c r="AJ99" i="9"/>
  <c r="AI99" i="9"/>
  <c r="AH99" i="9"/>
  <c r="AG99" i="9"/>
  <c r="S99" i="9"/>
  <c r="R99" i="9"/>
  <c r="AQ98" i="9"/>
  <c r="AN98" i="9"/>
  <c r="AM98" i="9"/>
  <c r="AL98" i="9"/>
  <c r="AK98" i="9"/>
  <c r="AJ98" i="9"/>
  <c r="AI98" i="9"/>
  <c r="AH98" i="9"/>
  <c r="AG98" i="9"/>
  <c r="S98" i="9"/>
  <c r="R98" i="9"/>
  <c r="AQ97" i="9"/>
  <c r="AN97" i="9"/>
  <c r="AM97" i="9"/>
  <c r="AL97" i="9"/>
  <c r="AK97" i="9"/>
  <c r="AJ97" i="9"/>
  <c r="AI97" i="9"/>
  <c r="AH97" i="9"/>
  <c r="AG97" i="9"/>
  <c r="S97" i="9"/>
  <c r="R97" i="9"/>
  <c r="AQ96" i="9"/>
  <c r="AN96" i="9"/>
  <c r="AM96" i="9"/>
  <c r="AL96" i="9"/>
  <c r="AK96" i="9"/>
  <c r="AJ96" i="9"/>
  <c r="AI96" i="9"/>
  <c r="AH96" i="9"/>
  <c r="AG96" i="9"/>
  <c r="S96" i="9"/>
  <c r="R96" i="9"/>
  <c r="AQ95" i="9"/>
  <c r="AN95" i="9"/>
  <c r="AM95" i="9"/>
  <c r="AL95" i="9"/>
  <c r="AK95" i="9"/>
  <c r="AJ95" i="9"/>
  <c r="AI95" i="9"/>
  <c r="AH95" i="9"/>
  <c r="AG95" i="9"/>
  <c r="AA95" i="9"/>
  <c r="Y95" i="9"/>
  <c r="S95" i="9"/>
  <c r="R95" i="9"/>
  <c r="AQ94" i="9"/>
  <c r="AN94" i="9"/>
  <c r="AM94" i="9"/>
  <c r="AL94" i="9"/>
  <c r="AK94" i="9"/>
  <c r="AJ94" i="9"/>
  <c r="AI94" i="9"/>
  <c r="AH94" i="9"/>
  <c r="AG94" i="9"/>
  <c r="AA94" i="9"/>
  <c r="Y94" i="9"/>
  <c r="S94" i="9"/>
  <c r="R94" i="9"/>
  <c r="AQ93" i="9"/>
  <c r="AN93" i="9"/>
  <c r="AM93" i="9"/>
  <c r="AL93" i="9"/>
  <c r="AK93" i="9"/>
  <c r="AJ93" i="9"/>
  <c r="AI93" i="9"/>
  <c r="AH93" i="9"/>
  <c r="AG93" i="9"/>
  <c r="AA93" i="9"/>
  <c r="Y93" i="9"/>
  <c r="S93" i="9"/>
  <c r="R93" i="9"/>
  <c r="AQ92" i="9"/>
  <c r="AN92" i="9"/>
  <c r="AM92" i="9"/>
  <c r="AL92" i="9"/>
  <c r="AK92" i="9"/>
  <c r="AJ92" i="9"/>
  <c r="AI92" i="9"/>
  <c r="AH92" i="9"/>
  <c r="AG92" i="9"/>
  <c r="AA92" i="9"/>
  <c r="Y92" i="9"/>
  <c r="S92" i="9"/>
  <c r="R92" i="9"/>
  <c r="Z84" i="9"/>
  <c r="X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AQ82" i="9"/>
  <c r="AN82" i="9"/>
  <c r="AM82" i="9"/>
  <c r="AL82" i="9"/>
  <c r="AK82" i="9"/>
  <c r="AJ82" i="9"/>
  <c r="AI82" i="9"/>
  <c r="AH82" i="9"/>
  <c r="AG82" i="9"/>
  <c r="S82" i="9"/>
  <c r="R82" i="9"/>
  <c r="AQ81" i="9"/>
  <c r="AN81" i="9"/>
  <c r="AM81" i="9"/>
  <c r="AL81" i="9"/>
  <c r="AK81" i="9"/>
  <c r="AJ81" i="9"/>
  <c r="AI81" i="9"/>
  <c r="AH81" i="9"/>
  <c r="AG81" i="9"/>
  <c r="S81" i="9"/>
  <c r="R81" i="9"/>
  <c r="AQ80" i="9"/>
  <c r="AN80" i="9"/>
  <c r="AM80" i="9"/>
  <c r="AL80" i="9"/>
  <c r="AK80" i="9"/>
  <c r="AJ80" i="9"/>
  <c r="AI80" i="9"/>
  <c r="AH80" i="9"/>
  <c r="AG80" i="9"/>
  <c r="S80" i="9"/>
  <c r="R80" i="9"/>
  <c r="AQ79" i="9"/>
  <c r="AN79" i="9"/>
  <c r="AM79" i="9"/>
  <c r="AL79" i="9"/>
  <c r="AK79" i="9"/>
  <c r="AJ79" i="9"/>
  <c r="AI79" i="9"/>
  <c r="AH79" i="9"/>
  <c r="AG79" i="9"/>
  <c r="S79" i="9"/>
  <c r="R79" i="9"/>
  <c r="AQ78" i="9"/>
  <c r="AN78" i="9"/>
  <c r="AM78" i="9"/>
  <c r="AL78" i="9"/>
  <c r="AK78" i="9"/>
  <c r="AJ78" i="9"/>
  <c r="AI78" i="9"/>
  <c r="AH78" i="9"/>
  <c r="AG78" i="9"/>
  <c r="S78" i="9"/>
  <c r="R78" i="9"/>
  <c r="AQ77" i="9"/>
  <c r="AN77" i="9"/>
  <c r="AM77" i="9"/>
  <c r="AL77" i="9"/>
  <c r="AK77" i="9"/>
  <c r="AJ77" i="9"/>
  <c r="AI77" i="9"/>
  <c r="AH77" i="9"/>
  <c r="AG77" i="9"/>
  <c r="S77" i="9"/>
  <c r="R77" i="9"/>
  <c r="AQ76" i="9"/>
  <c r="AN76" i="9"/>
  <c r="AM76" i="9"/>
  <c r="AL76" i="9"/>
  <c r="AK76" i="9"/>
  <c r="AJ76" i="9"/>
  <c r="AI76" i="9"/>
  <c r="AH76" i="9"/>
  <c r="AG76" i="9"/>
  <c r="S76" i="9"/>
  <c r="R76" i="9"/>
  <c r="AQ75" i="9"/>
  <c r="AN75" i="9"/>
  <c r="AM75" i="9"/>
  <c r="AL75" i="9"/>
  <c r="AK75" i="9"/>
  <c r="AJ75" i="9"/>
  <c r="AI75" i="9"/>
  <c r="AH75" i="9"/>
  <c r="AG75" i="9"/>
  <c r="S75" i="9"/>
  <c r="R75" i="9"/>
  <c r="AQ74" i="9"/>
  <c r="AN74" i="9"/>
  <c r="AM74" i="9"/>
  <c r="AL74" i="9"/>
  <c r="AK74" i="9"/>
  <c r="AJ74" i="9"/>
  <c r="AI74" i="9"/>
  <c r="AH74" i="9"/>
  <c r="AG74" i="9"/>
  <c r="S74" i="9"/>
  <c r="R74" i="9"/>
  <c r="AQ73" i="9"/>
  <c r="AN73" i="9"/>
  <c r="AM73" i="9"/>
  <c r="AL73" i="9"/>
  <c r="AK73" i="9"/>
  <c r="AJ73" i="9"/>
  <c r="AI73" i="9"/>
  <c r="AH73" i="9"/>
  <c r="AG73" i="9"/>
  <c r="S73" i="9"/>
  <c r="R73" i="9"/>
  <c r="AQ72" i="9"/>
  <c r="AN72" i="9"/>
  <c r="AM72" i="9"/>
  <c r="AL72" i="9"/>
  <c r="AK72" i="9"/>
  <c r="AJ72" i="9"/>
  <c r="AI72" i="9"/>
  <c r="AH72" i="9"/>
  <c r="AG72" i="9"/>
  <c r="S72" i="9"/>
  <c r="AQ71" i="9"/>
  <c r="AN71" i="9"/>
  <c r="AM71" i="9"/>
  <c r="AL71" i="9"/>
  <c r="AK71" i="9"/>
  <c r="AJ71" i="9"/>
  <c r="AI71" i="9"/>
  <c r="AH71" i="9"/>
  <c r="AG71" i="9"/>
  <c r="AA71" i="9"/>
  <c r="Y71" i="9"/>
  <c r="S71" i="9"/>
  <c r="R71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AQ61" i="9"/>
  <c r="AN61" i="9"/>
  <c r="AM61" i="9"/>
  <c r="AL61" i="9"/>
  <c r="AK61" i="9"/>
  <c r="AJ61" i="9"/>
  <c r="AI61" i="9"/>
  <c r="AH61" i="9"/>
  <c r="AG61" i="9"/>
  <c r="S61" i="9"/>
  <c r="R61" i="9"/>
  <c r="AQ60" i="9"/>
  <c r="AN60" i="9"/>
  <c r="AM60" i="9"/>
  <c r="AL60" i="9"/>
  <c r="AK60" i="9"/>
  <c r="AJ60" i="9"/>
  <c r="AI60" i="9"/>
  <c r="AH60" i="9"/>
  <c r="AG60" i="9"/>
  <c r="S60" i="9"/>
  <c r="R60" i="9"/>
  <c r="AQ59" i="9"/>
  <c r="AN59" i="9"/>
  <c r="AM59" i="9"/>
  <c r="AL59" i="9"/>
  <c r="AK59" i="9"/>
  <c r="AJ59" i="9"/>
  <c r="AI59" i="9"/>
  <c r="AH59" i="9"/>
  <c r="AG59" i="9"/>
  <c r="S59" i="9"/>
  <c r="R59" i="9"/>
  <c r="AQ58" i="9"/>
  <c r="AN58" i="9"/>
  <c r="AM58" i="9"/>
  <c r="AL58" i="9"/>
  <c r="AK58" i="9"/>
  <c r="AJ58" i="9"/>
  <c r="AI58" i="9"/>
  <c r="AH58" i="9"/>
  <c r="AG58" i="9"/>
  <c r="S58" i="9"/>
  <c r="R58" i="9"/>
  <c r="AQ57" i="9"/>
  <c r="AN57" i="9"/>
  <c r="AM57" i="9"/>
  <c r="AL57" i="9"/>
  <c r="AK57" i="9"/>
  <c r="AJ57" i="9"/>
  <c r="AI57" i="9"/>
  <c r="AH57" i="9"/>
  <c r="AG57" i="9"/>
  <c r="S57" i="9"/>
  <c r="R57" i="9"/>
  <c r="AQ56" i="9"/>
  <c r="AN56" i="9"/>
  <c r="AM56" i="9"/>
  <c r="AL56" i="9"/>
  <c r="AK56" i="9"/>
  <c r="AJ56" i="9"/>
  <c r="AI56" i="9"/>
  <c r="AH56" i="9"/>
  <c r="AG56" i="9"/>
  <c r="AQ55" i="9"/>
  <c r="AN55" i="9"/>
  <c r="AM55" i="9"/>
  <c r="AL55" i="9"/>
  <c r="AK55" i="9"/>
  <c r="AJ55" i="9"/>
  <c r="AI55" i="9"/>
  <c r="AH55" i="9"/>
  <c r="AG55" i="9"/>
  <c r="S55" i="9"/>
  <c r="R55" i="9"/>
  <c r="AQ54" i="9"/>
  <c r="AN54" i="9"/>
  <c r="AM54" i="9"/>
  <c r="AL54" i="9"/>
  <c r="AK54" i="9"/>
  <c r="AJ54" i="9"/>
  <c r="AI54" i="9"/>
  <c r="AH54" i="9"/>
  <c r="AG54" i="9"/>
  <c r="S54" i="9"/>
  <c r="R54" i="9"/>
  <c r="AQ53" i="9"/>
  <c r="AN53" i="9"/>
  <c r="AM53" i="9"/>
  <c r="AL53" i="9"/>
  <c r="AK53" i="9"/>
  <c r="AJ53" i="9"/>
  <c r="AI53" i="9"/>
  <c r="AH53" i="9"/>
  <c r="AG53" i="9"/>
  <c r="S53" i="9"/>
  <c r="R53" i="9"/>
  <c r="AQ52" i="9"/>
  <c r="AN52" i="9"/>
  <c r="AM52" i="9"/>
  <c r="AL52" i="9"/>
  <c r="AK52" i="9"/>
  <c r="AJ52" i="9"/>
  <c r="AI52" i="9"/>
  <c r="AH52" i="9"/>
  <c r="AG52" i="9"/>
  <c r="S52" i="9"/>
  <c r="R52" i="9"/>
  <c r="AQ51" i="9"/>
  <c r="AN51" i="9"/>
  <c r="AM51" i="9"/>
  <c r="AL51" i="9"/>
  <c r="AK51" i="9"/>
  <c r="AJ51" i="9"/>
  <c r="AI51" i="9"/>
  <c r="AH51" i="9"/>
  <c r="AG51" i="9"/>
  <c r="S51" i="9"/>
  <c r="R51" i="9"/>
  <c r="AQ50" i="9"/>
  <c r="AN50" i="9"/>
  <c r="AM50" i="9"/>
  <c r="AL50" i="9"/>
  <c r="AK50" i="9"/>
  <c r="AJ50" i="9"/>
  <c r="AI50" i="9"/>
  <c r="AH50" i="9"/>
  <c r="AG50" i="9"/>
  <c r="S50" i="9"/>
  <c r="R50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AQ40" i="9"/>
  <c r="AN40" i="9"/>
  <c r="AM40" i="9"/>
  <c r="AL40" i="9"/>
  <c r="AK40" i="9"/>
  <c r="AJ40" i="9"/>
  <c r="AI40" i="9"/>
  <c r="AH40" i="9"/>
  <c r="AG40" i="9"/>
  <c r="S40" i="9"/>
  <c r="R40" i="9"/>
  <c r="AQ39" i="9"/>
  <c r="AN39" i="9"/>
  <c r="AM39" i="9"/>
  <c r="AL39" i="9"/>
  <c r="AK39" i="9"/>
  <c r="AJ39" i="9"/>
  <c r="AI39" i="9"/>
  <c r="AH39" i="9"/>
  <c r="AG39" i="9"/>
  <c r="S39" i="9"/>
  <c r="R39" i="9"/>
  <c r="AQ38" i="9"/>
  <c r="AN38" i="9"/>
  <c r="AM38" i="9"/>
  <c r="AL38" i="9"/>
  <c r="AK38" i="9"/>
  <c r="AJ38" i="9"/>
  <c r="AI38" i="9"/>
  <c r="AH38" i="9"/>
  <c r="AG38" i="9"/>
  <c r="S38" i="9"/>
  <c r="R38" i="9"/>
  <c r="AQ37" i="9"/>
  <c r="AN37" i="9"/>
  <c r="AM37" i="9"/>
  <c r="AL37" i="9"/>
  <c r="AK37" i="9"/>
  <c r="AJ37" i="9"/>
  <c r="AI37" i="9"/>
  <c r="AH37" i="9"/>
  <c r="AG37" i="9"/>
  <c r="S37" i="9"/>
  <c r="R37" i="9"/>
  <c r="AQ36" i="9"/>
  <c r="AN36" i="9"/>
  <c r="AM36" i="9"/>
  <c r="AL36" i="9"/>
  <c r="AK36" i="9"/>
  <c r="AJ36" i="9"/>
  <c r="AI36" i="9"/>
  <c r="AH36" i="9"/>
  <c r="AG36" i="9"/>
  <c r="S36" i="9"/>
  <c r="R36" i="9"/>
  <c r="AQ35" i="9"/>
  <c r="AN35" i="9"/>
  <c r="AM35" i="9"/>
  <c r="AL35" i="9"/>
  <c r="AK35" i="9"/>
  <c r="AJ35" i="9"/>
  <c r="AI35" i="9"/>
  <c r="AH35" i="9"/>
  <c r="AG35" i="9"/>
  <c r="S35" i="9"/>
  <c r="R35" i="9"/>
  <c r="AQ34" i="9"/>
  <c r="AN34" i="9"/>
  <c r="AM34" i="9"/>
  <c r="AL34" i="9"/>
  <c r="AK34" i="9"/>
  <c r="AJ34" i="9"/>
  <c r="AI34" i="9"/>
  <c r="AH34" i="9"/>
  <c r="AG34" i="9"/>
  <c r="AQ33" i="9"/>
  <c r="AN33" i="9"/>
  <c r="AM33" i="9"/>
  <c r="AL33" i="9"/>
  <c r="AK33" i="9"/>
  <c r="AJ33" i="9"/>
  <c r="AI33" i="9"/>
  <c r="AH33" i="9"/>
  <c r="AG33" i="9"/>
  <c r="S33" i="9"/>
  <c r="R33" i="9"/>
  <c r="AQ32" i="9"/>
  <c r="AN32" i="9"/>
  <c r="AM32" i="9"/>
  <c r="AL32" i="9"/>
  <c r="AK32" i="9"/>
  <c r="AJ32" i="9"/>
  <c r="AI32" i="9"/>
  <c r="AH32" i="9"/>
  <c r="AG32" i="9"/>
  <c r="S32" i="9"/>
  <c r="R32" i="9"/>
  <c r="AQ31" i="9"/>
  <c r="AN31" i="9"/>
  <c r="AM31" i="9"/>
  <c r="AL31" i="9"/>
  <c r="AK31" i="9"/>
  <c r="AJ31" i="9"/>
  <c r="AI31" i="9"/>
  <c r="AH31" i="9"/>
  <c r="AG31" i="9"/>
  <c r="S31" i="9"/>
  <c r="R31" i="9"/>
  <c r="AQ30" i="9"/>
  <c r="AN30" i="9"/>
  <c r="AM30" i="9"/>
  <c r="AL30" i="9"/>
  <c r="AK30" i="9"/>
  <c r="AJ30" i="9"/>
  <c r="AI30" i="9"/>
  <c r="AH30" i="9"/>
  <c r="AG30" i="9"/>
  <c r="S30" i="9"/>
  <c r="R30" i="9"/>
  <c r="AQ29" i="9"/>
  <c r="AN29" i="9"/>
  <c r="AM29" i="9"/>
  <c r="AL29" i="9"/>
  <c r="AK29" i="9"/>
  <c r="AJ29" i="9"/>
  <c r="AI29" i="9"/>
  <c r="AH29" i="9"/>
  <c r="AG29" i="9"/>
  <c r="S29" i="9"/>
  <c r="R29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AQ19" i="9"/>
  <c r="AN19" i="9"/>
  <c r="AM19" i="9"/>
  <c r="AL19" i="9"/>
  <c r="AK19" i="9"/>
  <c r="AJ19" i="9"/>
  <c r="AI19" i="9"/>
  <c r="AH19" i="9"/>
  <c r="AG19" i="9"/>
  <c r="S19" i="9"/>
  <c r="R19" i="9"/>
  <c r="AQ18" i="9"/>
  <c r="AN18" i="9"/>
  <c r="AM18" i="9"/>
  <c r="AL18" i="9"/>
  <c r="AK18" i="9"/>
  <c r="AJ18" i="9"/>
  <c r="AI18" i="9"/>
  <c r="AH18" i="9"/>
  <c r="AG18" i="9"/>
  <c r="S18" i="9"/>
  <c r="R18" i="9"/>
  <c r="AQ17" i="9"/>
  <c r="AN17" i="9"/>
  <c r="AM17" i="9"/>
  <c r="AL17" i="9"/>
  <c r="AK17" i="9"/>
  <c r="AJ17" i="9"/>
  <c r="AI17" i="9"/>
  <c r="AH17" i="9"/>
  <c r="AG17" i="9"/>
  <c r="S17" i="9"/>
  <c r="R17" i="9"/>
  <c r="AQ16" i="9"/>
  <c r="AN16" i="9"/>
  <c r="AM16" i="9"/>
  <c r="AL16" i="9"/>
  <c r="AK16" i="9"/>
  <c r="AJ16" i="9"/>
  <c r="AI16" i="9"/>
  <c r="AH16" i="9"/>
  <c r="AG16" i="9"/>
  <c r="S16" i="9"/>
  <c r="R16" i="9"/>
  <c r="AQ15" i="9"/>
  <c r="AN15" i="9"/>
  <c r="AM15" i="9"/>
  <c r="AL15" i="9"/>
  <c r="AK15" i="9"/>
  <c r="AJ15" i="9"/>
  <c r="AI15" i="9"/>
  <c r="AH15" i="9"/>
  <c r="AG15" i="9"/>
  <c r="S15" i="9"/>
  <c r="R15" i="9"/>
  <c r="AQ14" i="9"/>
  <c r="AN14" i="9"/>
  <c r="AM14" i="9"/>
  <c r="AL14" i="9"/>
  <c r="AK14" i="9"/>
  <c r="AJ14" i="9"/>
  <c r="AI14" i="9"/>
  <c r="AH14" i="9"/>
  <c r="AG14" i="9"/>
  <c r="S14" i="9"/>
  <c r="R14" i="9"/>
  <c r="AQ13" i="9"/>
  <c r="AN13" i="9"/>
  <c r="AM13" i="9"/>
  <c r="AL13" i="9"/>
  <c r="AK13" i="9"/>
  <c r="AJ13" i="9"/>
  <c r="AI13" i="9"/>
  <c r="AH13" i="9"/>
  <c r="AG13" i="9"/>
  <c r="S13" i="9"/>
  <c r="R13" i="9"/>
  <c r="AQ12" i="9"/>
  <c r="AN12" i="9"/>
  <c r="AM12" i="9"/>
  <c r="AL12" i="9"/>
  <c r="AK12" i="9"/>
  <c r="AJ12" i="9"/>
  <c r="AI12" i="9"/>
  <c r="AH12" i="9"/>
  <c r="AG12" i="9"/>
  <c r="S12" i="9"/>
  <c r="R12" i="9"/>
  <c r="AQ11" i="9"/>
  <c r="AN11" i="9"/>
  <c r="AM11" i="9"/>
  <c r="AL11" i="9"/>
  <c r="AK11" i="9"/>
  <c r="AJ11" i="9"/>
  <c r="AI11" i="9"/>
  <c r="AH11" i="9"/>
  <c r="AG11" i="9"/>
  <c r="S11" i="9"/>
  <c r="R11" i="9"/>
  <c r="AQ10" i="9"/>
  <c r="AN10" i="9"/>
  <c r="AM10" i="9"/>
  <c r="AL10" i="9"/>
  <c r="AK10" i="9"/>
  <c r="AJ10" i="9"/>
  <c r="AI10" i="9"/>
  <c r="AH10" i="9"/>
  <c r="AG10" i="9"/>
  <c r="S10" i="9"/>
  <c r="R10" i="9"/>
  <c r="AQ9" i="9"/>
  <c r="AN9" i="9"/>
  <c r="AM9" i="9"/>
  <c r="AL9" i="9"/>
  <c r="AK9" i="9"/>
  <c r="AJ9" i="9"/>
  <c r="AI9" i="9"/>
  <c r="AH9" i="9"/>
  <c r="AG9" i="9"/>
  <c r="S9" i="9"/>
  <c r="R9" i="9"/>
  <c r="AQ8" i="9"/>
  <c r="AN8" i="9"/>
  <c r="AM8" i="9"/>
  <c r="AL8" i="9"/>
  <c r="AK8" i="9"/>
  <c r="AJ8" i="9"/>
  <c r="AI8" i="9"/>
  <c r="AH8" i="9"/>
  <c r="AG8" i="9"/>
  <c r="S8" i="9"/>
  <c r="R8" i="9"/>
  <c r="S148" i="9" l="1"/>
  <c r="S190" i="9"/>
  <c r="S191" i="9" s="1"/>
  <c r="R43" i="9"/>
  <c r="R44" i="9" s="1"/>
  <c r="R64" i="9"/>
  <c r="R65" i="9" s="1"/>
  <c r="R106" i="9"/>
  <c r="R107" i="9" s="1"/>
  <c r="R169" i="9"/>
  <c r="R170" i="9" s="1"/>
  <c r="R211" i="9"/>
  <c r="R212" i="9" s="1"/>
  <c r="R253" i="9"/>
  <c r="R254" i="9" s="1"/>
  <c r="S106" i="9"/>
  <c r="S107" i="9" s="1"/>
  <c r="R148" i="9"/>
  <c r="R149" i="9" s="1"/>
  <c r="S169" i="9"/>
  <c r="S211" i="9"/>
  <c r="S212" i="9" s="1"/>
  <c r="S253" i="9"/>
  <c r="S254" i="9" s="1"/>
  <c r="R22" i="9"/>
  <c r="R23" i="9" s="1"/>
  <c r="S22" i="9"/>
  <c r="S23" i="9" s="1"/>
  <c r="T127" i="9"/>
  <c r="T128" i="9" s="1"/>
  <c r="R232" i="9"/>
  <c r="R233" i="9" s="1"/>
  <c r="R85" i="9"/>
  <c r="R86" i="9" s="1"/>
  <c r="U127" i="9"/>
  <c r="U128" i="9" s="1"/>
  <c r="S232" i="9"/>
  <c r="S233" i="9" s="1"/>
  <c r="S43" i="9"/>
  <c r="S44" i="9" s="1"/>
  <c r="S64" i="9"/>
  <c r="S65" i="9" s="1"/>
  <c r="S85" i="9"/>
  <c r="S86" i="9" s="1"/>
  <c r="R190" i="9"/>
  <c r="R191" i="9" s="1"/>
  <c r="S170" i="9"/>
  <c r="S149" i="9"/>
  <c r="Y231" i="9"/>
  <c r="AA231" i="9"/>
  <c r="L86" i="9"/>
  <c r="L65" i="9"/>
  <c r="L191" i="9"/>
  <c r="S275" i="9"/>
  <c r="M86" i="9"/>
  <c r="M65" i="9"/>
  <c r="M191" i="9"/>
  <c r="AE281" i="9"/>
  <c r="AE282" i="9"/>
  <c r="AE283" i="9"/>
  <c r="AO283" i="9" s="1"/>
  <c r="AE284" i="9"/>
  <c r="AE285" i="9"/>
  <c r="AE286" i="9"/>
  <c r="AE287" i="9"/>
  <c r="AE288" i="9"/>
  <c r="AE289" i="9"/>
  <c r="AE290" i="9"/>
  <c r="AE291" i="9"/>
  <c r="AE292" i="9"/>
  <c r="AF281" i="9"/>
  <c r="AF282" i="9"/>
  <c r="AF283" i="9"/>
  <c r="AP283" i="9" s="1"/>
  <c r="AF284" i="9"/>
  <c r="AF285" i="9"/>
  <c r="AF286" i="9"/>
  <c r="AP286" i="9" s="1"/>
  <c r="AF287" i="9"/>
  <c r="AF288" i="9"/>
  <c r="AP288" i="9" s="1"/>
  <c r="AF289" i="9"/>
  <c r="AF290" i="9"/>
  <c r="AF291" i="9"/>
  <c r="AF292" i="9"/>
  <c r="AP292" i="9" s="1"/>
  <c r="L337" i="9"/>
  <c r="M421" i="9"/>
  <c r="P315" i="9"/>
  <c r="L442" i="9"/>
  <c r="M400" i="9"/>
  <c r="Y105" i="9"/>
  <c r="M212" i="9"/>
  <c r="M149" i="9"/>
  <c r="AA189" i="9"/>
  <c r="AI281" i="9"/>
  <c r="M23" i="9"/>
  <c r="M128" i="9"/>
  <c r="M296" i="9"/>
  <c r="M275" i="9"/>
  <c r="M233" i="9"/>
  <c r="M170" i="9"/>
  <c r="R275" i="9"/>
  <c r="AO8" i="9"/>
  <c r="AR8" i="9" s="1"/>
  <c r="M107" i="9"/>
  <c r="AP249" i="9"/>
  <c r="AS249" i="9" s="1"/>
  <c r="AP76" i="9"/>
  <c r="AS76" i="9" s="1"/>
  <c r="AP74" i="9"/>
  <c r="AS74" i="9" s="1"/>
  <c r="AP100" i="9"/>
  <c r="AS100" i="9" s="1"/>
  <c r="Y126" i="9"/>
  <c r="AL147" i="9"/>
  <c r="AP199" i="9"/>
  <c r="AS199" i="9" s="1"/>
  <c r="AP60" i="9"/>
  <c r="AS60" i="9" s="1"/>
  <c r="AO139" i="9"/>
  <c r="AR139" i="9" s="1"/>
  <c r="AP250" i="9"/>
  <c r="AS250" i="9" s="1"/>
  <c r="AP9" i="9"/>
  <c r="AS9" i="9" s="1"/>
  <c r="AH84" i="9"/>
  <c r="AO99" i="9"/>
  <c r="AR99" i="9" s="1"/>
  <c r="Y189" i="9"/>
  <c r="AP221" i="9"/>
  <c r="AS221" i="9" s="1"/>
  <c r="AO97" i="9"/>
  <c r="AR97" i="9" s="1"/>
  <c r="AO58" i="9"/>
  <c r="AR58" i="9" s="1"/>
  <c r="AO79" i="9"/>
  <c r="AR79" i="9" s="1"/>
  <c r="AP140" i="9"/>
  <c r="AS140" i="9" s="1"/>
  <c r="AO144" i="9"/>
  <c r="AR144" i="9" s="1"/>
  <c r="AP145" i="9"/>
  <c r="AS145" i="9" s="1"/>
  <c r="AO9" i="9"/>
  <c r="AR9" i="9" s="1"/>
  <c r="AP95" i="9"/>
  <c r="AS95" i="9" s="1"/>
  <c r="AP220" i="9"/>
  <c r="AS220" i="9" s="1"/>
  <c r="AP224" i="9"/>
  <c r="AS224" i="9" s="1"/>
  <c r="AF189" i="9"/>
  <c r="AP177" i="9"/>
  <c r="AS177" i="9" s="1"/>
  <c r="AP16" i="9"/>
  <c r="AS16" i="9" s="1"/>
  <c r="AP114" i="9"/>
  <c r="AS114" i="9" s="1"/>
  <c r="AP159" i="9"/>
  <c r="AS159" i="9" s="1"/>
  <c r="AO177" i="9"/>
  <c r="AR177" i="9" s="1"/>
  <c r="AE231" i="9"/>
  <c r="AO227" i="9"/>
  <c r="AR227" i="9" s="1"/>
  <c r="AP229" i="9"/>
  <c r="AS229" i="9" s="1"/>
  <c r="AP101" i="9"/>
  <c r="AS101" i="9" s="1"/>
  <c r="AP34" i="9"/>
  <c r="AS34" i="9" s="1"/>
  <c r="AP13" i="9"/>
  <c r="AS13" i="9" s="1"/>
  <c r="AO59" i="9"/>
  <c r="AR59" i="9" s="1"/>
  <c r="AA210" i="9"/>
  <c r="AE252" i="9"/>
  <c r="AP201" i="9"/>
  <c r="AS201" i="9" s="1"/>
  <c r="AP218" i="9"/>
  <c r="AS218" i="9" s="1"/>
  <c r="AO242" i="9"/>
  <c r="AR242" i="9" s="1"/>
  <c r="AH289" i="9"/>
  <c r="AP10" i="9"/>
  <c r="AS10" i="9" s="1"/>
  <c r="AP14" i="9"/>
  <c r="AS14" i="9" s="1"/>
  <c r="AP54" i="9"/>
  <c r="AS54" i="9" s="1"/>
  <c r="AP165" i="9"/>
  <c r="AS165" i="9" s="1"/>
  <c r="AP200" i="9"/>
  <c r="AS200" i="9" s="1"/>
  <c r="AO225" i="9"/>
  <c r="AR225" i="9" s="1"/>
  <c r="AO240" i="9"/>
  <c r="AR240" i="9" s="1"/>
  <c r="AF21" i="9"/>
  <c r="AN21" i="9"/>
  <c r="AL21" i="9"/>
  <c r="AO12" i="9"/>
  <c r="AR12" i="9" s="1"/>
  <c r="AO13" i="9"/>
  <c r="AR13" i="9" s="1"/>
  <c r="AO19" i="9"/>
  <c r="AR19" i="9" s="1"/>
  <c r="AO34" i="9"/>
  <c r="AR34" i="9" s="1"/>
  <c r="AO39" i="9"/>
  <c r="AR39" i="9" s="1"/>
  <c r="AO53" i="9"/>
  <c r="AR53" i="9" s="1"/>
  <c r="AF84" i="9"/>
  <c r="AO96" i="9"/>
  <c r="AR96" i="9" s="1"/>
  <c r="AP136" i="9"/>
  <c r="AS136" i="9" s="1"/>
  <c r="AP185" i="9"/>
  <c r="AS185" i="9" s="1"/>
  <c r="AP204" i="9"/>
  <c r="AS204" i="9" s="1"/>
  <c r="AO18" i="9"/>
  <c r="AR18" i="9" s="1"/>
  <c r="AG84" i="9"/>
  <c r="S147" i="9"/>
  <c r="AO135" i="9"/>
  <c r="AR135" i="9" s="1"/>
  <c r="AG147" i="9"/>
  <c r="AO224" i="9"/>
  <c r="AR224" i="9" s="1"/>
  <c r="AP247" i="9"/>
  <c r="AS247" i="9" s="1"/>
  <c r="AO164" i="9"/>
  <c r="AR164" i="9" s="1"/>
  <c r="AG21" i="9"/>
  <c r="AO11" i="9"/>
  <c r="AR11" i="9" s="1"/>
  <c r="AP11" i="9"/>
  <c r="AS11" i="9" s="1"/>
  <c r="AH42" i="9"/>
  <c r="AO73" i="9"/>
  <c r="AR73" i="9" s="1"/>
  <c r="AO140" i="9"/>
  <c r="AR140" i="9" s="1"/>
  <c r="AK168" i="9"/>
  <c r="AP166" i="9"/>
  <c r="AS166" i="9" s="1"/>
  <c r="AO176" i="9"/>
  <c r="AR176" i="9" s="1"/>
  <c r="AP179" i="9"/>
  <c r="AS179" i="9" s="1"/>
  <c r="AN284" i="9"/>
  <c r="AO10" i="9"/>
  <c r="AR10" i="9" s="1"/>
  <c r="AP8" i="9"/>
  <c r="AS8" i="9" s="1"/>
  <c r="AP17" i="9"/>
  <c r="AS17" i="9" s="1"/>
  <c r="AI42" i="9"/>
  <c r="AJ42" i="9"/>
  <c r="AO56" i="9"/>
  <c r="AR56" i="9" s="1"/>
  <c r="AK105" i="9"/>
  <c r="AA105" i="9"/>
  <c r="AL105" i="9"/>
  <c r="AP118" i="9"/>
  <c r="AS118" i="9" s="1"/>
  <c r="AO124" i="9"/>
  <c r="AR124" i="9" s="1"/>
  <c r="AF147" i="9"/>
  <c r="AN147" i="9"/>
  <c r="AO166" i="9"/>
  <c r="AR166" i="9" s="1"/>
  <c r="AL189" i="9"/>
  <c r="AJ210" i="9"/>
  <c r="AO202" i="9"/>
  <c r="AR202" i="9" s="1"/>
  <c r="S231" i="9"/>
  <c r="AG126" i="9"/>
  <c r="AP15" i="9"/>
  <c r="AS15" i="9" s="1"/>
  <c r="AP18" i="9"/>
  <c r="AS18" i="9" s="1"/>
  <c r="AK42" i="9"/>
  <c r="AP31" i="9"/>
  <c r="AS31" i="9" s="1"/>
  <c r="AP97" i="9"/>
  <c r="AS97" i="9" s="1"/>
  <c r="AO118" i="9"/>
  <c r="AR118" i="9" s="1"/>
  <c r="AP121" i="9"/>
  <c r="AS121" i="9" s="1"/>
  <c r="AE168" i="9"/>
  <c r="AM168" i="9"/>
  <c r="U312" i="9"/>
  <c r="AO40" i="9"/>
  <c r="AR40" i="9" s="1"/>
  <c r="AF63" i="9"/>
  <c r="AP53" i="9"/>
  <c r="AS53" i="9" s="1"/>
  <c r="AO54" i="9"/>
  <c r="AR54" i="9" s="1"/>
  <c r="AO77" i="9"/>
  <c r="AR77" i="9" s="1"/>
  <c r="AO81" i="9"/>
  <c r="AR81" i="9" s="1"/>
  <c r="AP93" i="9"/>
  <c r="AS93" i="9" s="1"/>
  <c r="AE105" i="9"/>
  <c r="AO94" i="9"/>
  <c r="AR94" i="9" s="1"/>
  <c r="AP96" i="9"/>
  <c r="AS96" i="9" s="1"/>
  <c r="AP122" i="9"/>
  <c r="AS122" i="9" s="1"/>
  <c r="AO145" i="9"/>
  <c r="AR145" i="9" s="1"/>
  <c r="AF168" i="9"/>
  <c r="AN168" i="9"/>
  <c r="AO156" i="9"/>
  <c r="AR156" i="9" s="1"/>
  <c r="AP162" i="9"/>
  <c r="AS162" i="9" s="1"/>
  <c r="AP163" i="9"/>
  <c r="AS163" i="9" s="1"/>
  <c r="AP178" i="9"/>
  <c r="AS178" i="9" s="1"/>
  <c r="AO182" i="9"/>
  <c r="AR182" i="9" s="1"/>
  <c r="S210" i="9"/>
  <c r="AP208" i="9"/>
  <c r="AS208" i="9" s="1"/>
  <c r="AJ231" i="9"/>
  <c r="AP222" i="9"/>
  <c r="AS222" i="9" s="1"/>
  <c r="AO229" i="9"/>
  <c r="AR229" i="9" s="1"/>
  <c r="AO244" i="9"/>
  <c r="AR244" i="9" s="1"/>
  <c r="AO246" i="9"/>
  <c r="AR246" i="9" s="1"/>
  <c r="AO248" i="9"/>
  <c r="AR248" i="9" s="1"/>
  <c r="L294" i="9"/>
  <c r="AO33" i="9"/>
  <c r="AR33" i="9" s="1"/>
  <c r="AK21" i="9"/>
  <c r="AH21" i="9"/>
  <c r="AP12" i="9"/>
  <c r="AS12" i="9" s="1"/>
  <c r="AO17" i="9"/>
  <c r="AR17" i="9" s="1"/>
  <c r="AP19" i="9"/>
  <c r="AS19" i="9" s="1"/>
  <c r="AO31" i="9"/>
  <c r="AR31" i="9" s="1"/>
  <c r="AP33" i="9"/>
  <c r="AS33" i="9" s="1"/>
  <c r="AO38" i="9"/>
  <c r="AR38" i="9" s="1"/>
  <c r="AP40" i="9"/>
  <c r="AS40" i="9" s="1"/>
  <c r="AI63" i="9"/>
  <c r="AO57" i="9"/>
  <c r="AR57" i="9" s="1"/>
  <c r="AO72" i="9"/>
  <c r="AR72" i="9" s="1"/>
  <c r="AP81" i="9"/>
  <c r="AS81" i="9" s="1"/>
  <c r="AP82" i="9"/>
  <c r="AS82" i="9" s="1"/>
  <c r="AP115" i="9"/>
  <c r="AS115" i="9" s="1"/>
  <c r="AP119" i="9"/>
  <c r="AS119" i="9" s="1"/>
  <c r="AO122" i="9"/>
  <c r="AR122" i="9" s="1"/>
  <c r="AP138" i="9"/>
  <c r="AS138" i="9" s="1"/>
  <c r="AG168" i="9"/>
  <c r="AO159" i="9"/>
  <c r="AR159" i="9" s="1"/>
  <c r="AO160" i="9"/>
  <c r="AR160" i="9" s="1"/>
  <c r="AO161" i="9"/>
  <c r="AR161" i="9" s="1"/>
  <c r="AO162" i="9"/>
  <c r="AR162" i="9" s="1"/>
  <c r="AP182" i="9"/>
  <c r="AS182" i="9" s="1"/>
  <c r="AP183" i="9"/>
  <c r="AS183" i="9" s="1"/>
  <c r="AE210" i="9"/>
  <c r="Y210" i="9"/>
  <c r="AH210" i="9"/>
  <c r="AO208" i="9"/>
  <c r="AR208" i="9" s="1"/>
  <c r="AG231" i="9"/>
  <c r="AO228" i="9"/>
  <c r="AR228" i="9" s="1"/>
  <c r="AP242" i="9"/>
  <c r="AS242" i="9" s="1"/>
  <c r="F294" i="9"/>
  <c r="AP35" i="9"/>
  <c r="AS35" i="9" s="1"/>
  <c r="AO51" i="9"/>
  <c r="AR51" i="9" s="1"/>
  <c r="AP52" i="9"/>
  <c r="AS52" i="9" s="1"/>
  <c r="S63" i="9"/>
  <c r="Y84" i="9"/>
  <c r="AI84" i="9"/>
  <c r="AP80" i="9"/>
  <c r="AS80" i="9" s="1"/>
  <c r="AO95" i="9"/>
  <c r="AR95" i="9" s="1"/>
  <c r="AO100" i="9"/>
  <c r="AR100" i="9" s="1"/>
  <c r="AO101" i="9"/>
  <c r="AR101" i="9" s="1"/>
  <c r="AP103" i="9"/>
  <c r="AS103" i="9" s="1"/>
  <c r="AA126" i="9"/>
  <c r="AO115" i="9"/>
  <c r="AR115" i="9" s="1"/>
  <c r="AI147" i="9"/>
  <c r="AP137" i="9"/>
  <c r="AS137" i="9" s="1"/>
  <c r="AO143" i="9"/>
  <c r="AR143" i="9" s="1"/>
  <c r="AP144" i="9"/>
  <c r="AS144" i="9" s="1"/>
  <c r="AP161" i="9"/>
  <c r="AS161" i="9" s="1"/>
  <c r="AO179" i="9"/>
  <c r="AR179" i="9" s="1"/>
  <c r="AO185" i="9"/>
  <c r="AR185" i="9" s="1"/>
  <c r="AF210" i="9"/>
  <c r="AP197" i="9"/>
  <c r="AS197" i="9" s="1"/>
  <c r="AO207" i="9"/>
  <c r="AR207" i="9" s="1"/>
  <c r="AP228" i="9"/>
  <c r="AS228" i="9" s="1"/>
  <c r="AJ252" i="9"/>
  <c r="AE21" i="9"/>
  <c r="AM21" i="9"/>
  <c r="AO14" i="9"/>
  <c r="AR14" i="9" s="1"/>
  <c r="AO15" i="9"/>
  <c r="AR15" i="9" s="1"/>
  <c r="AP32" i="9"/>
  <c r="AS32" i="9" s="1"/>
  <c r="AO35" i="9"/>
  <c r="AR35" i="9" s="1"/>
  <c r="AP51" i="9"/>
  <c r="AS51" i="9" s="1"/>
  <c r="AO80" i="9"/>
  <c r="AR80" i="9" s="1"/>
  <c r="AO98" i="9"/>
  <c r="AR98" i="9" s="1"/>
  <c r="AO102" i="9"/>
  <c r="AR102" i="9" s="1"/>
  <c r="AI126" i="9"/>
  <c r="AK126" i="9"/>
  <c r="AO120" i="9"/>
  <c r="AR120" i="9" s="1"/>
  <c r="AJ147" i="9"/>
  <c r="AO136" i="9"/>
  <c r="AR136" i="9" s="1"/>
  <c r="AO137" i="9"/>
  <c r="AR137" i="9" s="1"/>
  <c r="AP141" i="9"/>
  <c r="AS141" i="9" s="1"/>
  <c r="AP142" i="9"/>
  <c r="AS142" i="9" s="1"/>
  <c r="AP157" i="9"/>
  <c r="AS157" i="9" s="1"/>
  <c r="AP158" i="9"/>
  <c r="AS158" i="9" s="1"/>
  <c r="AI189" i="9"/>
  <c r="AP180" i="9"/>
  <c r="AS180" i="9" s="1"/>
  <c r="AO181" i="9"/>
  <c r="AR181" i="9" s="1"/>
  <c r="AP184" i="9"/>
  <c r="AS184" i="9" s="1"/>
  <c r="AP186" i="9"/>
  <c r="AS186" i="9" s="1"/>
  <c r="AO187" i="9"/>
  <c r="AR187" i="9" s="1"/>
  <c r="AO197" i="9"/>
  <c r="AR197" i="9" s="1"/>
  <c r="AO198" i="9"/>
  <c r="AR198" i="9" s="1"/>
  <c r="AO206" i="9"/>
  <c r="AR206" i="9" s="1"/>
  <c r="AO219" i="9"/>
  <c r="AR219" i="9" s="1"/>
  <c r="AO220" i="9"/>
  <c r="AR220" i="9" s="1"/>
  <c r="AO221" i="9"/>
  <c r="AR221" i="9" s="1"/>
  <c r="AO241" i="9"/>
  <c r="AR241" i="9" s="1"/>
  <c r="AP244" i="9"/>
  <c r="AS244" i="9" s="1"/>
  <c r="AO250" i="9"/>
  <c r="AR250" i="9" s="1"/>
  <c r="U313" i="9"/>
  <c r="AO16" i="9"/>
  <c r="AR16" i="9" s="1"/>
  <c r="AG42" i="9"/>
  <c r="AO32" i="9"/>
  <c r="AR32" i="9" s="1"/>
  <c r="AP36" i="9"/>
  <c r="AS36" i="9" s="1"/>
  <c r="AE63" i="9"/>
  <c r="AM63" i="9"/>
  <c r="AP58" i="9"/>
  <c r="AS58" i="9" s="1"/>
  <c r="AO60" i="9"/>
  <c r="AR60" i="9" s="1"/>
  <c r="AO82" i="9"/>
  <c r="AR82" i="9" s="1"/>
  <c r="S105" i="9"/>
  <c r="AP98" i="9"/>
  <c r="AS98" i="9" s="1"/>
  <c r="AP99" i="9"/>
  <c r="AS99" i="9" s="1"/>
  <c r="AP123" i="9"/>
  <c r="AS123" i="9" s="1"/>
  <c r="AO141" i="9"/>
  <c r="AR141" i="9" s="1"/>
  <c r="AO158" i="9"/>
  <c r="AR158" i="9" s="1"/>
  <c r="AO165" i="9"/>
  <c r="AR165" i="9" s="1"/>
  <c r="S189" i="9"/>
  <c r="AO180" i="9"/>
  <c r="AR180" i="9" s="1"/>
  <c r="AO184" i="9"/>
  <c r="AR184" i="9" s="1"/>
  <c r="AO200" i="9"/>
  <c r="AR200" i="9" s="1"/>
  <c r="AP205" i="9"/>
  <c r="AS205" i="9" s="1"/>
  <c r="AO243" i="9"/>
  <c r="AR243" i="9" s="1"/>
  <c r="AP245" i="9"/>
  <c r="AS245" i="9" s="1"/>
  <c r="K294" i="9"/>
  <c r="S294" i="9"/>
  <c r="T309" i="9"/>
  <c r="AL42" i="9"/>
  <c r="AO30" i="9"/>
  <c r="AR30" i="9" s="1"/>
  <c r="AP61" i="9"/>
  <c r="AS61" i="9" s="1"/>
  <c r="AG105" i="9"/>
  <c r="AO92" i="9"/>
  <c r="AJ21" i="9"/>
  <c r="AE42" i="9"/>
  <c r="AO29" i="9"/>
  <c r="AM42" i="9"/>
  <c r="AP39" i="9"/>
  <c r="AS39" i="9" s="1"/>
  <c r="R63" i="9"/>
  <c r="AO52" i="9"/>
  <c r="AR52" i="9" s="1"/>
  <c r="AA84" i="9"/>
  <c r="AL84" i="9"/>
  <c r="AP72" i="9"/>
  <c r="AS72" i="9" s="1"/>
  <c r="AP50" i="9"/>
  <c r="AP30" i="9"/>
  <c r="AS30" i="9" s="1"/>
  <c r="R21" i="9"/>
  <c r="R42" i="9"/>
  <c r="AF42" i="9"/>
  <c r="AN42" i="9"/>
  <c r="AO37" i="9"/>
  <c r="AR37" i="9" s="1"/>
  <c r="AK63" i="9"/>
  <c r="AE84" i="9"/>
  <c r="AM84" i="9"/>
  <c r="AK84" i="9"/>
  <c r="AI105" i="9"/>
  <c r="R105" i="9"/>
  <c r="S21" i="9"/>
  <c r="S42" i="9"/>
  <c r="AP29" i="9"/>
  <c r="AP37" i="9"/>
  <c r="AS37" i="9" s="1"/>
  <c r="AP59" i="9"/>
  <c r="AS59" i="9" s="1"/>
  <c r="AN84" i="9"/>
  <c r="AP71" i="9"/>
  <c r="AP73" i="9"/>
  <c r="AS73" i="9" s="1"/>
  <c r="R84" i="9"/>
  <c r="AI21" i="9"/>
  <c r="AO36" i="9"/>
  <c r="AR36" i="9" s="1"/>
  <c r="AP38" i="9"/>
  <c r="AS38" i="9" s="1"/>
  <c r="AG63" i="9"/>
  <c r="AO50" i="9"/>
  <c r="AL63" i="9"/>
  <c r="AO55" i="9"/>
  <c r="AR55" i="9" s="1"/>
  <c r="AP57" i="9"/>
  <c r="AS57" i="9" s="1"/>
  <c r="AN63" i="9"/>
  <c r="AO75" i="9"/>
  <c r="AR75" i="9" s="1"/>
  <c r="AP94" i="9"/>
  <c r="AS94" i="9" s="1"/>
  <c r="AJ105" i="9"/>
  <c r="AP55" i="9"/>
  <c r="AS55" i="9" s="1"/>
  <c r="AP56" i="9"/>
  <c r="AS56" i="9" s="1"/>
  <c r="AJ84" i="9"/>
  <c r="AP77" i="9"/>
  <c r="AS77" i="9" s="1"/>
  <c r="AP78" i="9"/>
  <c r="AS78" i="9" s="1"/>
  <c r="AP79" i="9"/>
  <c r="AS79" i="9" s="1"/>
  <c r="AO123" i="9"/>
  <c r="AR123" i="9" s="1"/>
  <c r="R147" i="9"/>
  <c r="AK147" i="9"/>
  <c r="R189" i="9"/>
  <c r="AO223" i="9"/>
  <c r="AR223" i="9" s="1"/>
  <c r="AH105" i="9"/>
  <c r="AJ126" i="9"/>
  <c r="AL126" i="9"/>
  <c r="AL168" i="9"/>
  <c r="AP160" i="9"/>
  <c r="AS160" i="9" s="1"/>
  <c r="AJ189" i="9"/>
  <c r="AK189" i="9"/>
  <c r="AO76" i="9"/>
  <c r="AR76" i="9" s="1"/>
  <c r="AP102" i="9"/>
  <c r="AS102" i="9" s="1"/>
  <c r="T126" i="9"/>
  <c r="AO114" i="9"/>
  <c r="AR114" i="9" s="1"/>
  <c r="AO121" i="9"/>
  <c r="AR121" i="9" s="1"/>
  <c r="AO142" i="9"/>
  <c r="AR142" i="9" s="1"/>
  <c r="AO183" i="9"/>
  <c r="AR183" i="9" s="1"/>
  <c r="R231" i="9"/>
  <c r="AO78" i="9"/>
  <c r="AR78" i="9" s="1"/>
  <c r="AM105" i="9"/>
  <c r="U126" i="9"/>
  <c r="AP124" i="9"/>
  <c r="AS124" i="9" s="1"/>
  <c r="AE147" i="9"/>
  <c r="AM147" i="9"/>
  <c r="AO134" i="9"/>
  <c r="AO138" i="9"/>
  <c r="AR138" i="9" s="1"/>
  <c r="AP143" i="9"/>
  <c r="AS143" i="9" s="1"/>
  <c r="AL231" i="9"/>
  <c r="AO93" i="9"/>
  <c r="AR93" i="9" s="1"/>
  <c r="AE126" i="9"/>
  <c r="AM126" i="9"/>
  <c r="AO117" i="9"/>
  <c r="AR117" i="9" s="1"/>
  <c r="AP135" i="9"/>
  <c r="AS135" i="9" s="1"/>
  <c r="AO155" i="9"/>
  <c r="AO163" i="9"/>
  <c r="AR163" i="9" s="1"/>
  <c r="AO204" i="9"/>
  <c r="AR204" i="9" s="1"/>
  <c r="AP207" i="9"/>
  <c r="AS207" i="9" s="1"/>
  <c r="AH63" i="9"/>
  <c r="AO61" i="9"/>
  <c r="AR61" i="9" s="1"/>
  <c r="AO71" i="9"/>
  <c r="AP75" i="9"/>
  <c r="AS75" i="9" s="1"/>
  <c r="AF126" i="9"/>
  <c r="AN126" i="9"/>
  <c r="AP113" i="9"/>
  <c r="AP117" i="9"/>
  <c r="AS117" i="9" s="1"/>
  <c r="AP120" i="9"/>
  <c r="AS120" i="9" s="1"/>
  <c r="R168" i="9"/>
  <c r="AH168" i="9"/>
  <c r="AP164" i="9"/>
  <c r="AS164" i="9" s="1"/>
  <c r="AP181" i="9"/>
  <c r="AS181" i="9" s="1"/>
  <c r="AO205" i="9"/>
  <c r="AR205" i="9" s="1"/>
  <c r="AO74" i="9"/>
  <c r="AR74" i="9" s="1"/>
  <c r="AO113" i="9"/>
  <c r="AO116" i="9"/>
  <c r="AR116" i="9" s="1"/>
  <c r="AH147" i="9"/>
  <c r="AI168" i="9"/>
  <c r="AP156" i="9"/>
  <c r="AS156" i="9" s="1"/>
  <c r="AO178" i="9"/>
  <c r="AR178" i="9" s="1"/>
  <c r="AL210" i="9"/>
  <c r="AM231" i="9"/>
  <c r="AO222" i="9"/>
  <c r="AR222" i="9" s="1"/>
  <c r="AL252" i="9"/>
  <c r="AJ63" i="9"/>
  <c r="AF105" i="9"/>
  <c r="AP92" i="9"/>
  <c r="AO103" i="9"/>
  <c r="AR103" i="9" s="1"/>
  <c r="AH126" i="9"/>
  <c r="AP116" i="9"/>
  <c r="AS116" i="9" s="1"/>
  <c r="AO119" i="9"/>
  <c r="AR119" i="9" s="1"/>
  <c r="AP139" i="9"/>
  <c r="AS139" i="9" s="1"/>
  <c r="AJ168" i="9"/>
  <c r="AO157" i="9"/>
  <c r="AR157" i="9" s="1"/>
  <c r="AH189" i="9"/>
  <c r="AP203" i="9"/>
  <c r="AS203" i="9" s="1"/>
  <c r="AN210" i="9"/>
  <c r="AH231" i="9"/>
  <c r="AO239" i="9"/>
  <c r="AM252" i="9"/>
  <c r="S84" i="9"/>
  <c r="AN105" i="9"/>
  <c r="AP155" i="9"/>
  <c r="AO186" i="9"/>
  <c r="AR186" i="9" s="1"/>
  <c r="AK210" i="9"/>
  <c r="AF252" i="9"/>
  <c r="AN252" i="9"/>
  <c r="AP239" i="9"/>
  <c r="E294" i="9"/>
  <c r="M294" i="9"/>
  <c r="AJ281" i="9"/>
  <c r="AE189" i="9"/>
  <c r="AM189" i="9"/>
  <c r="AN189" i="9"/>
  <c r="AP198" i="9"/>
  <c r="AS198" i="9" s="1"/>
  <c r="AO201" i="9"/>
  <c r="AR201" i="9" s="1"/>
  <c r="AP226" i="9"/>
  <c r="AS226" i="9" s="1"/>
  <c r="AP240" i="9"/>
  <c r="AS240" i="9" s="1"/>
  <c r="AP243" i="9"/>
  <c r="AS243" i="9" s="1"/>
  <c r="AO249" i="9"/>
  <c r="AR249" i="9" s="1"/>
  <c r="N294" i="9"/>
  <c r="U303" i="9"/>
  <c r="U304" i="9"/>
  <c r="AG284" i="9"/>
  <c r="AP134" i="9"/>
  <c r="S168" i="9"/>
  <c r="AG210" i="9"/>
  <c r="AP219" i="9"/>
  <c r="AS219" i="9" s="1"/>
  <c r="AP227" i="9"/>
  <c r="AS227" i="9" s="1"/>
  <c r="AH252" i="9"/>
  <c r="G294" i="9"/>
  <c r="AL281" i="9"/>
  <c r="O294" i="9"/>
  <c r="AG189" i="9"/>
  <c r="AP202" i="9"/>
  <c r="AS202" i="9" s="1"/>
  <c r="AK231" i="9"/>
  <c r="S252" i="9"/>
  <c r="AP241" i="9"/>
  <c r="AS241" i="9" s="1"/>
  <c r="H294" i="9"/>
  <c r="AM281" i="9"/>
  <c r="P294" i="9"/>
  <c r="D294" i="9"/>
  <c r="U306" i="9"/>
  <c r="AP176" i="9"/>
  <c r="AP206" i="9"/>
  <c r="AS206" i="9" s="1"/>
  <c r="AG285" i="9"/>
  <c r="U308" i="9"/>
  <c r="AO199" i="9"/>
  <c r="AR199" i="9" s="1"/>
  <c r="AO218" i="9"/>
  <c r="AP225" i="9"/>
  <c r="AS225" i="9" s="1"/>
  <c r="AK252" i="9"/>
  <c r="AO247" i="9"/>
  <c r="AR247" i="9" s="1"/>
  <c r="AP187" i="9"/>
  <c r="AS187" i="9" s="1"/>
  <c r="AI210" i="9"/>
  <c r="AO203" i="9"/>
  <c r="AR203" i="9" s="1"/>
  <c r="AM210" i="9"/>
  <c r="AF231" i="9"/>
  <c r="AN231" i="9"/>
  <c r="AP223" i="9"/>
  <c r="AS223" i="9" s="1"/>
  <c r="AK281" i="9"/>
  <c r="AL282" i="9"/>
  <c r="AI284" i="9"/>
  <c r="R210" i="9"/>
  <c r="AO226" i="9"/>
  <c r="AR226" i="9" s="1"/>
  <c r="R252" i="9"/>
  <c r="AP246" i="9"/>
  <c r="AS246" i="9" s="1"/>
  <c r="AP248" i="9"/>
  <c r="AS248" i="9" s="1"/>
  <c r="AG281" i="9"/>
  <c r="J294" i="9"/>
  <c r="R294" i="9"/>
  <c r="AM282" i="9"/>
  <c r="AM284" i="9"/>
  <c r="AH285" i="9"/>
  <c r="AG286" i="9"/>
  <c r="U310" i="9"/>
  <c r="AK286" i="9"/>
  <c r="AK289" i="9"/>
  <c r="AI231" i="9"/>
  <c r="AI252" i="9"/>
  <c r="AO245" i="9"/>
  <c r="AR245" i="9" s="1"/>
  <c r="AI286" i="9"/>
  <c r="T307" i="9"/>
  <c r="AJ290" i="9"/>
  <c r="U311" i="9"/>
  <c r="AH287" i="9"/>
  <c r="AI287" i="9"/>
  <c r="AL287" i="9"/>
  <c r="AI288" i="9"/>
  <c r="T313" i="9"/>
  <c r="U309" i="9"/>
  <c r="T312" i="9"/>
  <c r="AK291" i="9"/>
  <c r="AK288" i="9"/>
  <c r="AI289" i="9"/>
  <c r="AG252" i="9"/>
  <c r="I294" i="9"/>
  <c r="Q294" i="9"/>
  <c r="U307" i="9"/>
  <c r="AK287" i="9"/>
  <c r="AN291" i="9"/>
  <c r="AK292" i="9"/>
  <c r="L358" i="9"/>
  <c r="L421" i="9"/>
  <c r="M358" i="9"/>
  <c r="AH282" i="9"/>
  <c r="U305" i="9"/>
  <c r="Q315" i="9"/>
  <c r="L379" i="9"/>
  <c r="M337" i="9"/>
  <c r="M379" i="9"/>
  <c r="O387" i="9"/>
  <c r="P316" i="9"/>
  <c r="L400" i="9"/>
  <c r="N430" i="9"/>
  <c r="AK290" i="9"/>
  <c r="T311" i="9"/>
  <c r="Q316" i="9"/>
  <c r="M442" i="9"/>
  <c r="AO291" i="9" l="1"/>
  <c r="AR291" i="9" s="1"/>
  <c r="P317" i="9"/>
  <c r="AP290" i="9"/>
  <c r="AS290" i="9" s="1"/>
  <c r="T303" i="9"/>
  <c r="AP289" i="9"/>
  <c r="AS289" i="9" s="1"/>
  <c r="AP285" i="9"/>
  <c r="AS285" i="9" s="1"/>
  <c r="AO285" i="9"/>
  <c r="AR285" i="9" s="1"/>
  <c r="L170" i="9"/>
  <c r="L212" i="9"/>
  <c r="L296" i="9"/>
  <c r="L128" i="9"/>
  <c r="L233" i="9"/>
  <c r="L275" i="9"/>
  <c r="L107" i="9"/>
  <c r="AP287" i="9"/>
  <c r="AS287" i="9" s="1"/>
  <c r="AO282" i="9"/>
  <c r="AR282" i="9" s="1"/>
  <c r="AS286" i="9"/>
  <c r="AO289" i="9"/>
  <c r="AR289" i="9" s="1"/>
  <c r="AO288" i="9"/>
  <c r="AR288" i="9" s="1"/>
  <c r="AP284" i="9"/>
  <c r="AS284" i="9" s="1"/>
  <c r="AS292" i="9"/>
  <c r="AP291" i="9"/>
  <c r="AS291" i="9" s="1"/>
  <c r="AH294" i="9"/>
  <c r="AP21" i="9"/>
  <c r="AO21" i="9"/>
  <c r="AO292" i="9"/>
  <c r="AR292" i="9" s="1"/>
  <c r="AO290" i="9"/>
  <c r="AR290" i="9" s="1"/>
  <c r="AJ294" i="9"/>
  <c r="AN294" i="9"/>
  <c r="AI294" i="9"/>
  <c r="AP282" i="9"/>
  <c r="AS282" i="9" s="1"/>
  <c r="AS288" i="9"/>
  <c r="AE294" i="9"/>
  <c r="T305" i="9"/>
  <c r="AS283" i="9"/>
  <c r="AO189" i="9"/>
  <c r="T308" i="9"/>
  <c r="AO252" i="9"/>
  <c r="AR239" i="9"/>
  <c r="AS71" i="9"/>
  <c r="AP84" i="9"/>
  <c r="AP42" i="9"/>
  <c r="AS29" i="9"/>
  <c r="AS134" i="9"/>
  <c r="AP147" i="9"/>
  <c r="AO287" i="9"/>
  <c r="AR287" i="9" s="1"/>
  <c r="AL294" i="9"/>
  <c r="AP105" i="9"/>
  <c r="AS92" i="9"/>
  <c r="Q317" i="9"/>
  <c r="T304" i="9"/>
  <c r="AO284" i="9"/>
  <c r="AR284" i="9" s="1"/>
  <c r="AM294" i="9"/>
  <c r="AO281" i="9"/>
  <c r="AP168" i="9"/>
  <c r="AS155" i="9"/>
  <c r="AR71" i="9"/>
  <c r="AO84" i="9"/>
  <c r="AG294" i="9"/>
  <c r="T310" i="9"/>
  <c r="AO286" i="9"/>
  <c r="AR286" i="9" s="1"/>
  <c r="AP252" i="9"/>
  <c r="AS239" i="9"/>
  <c r="AP231" i="9"/>
  <c r="AP189" i="9"/>
  <c r="AS176" i="9"/>
  <c r="AR113" i="9"/>
  <c r="AO126" i="9"/>
  <c r="AP281" i="9"/>
  <c r="AO210" i="9"/>
  <c r="AO105" i="9"/>
  <c r="AR92" i="9"/>
  <c r="AP63" i="9"/>
  <c r="AS50" i="9"/>
  <c r="T306" i="9"/>
  <c r="AK294" i="9"/>
  <c r="AS113" i="9"/>
  <c r="AP126" i="9"/>
  <c r="AR155" i="9"/>
  <c r="AO168" i="9"/>
  <c r="AO42" i="9"/>
  <c r="AR29" i="9"/>
  <c r="AR283" i="9"/>
  <c r="AO231" i="9"/>
  <c r="AR218" i="9"/>
  <c r="AF294" i="9"/>
  <c r="U302" i="9"/>
  <c r="U315" i="9" s="1"/>
  <c r="U294" i="9"/>
  <c r="T302" i="9"/>
  <c r="T294" i="9"/>
  <c r="AR134" i="9"/>
  <c r="AO147" i="9"/>
  <c r="AP210" i="9"/>
  <c r="AR50" i="9"/>
  <c r="AO63" i="9"/>
  <c r="T315" i="9" l="1"/>
  <c r="AP294" i="9"/>
  <c r="AS281" i="9"/>
  <c r="AO294" i="9"/>
  <c r="AR281" i="9"/>
  <c r="N335" i="8" l="1"/>
  <c r="AL19" i="8" l="1"/>
  <c r="N304" i="8" l="1"/>
  <c r="N303" i="8"/>
  <c r="O419" i="8" l="1"/>
  <c r="N419" i="8"/>
  <c r="O418" i="8"/>
  <c r="N418" i="8"/>
  <c r="O417" i="8"/>
  <c r="N417" i="8"/>
  <c r="O416" i="8"/>
  <c r="N416" i="8"/>
  <c r="O415" i="8"/>
  <c r="N415" i="8"/>
  <c r="O414" i="8"/>
  <c r="N414" i="8"/>
  <c r="O413" i="8"/>
  <c r="N413" i="8"/>
  <c r="O412" i="8"/>
  <c r="N412" i="8"/>
  <c r="O411" i="8"/>
  <c r="N411" i="8"/>
  <c r="O410" i="8"/>
  <c r="N410" i="8"/>
  <c r="K421" i="8"/>
  <c r="J421" i="8"/>
  <c r="I421" i="8"/>
  <c r="H421" i="8"/>
  <c r="G421" i="8"/>
  <c r="F421" i="8"/>
  <c r="E421" i="8"/>
  <c r="D421" i="8"/>
  <c r="M419" i="8"/>
  <c r="L419" i="8"/>
  <c r="M418" i="8"/>
  <c r="L418" i="8"/>
  <c r="M417" i="8"/>
  <c r="L417" i="8"/>
  <c r="M416" i="8"/>
  <c r="L416" i="8"/>
  <c r="M415" i="8"/>
  <c r="L415" i="8"/>
  <c r="M414" i="8"/>
  <c r="L414" i="8"/>
  <c r="M413" i="8"/>
  <c r="L413" i="8"/>
  <c r="M412" i="8"/>
  <c r="L412" i="8"/>
  <c r="M411" i="8"/>
  <c r="L411" i="8"/>
  <c r="M410" i="8"/>
  <c r="L410" i="8"/>
  <c r="M409" i="8"/>
  <c r="O409" i="8" s="1"/>
  <c r="L409" i="8"/>
  <c r="N409" i="8" s="1"/>
  <c r="M408" i="8"/>
  <c r="L408" i="8"/>
  <c r="L421" i="8" s="1"/>
  <c r="K400" i="8"/>
  <c r="J400" i="8"/>
  <c r="I400" i="8"/>
  <c r="H400" i="8"/>
  <c r="G400" i="8"/>
  <c r="F400" i="8"/>
  <c r="E400" i="8"/>
  <c r="D400" i="8"/>
  <c r="M398" i="8"/>
  <c r="O398" i="8" s="1"/>
  <c r="L398" i="8"/>
  <c r="N398" i="8" s="1"/>
  <c r="M397" i="8"/>
  <c r="O397" i="8" s="1"/>
  <c r="L397" i="8"/>
  <c r="N397" i="8" s="1"/>
  <c r="M396" i="8"/>
  <c r="O396" i="8" s="1"/>
  <c r="L396" i="8"/>
  <c r="N396" i="8" s="1"/>
  <c r="M395" i="8"/>
  <c r="O395" i="8" s="1"/>
  <c r="L395" i="8"/>
  <c r="N395" i="8" s="1"/>
  <c r="M394" i="8"/>
  <c r="O394" i="8" s="1"/>
  <c r="L394" i="8"/>
  <c r="N394" i="8" s="1"/>
  <c r="M393" i="8"/>
  <c r="O393" i="8" s="1"/>
  <c r="L393" i="8"/>
  <c r="N393" i="8" s="1"/>
  <c r="M392" i="8"/>
  <c r="O392" i="8" s="1"/>
  <c r="L392" i="8"/>
  <c r="N392" i="8" s="1"/>
  <c r="M391" i="8"/>
  <c r="O391" i="8" s="1"/>
  <c r="L391" i="8"/>
  <c r="N391" i="8" s="1"/>
  <c r="M390" i="8"/>
  <c r="O390" i="8" s="1"/>
  <c r="L390" i="8"/>
  <c r="N390" i="8" s="1"/>
  <c r="M389" i="8"/>
  <c r="O389" i="8" s="1"/>
  <c r="L389" i="8"/>
  <c r="N389" i="8" s="1"/>
  <c r="M388" i="8"/>
  <c r="O388" i="8" s="1"/>
  <c r="L388" i="8"/>
  <c r="N388" i="8" s="1"/>
  <c r="M387" i="8"/>
  <c r="L387" i="8"/>
  <c r="N387" i="8" s="1"/>
  <c r="K379" i="8"/>
  <c r="J379" i="8"/>
  <c r="I379" i="8"/>
  <c r="H379" i="8"/>
  <c r="G379" i="8"/>
  <c r="F379" i="8"/>
  <c r="E379" i="8"/>
  <c r="D379" i="8"/>
  <c r="M377" i="8"/>
  <c r="O377" i="8" s="1"/>
  <c r="L377" i="8"/>
  <c r="N377" i="8" s="1"/>
  <c r="M376" i="8"/>
  <c r="O376" i="8" s="1"/>
  <c r="L376" i="8"/>
  <c r="N376" i="8" s="1"/>
  <c r="M375" i="8"/>
  <c r="O375" i="8" s="1"/>
  <c r="L375" i="8"/>
  <c r="N375" i="8" s="1"/>
  <c r="M374" i="8"/>
  <c r="O374" i="8" s="1"/>
  <c r="L374" i="8"/>
  <c r="N374" i="8" s="1"/>
  <c r="M373" i="8"/>
  <c r="O373" i="8" s="1"/>
  <c r="L373" i="8"/>
  <c r="N373" i="8" s="1"/>
  <c r="M372" i="8"/>
  <c r="O372" i="8" s="1"/>
  <c r="L372" i="8"/>
  <c r="N372" i="8" s="1"/>
  <c r="M371" i="8"/>
  <c r="O371" i="8" s="1"/>
  <c r="L371" i="8"/>
  <c r="N371" i="8" s="1"/>
  <c r="M370" i="8"/>
  <c r="O370" i="8" s="1"/>
  <c r="L370" i="8"/>
  <c r="N370" i="8" s="1"/>
  <c r="M369" i="8"/>
  <c r="O369" i="8" s="1"/>
  <c r="L369" i="8"/>
  <c r="N369" i="8" s="1"/>
  <c r="M368" i="8"/>
  <c r="O368" i="8" s="1"/>
  <c r="L368" i="8"/>
  <c r="N368" i="8" s="1"/>
  <c r="M367" i="8"/>
  <c r="O367" i="8" s="1"/>
  <c r="L367" i="8"/>
  <c r="N367" i="8" s="1"/>
  <c r="M366" i="8"/>
  <c r="O366" i="8" s="1"/>
  <c r="L366" i="8"/>
  <c r="K358" i="8"/>
  <c r="J358" i="8"/>
  <c r="I358" i="8"/>
  <c r="H358" i="8"/>
  <c r="G358" i="8"/>
  <c r="F358" i="8"/>
  <c r="E358" i="8"/>
  <c r="D358" i="8"/>
  <c r="M356" i="8"/>
  <c r="O356" i="8" s="1"/>
  <c r="L356" i="8"/>
  <c r="N356" i="8" s="1"/>
  <c r="M355" i="8"/>
  <c r="O355" i="8" s="1"/>
  <c r="L355" i="8"/>
  <c r="N355" i="8" s="1"/>
  <c r="M354" i="8"/>
  <c r="O354" i="8" s="1"/>
  <c r="L354" i="8"/>
  <c r="N354" i="8" s="1"/>
  <c r="M353" i="8"/>
  <c r="O353" i="8" s="1"/>
  <c r="L353" i="8"/>
  <c r="N353" i="8" s="1"/>
  <c r="M352" i="8"/>
  <c r="O352" i="8" s="1"/>
  <c r="L352" i="8"/>
  <c r="N352" i="8" s="1"/>
  <c r="M351" i="8"/>
  <c r="O351" i="8" s="1"/>
  <c r="L351" i="8"/>
  <c r="N351" i="8" s="1"/>
  <c r="M350" i="8"/>
  <c r="O350" i="8" s="1"/>
  <c r="L350" i="8"/>
  <c r="N350" i="8" s="1"/>
  <c r="M349" i="8"/>
  <c r="O349" i="8" s="1"/>
  <c r="L349" i="8"/>
  <c r="N349" i="8" s="1"/>
  <c r="M348" i="8"/>
  <c r="O348" i="8" s="1"/>
  <c r="L348" i="8"/>
  <c r="N348" i="8" s="1"/>
  <c r="M347" i="8"/>
  <c r="O347" i="8" s="1"/>
  <c r="L347" i="8"/>
  <c r="N347" i="8" s="1"/>
  <c r="M346" i="8"/>
  <c r="O346" i="8" s="1"/>
  <c r="L346" i="8"/>
  <c r="N346" i="8" s="1"/>
  <c r="M345" i="8"/>
  <c r="O345" i="8" s="1"/>
  <c r="L345" i="8"/>
  <c r="N345" i="8" s="1"/>
  <c r="L379" i="8" l="1"/>
  <c r="N366" i="8"/>
  <c r="N408" i="8"/>
  <c r="M421" i="8"/>
  <c r="O408" i="8"/>
  <c r="M400" i="8"/>
  <c r="O387" i="8"/>
  <c r="L400" i="8"/>
  <c r="M379" i="8"/>
  <c r="L358" i="8"/>
  <c r="M358" i="8"/>
  <c r="K337" i="8" l="1"/>
  <c r="J337" i="8"/>
  <c r="I337" i="8"/>
  <c r="H337" i="8"/>
  <c r="G337" i="8"/>
  <c r="F337" i="8"/>
  <c r="E337" i="8"/>
  <c r="D337" i="8"/>
  <c r="M335" i="8"/>
  <c r="O335" i="8" s="1"/>
  <c r="L335" i="8"/>
  <c r="M334" i="8"/>
  <c r="O334" i="8" s="1"/>
  <c r="L334" i="8"/>
  <c r="N334" i="8" s="1"/>
  <c r="M333" i="8"/>
  <c r="O333" i="8" s="1"/>
  <c r="L333" i="8"/>
  <c r="N333" i="8" s="1"/>
  <c r="M332" i="8"/>
  <c r="O332" i="8" s="1"/>
  <c r="L332" i="8"/>
  <c r="N332" i="8" s="1"/>
  <c r="M331" i="8"/>
  <c r="O331" i="8" s="1"/>
  <c r="L331" i="8"/>
  <c r="N331" i="8" s="1"/>
  <c r="M330" i="8"/>
  <c r="O330" i="8" s="1"/>
  <c r="L330" i="8"/>
  <c r="N330" i="8" s="1"/>
  <c r="M329" i="8"/>
  <c r="O329" i="8" s="1"/>
  <c r="L329" i="8"/>
  <c r="N329" i="8" s="1"/>
  <c r="M328" i="8"/>
  <c r="O328" i="8" s="1"/>
  <c r="L328" i="8"/>
  <c r="N328" i="8" s="1"/>
  <c r="M327" i="8"/>
  <c r="O327" i="8" s="1"/>
  <c r="L327" i="8"/>
  <c r="N327" i="8" s="1"/>
  <c r="M326" i="8"/>
  <c r="O326" i="8" s="1"/>
  <c r="L326" i="8"/>
  <c r="N326" i="8" s="1"/>
  <c r="M325" i="8"/>
  <c r="O325" i="8" s="1"/>
  <c r="L325" i="8"/>
  <c r="N325" i="8" s="1"/>
  <c r="M324" i="8"/>
  <c r="O324" i="8" s="1"/>
  <c r="L324" i="8"/>
  <c r="N324" i="8" s="1"/>
  <c r="O303" i="8"/>
  <c r="M314" i="8"/>
  <c r="O314" i="8" s="1"/>
  <c r="L314" i="8"/>
  <c r="N314" i="8" s="1"/>
  <c r="M313" i="8"/>
  <c r="O313" i="8" s="1"/>
  <c r="L313" i="8"/>
  <c r="N313" i="8" s="1"/>
  <c r="M312" i="8"/>
  <c r="O312" i="8" s="1"/>
  <c r="L312" i="8"/>
  <c r="N312" i="8" s="1"/>
  <c r="M311" i="8"/>
  <c r="O311" i="8" s="1"/>
  <c r="L311" i="8"/>
  <c r="N311" i="8" s="1"/>
  <c r="M310" i="8"/>
  <c r="O310" i="8" s="1"/>
  <c r="L310" i="8"/>
  <c r="N310" i="8" s="1"/>
  <c r="M309" i="8"/>
  <c r="O309" i="8" s="1"/>
  <c r="L309" i="8"/>
  <c r="N309" i="8" s="1"/>
  <c r="M308" i="8"/>
  <c r="O308" i="8" s="1"/>
  <c r="L308" i="8"/>
  <c r="N308" i="8" s="1"/>
  <c r="M307" i="8"/>
  <c r="O307" i="8" s="1"/>
  <c r="L307" i="8"/>
  <c r="N307" i="8" s="1"/>
  <c r="M306" i="8"/>
  <c r="O306" i="8" s="1"/>
  <c r="L306" i="8"/>
  <c r="N306" i="8" s="1"/>
  <c r="M305" i="8"/>
  <c r="O305" i="8" s="1"/>
  <c r="L305" i="8"/>
  <c r="N305" i="8" s="1"/>
  <c r="M304" i="8"/>
  <c r="O304" i="8" s="1"/>
  <c r="L304" i="8"/>
  <c r="M303" i="8"/>
  <c r="L303" i="8"/>
  <c r="K316" i="8"/>
  <c r="J316" i="8"/>
  <c r="I316" i="8"/>
  <c r="H316" i="8"/>
  <c r="G316" i="8"/>
  <c r="F316" i="8"/>
  <c r="E316" i="8"/>
  <c r="D316" i="8"/>
  <c r="L337" i="8" l="1"/>
  <c r="M337" i="8"/>
  <c r="L316" i="8"/>
  <c r="M316" i="8"/>
  <c r="S250" i="8" l="1"/>
  <c r="R250" i="8"/>
  <c r="S249" i="8"/>
  <c r="R249" i="8"/>
  <c r="S248" i="8"/>
  <c r="R248" i="8"/>
  <c r="S247" i="8"/>
  <c r="R247" i="8"/>
  <c r="S246" i="8"/>
  <c r="R246" i="8"/>
  <c r="S245" i="8"/>
  <c r="R245" i="8"/>
  <c r="S244" i="8"/>
  <c r="R244" i="8"/>
  <c r="S243" i="8"/>
  <c r="R243" i="8"/>
  <c r="S242" i="8"/>
  <c r="R242" i="8"/>
  <c r="S241" i="8"/>
  <c r="R241" i="8"/>
  <c r="S240" i="8"/>
  <c r="R240" i="8"/>
  <c r="S239" i="8"/>
  <c r="R239" i="8"/>
  <c r="G252" i="8" l="1"/>
  <c r="F252" i="8"/>
  <c r="S229" i="8"/>
  <c r="R229" i="8"/>
  <c r="S228" i="8"/>
  <c r="R228" i="8"/>
  <c r="S227" i="8"/>
  <c r="R227" i="8"/>
  <c r="S226" i="8"/>
  <c r="R226" i="8"/>
  <c r="S225" i="8"/>
  <c r="R225" i="8"/>
  <c r="S224" i="8"/>
  <c r="R224" i="8"/>
  <c r="S223" i="8"/>
  <c r="R223" i="8"/>
  <c r="S222" i="8"/>
  <c r="R222" i="8"/>
  <c r="S221" i="8"/>
  <c r="R221" i="8"/>
  <c r="S220" i="8"/>
  <c r="R220" i="8"/>
  <c r="S219" i="8"/>
  <c r="R219" i="8"/>
  <c r="S218" i="8"/>
  <c r="R218" i="8"/>
  <c r="G231" i="8" l="1"/>
  <c r="F231" i="8"/>
  <c r="S208" i="8"/>
  <c r="R208" i="8"/>
  <c r="S207" i="8"/>
  <c r="R207" i="8"/>
  <c r="S206" i="8"/>
  <c r="R206" i="8"/>
  <c r="S205" i="8"/>
  <c r="R205" i="8"/>
  <c r="S204" i="8"/>
  <c r="R204" i="8"/>
  <c r="S203" i="8"/>
  <c r="R203" i="8"/>
  <c r="S202" i="8"/>
  <c r="R202" i="8"/>
  <c r="S201" i="8"/>
  <c r="R201" i="8"/>
  <c r="S200" i="8"/>
  <c r="R200" i="8"/>
  <c r="S199" i="8"/>
  <c r="R199" i="8"/>
  <c r="S198" i="8"/>
  <c r="R198" i="8"/>
  <c r="S197" i="8"/>
  <c r="R197" i="8"/>
  <c r="G210" i="8" l="1"/>
  <c r="F210" i="8"/>
  <c r="S187" i="8" l="1"/>
  <c r="R187" i="8"/>
  <c r="S186" i="8"/>
  <c r="R186" i="8"/>
  <c r="S185" i="8"/>
  <c r="R185" i="8"/>
  <c r="S184" i="8"/>
  <c r="R184" i="8"/>
  <c r="S183" i="8"/>
  <c r="R183" i="8"/>
  <c r="S182" i="8"/>
  <c r="R182" i="8"/>
  <c r="S181" i="8"/>
  <c r="R181" i="8"/>
  <c r="S180" i="8"/>
  <c r="R180" i="8"/>
  <c r="S179" i="8"/>
  <c r="R179" i="8"/>
  <c r="S178" i="8"/>
  <c r="R178" i="8"/>
  <c r="S177" i="8"/>
  <c r="R177" i="8"/>
  <c r="S176" i="8"/>
  <c r="R176" i="8"/>
  <c r="G189" i="8"/>
  <c r="F189" i="8"/>
  <c r="G168" i="8"/>
  <c r="F168" i="8"/>
  <c r="S166" i="8" l="1"/>
  <c r="R166" i="8"/>
  <c r="S165" i="8"/>
  <c r="R165" i="8"/>
  <c r="S164" i="8"/>
  <c r="R164" i="8"/>
  <c r="S163" i="8"/>
  <c r="R163" i="8"/>
  <c r="S162" i="8"/>
  <c r="R162" i="8"/>
  <c r="S161" i="8"/>
  <c r="R161" i="8"/>
  <c r="S160" i="8"/>
  <c r="R160" i="8"/>
  <c r="S159" i="8"/>
  <c r="R159" i="8"/>
  <c r="S158" i="8"/>
  <c r="R158" i="8"/>
  <c r="S157" i="8"/>
  <c r="R157" i="8"/>
  <c r="S156" i="8"/>
  <c r="R156" i="8"/>
  <c r="S155" i="8"/>
  <c r="R155" i="8"/>
  <c r="S145" i="8" l="1"/>
  <c r="R145" i="8"/>
  <c r="S144" i="8"/>
  <c r="R144" i="8"/>
  <c r="S143" i="8"/>
  <c r="R143" i="8"/>
  <c r="S142" i="8"/>
  <c r="R142" i="8"/>
  <c r="S141" i="8"/>
  <c r="R141" i="8"/>
  <c r="S140" i="8"/>
  <c r="R140" i="8"/>
  <c r="S139" i="8"/>
  <c r="R139" i="8"/>
  <c r="S138" i="8"/>
  <c r="R138" i="8"/>
  <c r="S137" i="8"/>
  <c r="R137" i="8"/>
  <c r="S136" i="8"/>
  <c r="R136" i="8"/>
  <c r="S135" i="8"/>
  <c r="R135" i="8"/>
  <c r="S134" i="8"/>
  <c r="R134" i="8"/>
  <c r="G147" i="8"/>
  <c r="F147" i="8"/>
  <c r="U124" i="8" l="1"/>
  <c r="T124" i="8"/>
  <c r="U123" i="8"/>
  <c r="T123" i="8"/>
  <c r="U122" i="8"/>
  <c r="T122" i="8"/>
  <c r="U121" i="8"/>
  <c r="T121" i="8"/>
  <c r="U120" i="8"/>
  <c r="T120" i="8"/>
  <c r="U119" i="8"/>
  <c r="T119" i="8"/>
  <c r="U118" i="8"/>
  <c r="T118" i="8"/>
  <c r="U117" i="8"/>
  <c r="T117" i="8"/>
  <c r="U116" i="8"/>
  <c r="T116" i="8"/>
  <c r="U115" i="8"/>
  <c r="T115" i="8"/>
  <c r="U114" i="8"/>
  <c r="T114" i="8"/>
  <c r="U113" i="8"/>
  <c r="T113" i="8"/>
  <c r="G126" i="8"/>
  <c r="F126" i="8"/>
  <c r="S103" i="8"/>
  <c r="R103" i="8"/>
  <c r="S102" i="8"/>
  <c r="R102" i="8"/>
  <c r="S101" i="8"/>
  <c r="R101" i="8"/>
  <c r="S100" i="8"/>
  <c r="R100" i="8"/>
  <c r="S99" i="8"/>
  <c r="R99" i="8"/>
  <c r="S98" i="8"/>
  <c r="R98" i="8"/>
  <c r="S97" i="8"/>
  <c r="R97" i="8"/>
  <c r="S96" i="8"/>
  <c r="R96" i="8"/>
  <c r="S95" i="8"/>
  <c r="R95" i="8"/>
  <c r="S94" i="8"/>
  <c r="R94" i="8"/>
  <c r="S93" i="8"/>
  <c r="R93" i="8"/>
  <c r="S92" i="8"/>
  <c r="R92" i="8"/>
  <c r="G105" i="8" l="1"/>
  <c r="F105" i="8"/>
  <c r="S82" i="8"/>
  <c r="R82" i="8"/>
  <c r="S81" i="8"/>
  <c r="R81" i="8"/>
  <c r="S80" i="8"/>
  <c r="R80" i="8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G84" i="8" l="1"/>
  <c r="F84" i="8"/>
  <c r="S61" i="8" l="1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G63" i="8"/>
  <c r="F63" i="8"/>
  <c r="R63" i="8" l="1"/>
  <c r="S63" i="8"/>
  <c r="G271" i="8" l="1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G261" i="8"/>
  <c r="F261" i="8"/>
  <c r="G260" i="8"/>
  <c r="F260" i="8"/>
  <c r="G42" i="8"/>
  <c r="F42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F273" i="8" l="1"/>
  <c r="G273" i="8"/>
  <c r="G21" i="8"/>
  <c r="F21" i="8"/>
  <c r="S19" i="8" l="1"/>
  <c r="R19" i="8"/>
  <c r="S18" i="8"/>
  <c r="R18" i="8"/>
  <c r="S17" i="8"/>
  <c r="R17" i="8"/>
  <c r="S16" i="8"/>
  <c r="R16" i="8"/>
  <c r="S15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S22" i="8" s="1"/>
  <c r="R8" i="8"/>
  <c r="R22" i="8" s="1"/>
  <c r="S270" i="8" l="1"/>
  <c r="R270" i="8"/>
  <c r="Q270" i="8"/>
  <c r="P270" i="8"/>
  <c r="O270" i="8"/>
  <c r="N270" i="8"/>
  <c r="M270" i="8"/>
  <c r="L270" i="8"/>
  <c r="K270" i="8"/>
  <c r="J270" i="8"/>
  <c r="I270" i="8"/>
  <c r="H270" i="8"/>
  <c r="E270" i="8"/>
  <c r="D270" i="8"/>
  <c r="T270" i="8" l="1"/>
  <c r="U270" i="8"/>
  <c r="M253" i="8" l="1"/>
  <c r="L253" i="8"/>
  <c r="M232" i="8"/>
  <c r="L232" i="8"/>
  <c r="M211" i="8"/>
  <c r="L211" i="8"/>
  <c r="M190" i="8"/>
  <c r="L190" i="8"/>
  <c r="M169" i="8"/>
  <c r="L169" i="8"/>
  <c r="M148" i="8"/>
  <c r="L148" i="8"/>
  <c r="L127" i="8"/>
  <c r="M106" i="8"/>
  <c r="L106" i="8"/>
  <c r="M85" i="8"/>
  <c r="L85" i="8"/>
  <c r="M64" i="8"/>
  <c r="L64" i="8"/>
  <c r="M43" i="8"/>
  <c r="L43" i="8"/>
  <c r="M127" i="8" l="1"/>
  <c r="M63" i="8"/>
  <c r="AW124" i="8" l="1"/>
  <c r="AW123" i="8"/>
  <c r="AW122" i="8"/>
  <c r="AW121" i="8"/>
  <c r="AW120" i="8"/>
  <c r="AW119" i="8"/>
  <c r="AW118" i="8"/>
  <c r="AW117" i="8"/>
  <c r="AW116" i="8"/>
  <c r="AW115" i="8"/>
  <c r="AW114" i="8"/>
  <c r="AW113" i="8"/>
  <c r="AT124" i="8"/>
  <c r="AS124" i="8"/>
  <c r="AR124" i="8"/>
  <c r="AQ124" i="8"/>
  <c r="AP124" i="8"/>
  <c r="AO124" i="8"/>
  <c r="AN124" i="8"/>
  <c r="AM124" i="8"/>
  <c r="AT123" i="8"/>
  <c r="AS123" i="8"/>
  <c r="AR123" i="8"/>
  <c r="AQ123" i="8"/>
  <c r="AP123" i="8"/>
  <c r="AO123" i="8"/>
  <c r="AN123" i="8"/>
  <c r="AM123" i="8"/>
  <c r="AT122" i="8"/>
  <c r="AS122" i="8"/>
  <c r="AR122" i="8"/>
  <c r="AQ122" i="8"/>
  <c r="AP122" i="8"/>
  <c r="AO122" i="8"/>
  <c r="AN122" i="8"/>
  <c r="AM122" i="8"/>
  <c r="AT121" i="8"/>
  <c r="AS121" i="8"/>
  <c r="AR121" i="8"/>
  <c r="AQ121" i="8"/>
  <c r="AP121" i="8"/>
  <c r="AO121" i="8"/>
  <c r="AN121" i="8"/>
  <c r="AM121" i="8"/>
  <c r="AT120" i="8"/>
  <c r="AS120" i="8"/>
  <c r="AR120" i="8"/>
  <c r="AQ120" i="8"/>
  <c r="AP120" i="8"/>
  <c r="AO120" i="8"/>
  <c r="AN120" i="8"/>
  <c r="AM120" i="8"/>
  <c r="AT119" i="8"/>
  <c r="AS119" i="8"/>
  <c r="AR119" i="8"/>
  <c r="AQ119" i="8"/>
  <c r="AP119" i="8"/>
  <c r="AO119" i="8"/>
  <c r="AN119" i="8"/>
  <c r="AM119" i="8"/>
  <c r="AT118" i="8"/>
  <c r="AS118" i="8"/>
  <c r="AR118" i="8"/>
  <c r="AQ118" i="8"/>
  <c r="AP118" i="8"/>
  <c r="AO118" i="8"/>
  <c r="AN118" i="8"/>
  <c r="AM118" i="8"/>
  <c r="AT117" i="8"/>
  <c r="AS117" i="8"/>
  <c r="AR117" i="8"/>
  <c r="AQ117" i="8"/>
  <c r="AP117" i="8"/>
  <c r="AO117" i="8"/>
  <c r="AN117" i="8"/>
  <c r="AM117" i="8"/>
  <c r="AT116" i="8"/>
  <c r="AS116" i="8"/>
  <c r="AR116" i="8"/>
  <c r="AQ116" i="8"/>
  <c r="AP116" i="8"/>
  <c r="AO116" i="8"/>
  <c r="AN116" i="8"/>
  <c r="AM116" i="8"/>
  <c r="AT115" i="8"/>
  <c r="AS115" i="8"/>
  <c r="AR115" i="8"/>
  <c r="AQ115" i="8"/>
  <c r="AP115" i="8"/>
  <c r="AO115" i="8"/>
  <c r="AN115" i="8"/>
  <c r="AM115" i="8"/>
  <c r="AT114" i="8"/>
  <c r="AS114" i="8"/>
  <c r="AR114" i="8"/>
  <c r="AQ114" i="8"/>
  <c r="AP114" i="8"/>
  <c r="AO114" i="8"/>
  <c r="AN114" i="8"/>
  <c r="AM114" i="8"/>
  <c r="AT113" i="8"/>
  <c r="AS113" i="8"/>
  <c r="AR113" i="8"/>
  <c r="AQ113" i="8"/>
  <c r="AP113" i="8"/>
  <c r="AO113" i="8"/>
  <c r="AO126" i="8" s="1"/>
  <c r="AN113" i="8"/>
  <c r="AM113" i="8"/>
  <c r="AL124" i="8"/>
  <c r="AK124" i="8"/>
  <c r="AL123" i="8"/>
  <c r="AK123" i="8"/>
  <c r="AL122" i="8"/>
  <c r="AK122" i="8"/>
  <c r="AL121" i="8"/>
  <c r="AK121" i="8"/>
  <c r="AL120" i="8"/>
  <c r="AK120" i="8"/>
  <c r="AL119" i="8"/>
  <c r="AK119" i="8"/>
  <c r="AL118" i="8"/>
  <c r="AK118" i="8"/>
  <c r="AL117" i="8"/>
  <c r="AK117" i="8"/>
  <c r="AL116" i="8"/>
  <c r="AK116" i="8"/>
  <c r="AL115" i="8"/>
  <c r="AK115" i="8"/>
  <c r="AL114" i="8"/>
  <c r="AK114" i="8"/>
  <c r="AL113" i="8"/>
  <c r="AK113" i="8"/>
  <c r="AW250" i="8"/>
  <c r="AT250" i="8"/>
  <c r="AS250" i="8"/>
  <c r="AR250" i="8"/>
  <c r="AQ250" i="8"/>
  <c r="AP250" i="8"/>
  <c r="AO250" i="8"/>
  <c r="AN250" i="8"/>
  <c r="AM250" i="8"/>
  <c r="AL250" i="8"/>
  <c r="AK250" i="8"/>
  <c r="AW249" i="8"/>
  <c r="AT249" i="8"/>
  <c r="AS249" i="8"/>
  <c r="AR249" i="8"/>
  <c r="AQ249" i="8"/>
  <c r="AP249" i="8"/>
  <c r="AO249" i="8"/>
  <c r="AN249" i="8"/>
  <c r="AM249" i="8"/>
  <c r="AL249" i="8"/>
  <c r="AK249" i="8"/>
  <c r="AW248" i="8"/>
  <c r="AT248" i="8"/>
  <c r="AS248" i="8"/>
  <c r="AR248" i="8"/>
  <c r="AQ248" i="8"/>
  <c r="AP248" i="8"/>
  <c r="AO248" i="8"/>
  <c r="AN248" i="8"/>
  <c r="AM248" i="8"/>
  <c r="AL248" i="8"/>
  <c r="AK248" i="8"/>
  <c r="AW247" i="8"/>
  <c r="AT247" i="8"/>
  <c r="AS247" i="8"/>
  <c r="AR247" i="8"/>
  <c r="AQ247" i="8"/>
  <c r="AP247" i="8"/>
  <c r="AO247" i="8"/>
  <c r="AN247" i="8"/>
  <c r="AM247" i="8"/>
  <c r="AL247" i="8"/>
  <c r="AK247" i="8"/>
  <c r="AW246" i="8"/>
  <c r="AT246" i="8"/>
  <c r="AS246" i="8"/>
  <c r="AR246" i="8"/>
  <c r="AQ246" i="8"/>
  <c r="AP246" i="8"/>
  <c r="AO246" i="8"/>
  <c r="AN246" i="8"/>
  <c r="AM246" i="8"/>
  <c r="AL246" i="8"/>
  <c r="AK246" i="8"/>
  <c r="AW245" i="8"/>
  <c r="AT245" i="8"/>
  <c r="AS245" i="8"/>
  <c r="AR245" i="8"/>
  <c r="AQ245" i="8"/>
  <c r="AP245" i="8"/>
  <c r="AO245" i="8"/>
  <c r="AN245" i="8"/>
  <c r="AM245" i="8"/>
  <c r="AL245" i="8"/>
  <c r="AK245" i="8"/>
  <c r="AW244" i="8"/>
  <c r="AT244" i="8"/>
  <c r="AS244" i="8"/>
  <c r="AR244" i="8"/>
  <c r="AQ244" i="8"/>
  <c r="AP244" i="8"/>
  <c r="AO244" i="8"/>
  <c r="AN244" i="8"/>
  <c r="AM244" i="8"/>
  <c r="AL244" i="8"/>
  <c r="AK244" i="8"/>
  <c r="AW243" i="8"/>
  <c r="AT243" i="8"/>
  <c r="AS243" i="8"/>
  <c r="AR243" i="8"/>
  <c r="AQ243" i="8"/>
  <c r="AP243" i="8"/>
  <c r="AO243" i="8"/>
  <c r="AN243" i="8"/>
  <c r="AM243" i="8"/>
  <c r="AL243" i="8"/>
  <c r="AK243" i="8"/>
  <c r="AW242" i="8"/>
  <c r="AT242" i="8"/>
  <c r="AS242" i="8"/>
  <c r="AR242" i="8"/>
  <c r="AQ242" i="8"/>
  <c r="AP242" i="8"/>
  <c r="AO242" i="8"/>
  <c r="AN242" i="8"/>
  <c r="AM242" i="8"/>
  <c r="AL242" i="8"/>
  <c r="AK242" i="8"/>
  <c r="AW241" i="8"/>
  <c r="AT241" i="8"/>
  <c r="AS241" i="8"/>
  <c r="AR241" i="8"/>
  <c r="AQ241" i="8"/>
  <c r="AP241" i="8"/>
  <c r="AO241" i="8"/>
  <c r="AN241" i="8"/>
  <c r="AM241" i="8"/>
  <c r="AL241" i="8"/>
  <c r="AK241" i="8"/>
  <c r="AW240" i="8"/>
  <c r="AT240" i="8"/>
  <c r="AS240" i="8"/>
  <c r="AR240" i="8"/>
  <c r="AQ240" i="8"/>
  <c r="AP240" i="8"/>
  <c r="AO240" i="8"/>
  <c r="AN240" i="8"/>
  <c r="AM240" i="8"/>
  <c r="AL240" i="8"/>
  <c r="AK240" i="8"/>
  <c r="AW239" i="8"/>
  <c r="AT239" i="8"/>
  <c r="AS239" i="8"/>
  <c r="AR239" i="8"/>
  <c r="AQ239" i="8"/>
  <c r="AP239" i="8"/>
  <c r="AO239" i="8"/>
  <c r="AN239" i="8"/>
  <c r="AM239" i="8"/>
  <c r="AL239" i="8"/>
  <c r="AK239" i="8"/>
  <c r="AW229" i="8"/>
  <c r="AT229" i="8"/>
  <c r="AS229" i="8"/>
  <c r="AR229" i="8"/>
  <c r="AQ229" i="8"/>
  <c r="AP229" i="8"/>
  <c r="AO229" i="8"/>
  <c r="AN229" i="8"/>
  <c r="AM229" i="8"/>
  <c r="AL229" i="8"/>
  <c r="AK229" i="8"/>
  <c r="AW228" i="8"/>
  <c r="AT228" i="8"/>
  <c r="AS228" i="8"/>
  <c r="AR228" i="8"/>
  <c r="AQ228" i="8"/>
  <c r="AP228" i="8"/>
  <c r="AO228" i="8"/>
  <c r="AN228" i="8"/>
  <c r="AM228" i="8"/>
  <c r="AL228" i="8"/>
  <c r="AK228" i="8"/>
  <c r="AW227" i="8"/>
  <c r="AT227" i="8"/>
  <c r="AS227" i="8"/>
  <c r="AR227" i="8"/>
  <c r="AQ227" i="8"/>
  <c r="AP227" i="8"/>
  <c r="AO227" i="8"/>
  <c r="AN227" i="8"/>
  <c r="AM227" i="8"/>
  <c r="AL227" i="8"/>
  <c r="AK227" i="8"/>
  <c r="AW226" i="8"/>
  <c r="AT226" i="8"/>
  <c r="AS226" i="8"/>
  <c r="AR226" i="8"/>
  <c r="AQ226" i="8"/>
  <c r="AP226" i="8"/>
  <c r="AO226" i="8"/>
  <c r="AN226" i="8"/>
  <c r="AM226" i="8"/>
  <c r="AL226" i="8"/>
  <c r="AK226" i="8"/>
  <c r="AW225" i="8"/>
  <c r="AT225" i="8"/>
  <c r="AS225" i="8"/>
  <c r="AR225" i="8"/>
  <c r="AQ225" i="8"/>
  <c r="AP225" i="8"/>
  <c r="AO225" i="8"/>
  <c r="AN225" i="8"/>
  <c r="AM225" i="8"/>
  <c r="AL225" i="8"/>
  <c r="AK225" i="8"/>
  <c r="AW224" i="8"/>
  <c r="AT224" i="8"/>
  <c r="AS224" i="8"/>
  <c r="AR224" i="8"/>
  <c r="AQ224" i="8"/>
  <c r="AP224" i="8"/>
  <c r="AO224" i="8"/>
  <c r="AN224" i="8"/>
  <c r="AM224" i="8"/>
  <c r="AL224" i="8"/>
  <c r="AK224" i="8"/>
  <c r="AW223" i="8"/>
  <c r="AT223" i="8"/>
  <c r="AS223" i="8"/>
  <c r="AR223" i="8"/>
  <c r="AQ223" i="8"/>
  <c r="AP223" i="8"/>
  <c r="AO223" i="8"/>
  <c r="AN223" i="8"/>
  <c r="AM223" i="8"/>
  <c r="AL223" i="8"/>
  <c r="AK223" i="8"/>
  <c r="AW222" i="8"/>
  <c r="AT222" i="8"/>
  <c r="AS222" i="8"/>
  <c r="AR222" i="8"/>
  <c r="AQ222" i="8"/>
  <c r="AP222" i="8"/>
  <c r="AO222" i="8"/>
  <c r="AN222" i="8"/>
  <c r="AM222" i="8"/>
  <c r="AL222" i="8"/>
  <c r="AK222" i="8"/>
  <c r="AW221" i="8"/>
  <c r="AT221" i="8"/>
  <c r="AS221" i="8"/>
  <c r="AR221" i="8"/>
  <c r="AQ221" i="8"/>
  <c r="AP221" i="8"/>
  <c r="AO221" i="8"/>
  <c r="AN221" i="8"/>
  <c r="AM221" i="8"/>
  <c r="AL221" i="8"/>
  <c r="AK221" i="8"/>
  <c r="AW220" i="8"/>
  <c r="AT220" i="8"/>
  <c r="AS220" i="8"/>
  <c r="AR220" i="8"/>
  <c r="AQ220" i="8"/>
  <c r="AP220" i="8"/>
  <c r="AO220" i="8"/>
  <c r="AN220" i="8"/>
  <c r="AM220" i="8"/>
  <c r="AL220" i="8"/>
  <c r="AK220" i="8"/>
  <c r="AW219" i="8"/>
  <c r="AT219" i="8"/>
  <c r="AS219" i="8"/>
  <c r="AR219" i="8"/>
  <c r="AQ219" i="8"/>
  <c r="AP219" i="8"/>
  <c r="AO219" i="8"/>
  <c r="AN219" i="8"/>
  <c r="AM219" i="8"/>
  <c r="AL219" i="8"/>
  <c r="AK219" i="8"/>
  <c r="AW218" i="8"/>
  <c r="AT218" i="8"/>
  <c r="AS218" i="8"/>
  <c r="AR218" i="8"/>
  <c r="AQ218" i="8"/>
  <c r="AP218" i="8"/>
  <c r="AO218" i="8"/>
  <c r="AN218" i="8"/>
  <c r="AM218" i="8"/>
  <c r="AL218" i="8"/>
  <c r="AK218" i="8"/>
  <c r="AW208" i="8"/>
  <c r="AT208" i="8"/>
  <c r="AS208" i="8"/>
  <c r="AR208" i="8"/>
  <c r="AQ208" i="8"/>
  <c r="AP208" i="8"/>
  <c r="AO208" i="8"/>
  <c r="AN208" i="8"/>
  <c r="AM208" i="8"/>
  <c r="AL208" i="8"/>
  <c r="AK208" i="8"/>
  <c r="AW207" i="8"/>
  <c r="AT207" i="8"/>
  <c r="AS207" i="8"/>
  <c r="AR207" i="8"/>
  <c r="AQ207" i="8"/>
  <c r="AP207" i="8"/>
  <c r="AO207" i="8"/>
  <c r="AN207" i="8"/>
  <c r="AM207" i="8"/>
  <c r="AL207" i="8"/>
  <c r="AK207" i="8"/>
  <c r="AW206" i="8"/>
  <c r="AT206" i="8"/>
  <c r="AS206" i="8"/>
  <c r="AR206" i="8"/>
  <c r="AQ206" i="8"/>
  <c r="AP206" i="8"/>
  <c r="AO206" i="8"/>
  <c r="AN206" i="8"/>
  <c r="AM206" i="8"/>
  <c r="AL206" i="8"/>
  <c r="AK206" i="8"/>
  <c r="AW205" i="8"/>
  <c r="AT205" i="8"/>
  <c r="AS205" i="8"/>
  <c r="AR205" i="8"/>
  <c r="AQ205" i="8"/>
  <c r="AP205" i="8"/>
  <c r="AO205" i="8"/>
  <c r="AN205" i="8"/>
  <c r="AM205" i="8"/>
  <c r="AL205" i="8"/>
  <c r="AK205" i="8"/>
  <c r="AW204" i="8"/>
  <c r="AT204" i="8"/>
  <c r="AS204" i="8"/>
  <c r="AR204" i="8"/>
  <c r="AQ204" i="8"/>
  <c r="AP204" i="8"/>
  <c r="AO204" i="8"/>
  <c r="AN204" i="8"/>
  <c r="AM204" i="8"/>
  <c r="AL204" i="8"/>
  <c r="AK204" i="8"/>
  <c r="AW203" i="8"/>
  <c r="AT203" i="8"/>
  <c r="AS203" i="8"/>
  <c r="AR203" i="8"/>
  <c r="AQ203" i="8"/>
  <c r="AP203" i="8"/>
  <c r="AO203" i="8"/>
  <c r="AN203" i="8"/>
  <c r="AM203" i="8"/>
  <c r="AL203" i="8"/>
  <c r="AK203" i="8"/>
  <c r="AW202" i="8"/>
  <c r="AT202" i="8"/>
  <c r="AS202" i="8"/>
  <c r="AR202" i="8"/>
  <c r="AQ202" i="8"/>
  <c r="AP202" i="8"/>
  <c r="AO202" i="8"/>
  <c r="AN202" i="8"/>
  <c r="AM202" i="8"/>
  <c r="AL202" i="8"/>
  <c r="AK202" i="8"/>
  <c r="AW201" i="8"/>
  <c r="AT201" i="8"/>
  <c r="AS201" i="8"/>
  <c r="AR201" i="8"/>
  <c r="AQ201" i="8"/>
  <c r="AP201" i="8"/>
  <c r="AO201" i="8"/>
  <c r="AN201" i="8"/>
  <c r="AM201" i="8"/>
  <c r="AL201" i="8"/>
  <c r="AK201" i="8"/>
  <c r="AW200" i="8"/>
  <c r="AT200" i="8"/>
  <c r="AS200" i="8"/>
  <c r="AR200" i="8"/>
  <c r="AQ200" i="8"/>
  <c r="AP200" i="8"/>
  <c r="AO200" i="8"/>
  <c r="AN200" i="8"/>
  <c r="AM200" i="8"/>
  <c r="AL200" i="8"/>
  <c r="AK200" i="8"/>
  <c r="AW199" i="8"/>
  <c r="AT199" i="8"/>
  <c r="AS199" i="8"/>
  <c r="AR199" i="8"/>
  <c r="AQ199" i="8"/>
  <c r="AP199" i="8"/>
  <c r="AO199" i="8"/>
  <c r="AN199" i="8"/>
  <c r="AM199" i="8"/>
  <c r="AL199" i="8"/>
  <c r="AK199" i="8"/>
  <c r="AW198" i="8"/>
  <c r="AT198" i="8"/>
  <c r="AS198" i="8"/>
  <c r="AR198" i="8"/>
  <c r="AQ198" i="8"/>
  <c r="AP198" i="8"/>
  <c r="AO198" i="8"/>
  <c r="AN198" i="8"/>
  <c r="AM198" i="8"/>
  <c r="AL198" i="8"/>
  <c r="AK198" i="8"/>
  <c r="AW197" i="8"/>
  <c r="AT197" i="8"/>
  <c r="AS197" i="8"/>
  <c r="AR197" i="8"/>
  <c r="AQ197" i="8"/>
  <c r="AP197" i="8"/>
  <c r="AO197" i="8"/>
  <c r="AN197" i="8"/>
  <c r="AM197" i="8"/>
  <c r="AL197" i="8"/>
  <c r="AK197" i="8"/>
  <c r="AW187" i="8"/>
  <c r="AT187" i="8"/>
  <c r="AS187" i="8"/>
  <c r="AR187" i="8"/>
  <c r="AQ187" i="8"/>
  <c r="AP187" i="8"/>
  <c r="AO187" i="8"/>
  <c r="AN187" i="8"/>
  <c r="AM187" i="8"/>
  <c r="AL187" i="8"/>
  <c r="AK187" i="8"/>
  <c r="AW186" i="8"/>
  <c r="AT186" i="8"/>
  <c r="AS186" i="8"/>
  <c r="AR186" i="8"/>
  <c r="AQ186" i="8"/>
  <c r="AP186" i="8"/>
  <c r="AO186" i="8"/>
  <c r="AN186" i="8"/>
  <c r="AM186" i="8"/>
  <c r="AL186" i="8"/>
  <c r="AK186" i="8"/>
  <c r="AW185" i="8"/>
  <c r="AT185" i="8"/>
  <c r="AS185" i="8"/>
  <c r="AR185" i="8"/>
  <c r="AQ185" i="8"/>
  <c r="AP185" i="8"/>
  <c r="AO185" i="8"/>
  <c r="AN185" i="8"/>
  <c r="AM185" i="8"/>
  <c r="AL185" i="8"/>
  <c r="AK185" i="8"/>
  <c r="AW184" i="8"/>
  <c r="AT184" i="8"/>
  <c r="AS184" i="8"/>
  <c r="AR184" i="8"/>
  <c r="AQ184" i="8"/>
  <c r="AP184" i="8"/>
  <c r="AO184" i="8"/>
  <c r="AN184" i="8"/>
  <c r="AM184" i="8"/>
  <c r="AL184" i="8"/>
  <c r="AK184" i="8"/>
  <c r="AW183" i="8"/>
  <c r="AT183" i="8"/>
  <c r="AS183" i="8"/>
  <c r="AR183" i="8"/>
  <c r="AQ183" i="8"/>
  <c r="AP183" i="8"/>
  <c r="AO183" i="8"/>
  <c r="AN183" i="8"/>
  <c r="AM183" i="8"/>
  <c r="AL183" i="8"/>
  <c r="AK183" i="8"/>
  <c r="AW182" i="8"/>
  <c r="AT182" i="8"/>
  <c r="AS182" i="8"/>
  <c r="AR182" i="8"/>
  <c r="AQ182" i="8"/>
  <c r="AP182" i="8"/>
  <c r="AO182" i="8"/>
  <c r="AN182" i="8"/>
  <c r="AM182" i="8"/>
  <c r="AL182" i="8"/>
  <c r="AK182" i="8"/>
  <c r="AW181" i="8"/>
  <c r="AT181" i="8"/>
  <c r="AS181" i="8"/>
  <c r="AR181" i="8"/>
  <c r="AQ181" i="8"/>
  <c r="AP181" i="8"/>
  <c r="AO181" i="8"/>
  <c r="AN181" i="8"/>
  <c r="AM181" i="8"/>
  <c r="AL181" i="8"/>
  <c r="AK181" i="8"/>
  <c r="AW180" i="8"/>
  <c r="AT180" i="8"/>
  <c r="AS180" i="8"/>
  <c r="AR180" i="8"/>
  <c r="AQ180" i="8"/>
  <c r="AP180" i="8"/>
  <c r="AO180" i="8"/>
  <c r="AN180" i="8"/>
  <c r="AM180" i="8"/>
  <c r="AL180" i="8"/>
  <c r="AK180" i="8"/>
  <c r="AW179" i="8"/>
  <c r="AT179" i="8"/>
  <c r="AS179" i="8"/>
  <c r="AR179" i="8"/>
  <c r="AQ179" i="8"/>
  <c r="AP179" i="8"/>
  <c r="AO179" i="8"/>
  <c r="AN179" i="8"/>
  <c r="AM179" i="8"/>
  <c r="AL179" i="8"/>
  <c r="AK179" i="8"/>
  <c r="AW178" i="8"/>
  <c r="AT178" i="8"/>
  <c r="AS178" i="8"/>
  <c r="AR178" i="8"/>
  <c r="AQ178" i="8"/>
  <c r="AP178" i="8"/>
  <c r="AO178" i="8"/>
  <c r="AN178" i="8"/>
  <c r="AM178" i="8"/>
  <c r="AL178" i="8"/>
  <c r="AK178" i="8"/>
  <c r="AW177" i="8"/>
  <c r="AT177" i="8"/>
  <c r="AS177" i="8"/>
  <c r="AR177" i="8"/>
  <c r="AQ177" i="8"/>
  <c r="AP177" i="8"/>
  <c r="AO177" i="8"/>
  <c r="AN177" i="8"/>
  <c r="AM177" i="8"/>
  <c r="AL177" i="8"/>
  <c r="AK177" i="8"/>
  <c r="AW176" i="8"/>
  <c r="AT176" i="8"/>
  <c r="AS176" i="8"/>
  <c r="AR176" i="8"/>
  <c r="AQ176" i="8"/>
  <c r="AP176" i="8"/>
  <c r="AO176" i="8"/>
  <c r="AN176" i="8"/>
  <c r="AM176" i="8"/>
  <c r="AL176" i="8"/>
  <c r="AK176" i="8"/>
  <c r="AW166" i="8"/>
  <c r="AT166" i="8"/>
  <c r="AS166" i="8"/>
  <c r="AR166" i="8"/>
  <c r="AQ166" i="8"/>
  <c r="AP166" i="8"/>
  <c r="AO166" i="8"/>
  <c r="AN166" i="8"/>
  <c r="AM166" i="8"/>
  <c r="AL166" i="8"/>
  <c r="AK166" i="8"/>
  <c r="AW165" i="8"/>
  <c r="AT165" i="8"/>
  <c r="AS165" i="8"/>
  <c r="AR165" i="8"/>
  <c r="AQ165" i="8"/>
  <c r="AP165" i="8"/>
  <c r="AO165" i="8"/>
  <c r="AN165" i="8"/>
  <c r="AM165" i="8"/>
  <c r="AL165" i="8"/>
  <c r="AK165" i="8"/>
  <c r="AW164" i="8"/>
  <c r="AT164" i="8"/>
  <c r="AS164" i="8"/>
  <c r="AR164" i="8"/>
  <c r="AQ164" i="8"/>
  <c r="AP164" i="8"/>
  <c r="AO164" i="8"/>
  <c r="AN164" i="8"/>
  <c r="AM164" i="8"/>
  <c r="AL164" i="8"/>
  <c r="AK164" i="8"/>
  <c r="AW163" i="8"/>
  <c r="AT163" i="8"/>
  <c r="AS163" i="8"/>
  <c r="AR163" i="8"/>
  <c r="AQ163" i="8"/>
  <c r="AP163" i="8"/>
  <c r="AO163" i="8"/>
  <c r="AN163" i="8"/>
  <c r="AM163" i="8"/>
  <c r="AL163" i="8"/>
  <c r="AK163" i="8"/>
  <c r="AW162" i="8"/>
  <c r="AT162" i="8"/>
  <c r="AS162" i="8"/>
  <c r="AR162" i="8"/>
  <c r="AQ162" i="8"/>
  <c r="AP162" i="8"/>
  <c r="AO162" i="8"/>
  <c r="AN162" i="8"/>
  <c r="AM162" i="8"/>
  <c r="AL162" i="8"/>
  <c r="AK162" i="8"/>
  <c r="AW161" i="8"/>
  <c r="AT161" i="8"/>
  <c r="AS161" i="8"/>
  <c r="AR161" i="8"/>
  <c r="AQ161" i="8"/>
  <c r="AP161" i="8"/>
  <c r="AO161" i="8"/>
  <c r="AN161" i="8"/>
  <c r="AM161" i="8"/>
  <c r="AL161" i="8"/>
  <c r="AK161" i="8"/>
  <c r="AW160" i="8"/>
  <c r="AT160" i="8"/>
  <c r="AS160" i="8"/>
  <c r="AR160" i="8"/>
  <c r="AQ160" i="8"/>
  <c r="AP160" i="8"/>
  <c r="AO160" i="8"/>
  <c r="AN160" i="8"/>
  <c r="AM160" i="8"/>
  <c r="AL160" i="8"/>
  <c r="AK160" i="8"/>
  <c r="AW159" i="8"/>
  <c r="AT159" i="8"/>
  <c r="AS159" i="8"/>
  <c r="AR159" i="8"/>
  <c r="AQ159" i="8"/>
  <c r="AP159" i="8"/>
  <c r="AO159" i="8"/>
  <c r="AN159" i="8"/>
  <c r="AM159" i="8"/>
  <c r="AL159" i="8"/>
  <c r="AK159" i="8"/>
  <c r="AW158" i="8"/>
  <c r="AT158" i="8"/>
  <c r="AS158" i="8"/>
  <c r="AR158" i="8"/>
  <c r="AQ158" i="8"/>
  <c r="AP158" i="8"/>
  <c r="AO158" i="8"/>
  <c r="AN158" i="8"/>
  <c r="AM158" i="8"/>
  <c r="AL158" i="8"/>
  <c r="AK158" i="8"/>
  <c r="AW157" i="8"/>
  <c r="AT157" i="8"/>
  <c r="AS157" i="8"/>
  <c r="AR157" i="8"/>
  <c r="AQ157" i="8"/>
  <c r="AP157" i="8"/>
  <c r="AO157" i="8"/>
  <c r="AN157" i="8"/>
  <c r="AM157" i="8"/>
  <c r="AL157" i="8"/>
  <c r="AK157" i="8"/>
  <c r="AW156" i="8"/>
  <c r="AT156" i="8"/>
  <c r="AS156" i="8"/>
  <c r="AR156" i="8"/>
  <c r="AQ156" i="8"/>
  <c r="AP156" i="8"/>
  <c r="AO156" i="8"/>
  <c r="AN156" i="8"/>
  <c r="AM156" i="8"/>
  <c r="AL156" i="8"/>
  <c r="AK156" i="8"/>
  <c r="AW155" i="8"/>
  <c r="AT155" i="8"/>
  <c r="AS155" i="8"/>
  <c r="AR155" i="8"/>
  <c r="AQ155" i="8"/>
  <c r="AP155" i="8"/>
  <c r="AO155" i="8"/>
  <c r="AN155" i="8"/>
  <c r="AM155" i="8"/>
  <c r="AL155" i="8"/>
  <c r="AK155" i="8"/>
  <c r="AW145" i="8"/>
  <c r="AT145" i="8"/>
  <c r="AS145" i="8"/>
  <c r="AR145" i="8"/>
  <c r="AQ145" i="8"/>
  <c r="AP145" i="8"/>
  <c r="AO145" i="8"/>
  <c r="AN145" i="8"/>
  <c r="AM145" i="8"/>
  <c r="AL145" i="8"/>
  <c r="AK145" i="8"/>
  <c r="AW144" i="8"/>
  <c r="AT144" i="8"/>
  <c r="AS144" i="8"/>
  <c r="AR144" i="8"/>
  <c r="AQ144" i="8"/>
  <c r="AP144" i="8"/>
  <c r="AO144" i="8"/>
  <c r="AN144" i="8"/>
  <c r="AM144" i="8"/>
  <c r="AL144" i="8"/>
  <c r="AK144" i="8"/>
  <c r="AW143" i="8"/>
  <c r="AT143" i="8"/>
  <c r="AS143" i="8"/>
  <c r="AR143" i="8"/>
  <c r="AQ143" i="8"/>
  <c r="AP143" i="8"/>
  <c r="AO143" i="8"/>
  <c r="AN143" i="8"/>
  <c r="AM143" i="8"/>
  <c r="AL143" i="8"/>
  <c r="AK143" i="8"/>
  <c r="AW142" i="8"/>
  <c r="AT142" i="8"/>
  <c r="AS142" i="8"/>
  <c r="AR142" i="8"/>
  <c r="AQ142" i="8"/>
  <c r="AP142" i="8"/>
  <c r="AO142" i="8"/>
  <c r="AN142" i="8"/>
  <c r="AM142" i="8"/>
  <c r="AL142" i="8"/>
  <c r="AK142" i="8"/>
  <c r="AW141" i="8"/>
  <c r="AT141" i="8"/>
  <c r="AS141" i="8"/>
  <c r="AR141" i="8"/>
  <c r="AQ141" i="8"/>
  <c r="AP141" i="8"/>
  <c r="AO141" i="8"/>
  <c r="AN141" i="8"/>
  <c r="AM141" i="8"/>
  <c r="AL141" i="8"/>
  <c r="AK141" i="8"/>
  <c r="AW140" i="8"/>
  <c r="AT140" i="8"/>
  <c r="AS140" i="8"/>
  <c r="AR140" i="8"/>
  <c r="AQ140" i="8"/>
  <c r="AP140" i="8"/>
  <c r="AO140" i="8"/>
  <c r="AN140" i="8"/>
  <c r="AM140" i="8"/>
  <c r="AL140" i="8"/>
  <c r="AK140" i="8"/>
  <c r="AW139" i="8"/>
  <c r="AT139" i="8"/>
  <c r="AS139" i="8"/>
  <c r="AR139" i="8"/>
  <c r="AQ139" i="8"/>
  <c r="AP139" i="8"/>
  <c r="AO139" i="8"/>
  <c r="AN139" i="8"/>
  <c r="AM139" i="8"/>
  <c r="AL139" i="8"/>
  <c r="AK139" i="8"/>
  <c r="AW138" i="8"/>
  <c r="AT138" i="8"/>
  <c r="AS138" i="8"/>
  <c r="AR138" i="8"/>
  <c r="AQ138" i="8"/>
  <c r="AP138" i="8"/>
  <c r="AO138" i="8"/>
  <c r="AN138" i="8"/>
  <c r="AM138" i="8"/>
  <c r="AL138" i="8"/>
  <c r="AK138" i="8"/>
  <c r="AW137" i="8"/>
  <c r="AT137" i="8"/>
  <c r="AS137" i="8"/>
  <c r="AR137" i="8"/>
  <c r="AQ137" i="8"/>
  <c r="AP137" i="8"/>
  <c r="AO137" i="8"/>
  <c r="AN137" i="8"/>
  <c r="AM137" i="8"/>
  <c r="AL137" i="8"/>
  <c r="AK137" i="8"/>
  <c r="AW136" i="8"/>
  <c r="AT136" i="8"/>
  <c r="AS136" i="8"/>
  <c r="AR136" i="8"/>
  <c r="AQ136" i="8"/>
  <c r="AP136" i="8"/>
  <c r="AO136" i="8"/>
  <c r="AN136" i="8"/>
  <c r="AM136" i="8"/>
  <c r="AL136" i="8"/>
  <c r="AK136" i="8"/>
  <c r="AW135" i="8"/>
  <c r="AT135" i="8"/>
  <c r="AS135" i="8"/>
  <c r="AR135" i="8"/>
  <c r="AQ135" i="8"/>
  <c r="AP135" i="8"/>
  <c r="AO135" i="8"/>
  <c r="AN135" i="8"/>
  <c r="AM135" i="8"/>
  <c r="AL135" i="8"/>
  <c r="AK135" i="8"/>
  <c r="AW134" i="8"/>
  <c r="AT134" i="8"/>
  <c r="AS134" i="8"/>
  <c r="AR134" i="8"/>
  <c r="AQ134" i="8"/>
  <c r="AP134" i="8"/>
  <c r="AO134" i="8"/>
  <c r="AN134" i="8"/>
  <c r="AM134" i="8"/>
  <c r="AL134" i="8"/>
  <c r="AK134" i="8"/>
  <c r="AW103" i="8"/>
  <c r="AT103" i="8"/>
  <c r="AS103" i="8"/>
  <c r="AR103" i="8"/>
  <c r="AQ103" i="8"/>
  <c r="AP103" i="8"/>
  <c r="AO103" i="8"/>
  <c r="AN103" i="8"/>
  <c r="AM103" i="8"/>
  <c r="AL103" i="8"/>
  <c r="AK103" i="8"/>
  <c r="AW102" i="8"/>
  <c r="AT102" i="8"/>
  <c r="AS102" i="8"/>
  <c r="AR102" i="8"/>
  <c r="AQ102" i="8"/>
  <c r="AP102" i="8"/>
  <c r="AO102" i="8"/>
  <c r="AN102" i="8"/>
  <c r="AM102" i="8"/>
  <c r="AL102" i="8"/>
  <c r="AK102" i="8"/>
  <c r="AW101" i="8"/>
  <c r="AT101" i="8"/>
  <c r="AS101" i="8"/>
  <c r="AR101" i="8"/>
  <c r="AQ101" i="8"/>
  <c r="AP101" i="8"/>
  <c r="AO101" i="8"/>
  <c r="AN101" i="8"/>
  <c r="AM101" i="8"/>
  <c r="AL101" i="8"/>
  <c r="AK101" i="8"/>
  <c r="AW100" i="8"/>
  <c r="AT100" i="8"/>
  <c r="AS100" i="8"/>
  <c r="AR100" i="8"/>
  <c r="AQ100" i="8"/>
  <c r="AP100" i="8"/>
  <c r="AO100" i="8"/>
  <c r="AN100" i="8"/>
  <c r="AM100" i="8"/>
  <c r="AL100" i="8"/>
  <c r="AK100" i="8"/>
  <c r="AW99" i="8"/>
  <c r="AT99" i="8"/>
  <c r="AS99" i="8"/>
  <c r="AR99" i="8"/>
  <c r="AQ99" i="8"/>
  <c r="AP99" i="8"/>
  <c r="AO99" i="8"/>
  <c r="AN99" i="8"/>
  <c r="AM99" i="8"/>
  <c r="AL99" i="8"/>
  <c r="AK99" i="8"/>
  <c r="AW98" i="8"/>
  <c r="AT98" i="8"/>
  <c r="AS98" i="8"/>
  <c r="AR98" i="8"/>
  <c r="AQ98" i="8"/>
  <c r="AP98" i="8"/>
  <c r="AO98" i="8"/>
  <c r="AN98" i="8"/>
  <c r="AM98" i="8"/>
  <c r="AL98" i="8"/>
  <c r="AK98" i="8"/>
  <c r="AW97" i="8"/>
  <c r="AT97" i="8"/>
  <c r="AS97" i="8"/>
  <c r="AR97" i="8"/>
  <c r="AQ97" i="8"/>
  <c r="AP97" i="8"/>
  <c r="AO97" i="8"/>
  <c r="AN97" i="8"/>
  <c r="AM97" i="8"/>
  <c r="AL97" i="8"/>
  <c r="AK97" i="8"/>
  <c r="AW96" i="8"/>
  <c r="AT96" i="8"/>
  <c r="AS96" i="8"/>
  <c r="AR96" i="8"/>
  <c r="AQ96" i="8"/>
  <c r="AP96" i="8"/>
  <c r="AO96" i="8"/>
  <c r="AN96" i="8"/>
  <c r="AM96" i="8"/>
  <c r="AL96" i="8"/>
  <c r="AK96" i="8"/>
  <c r="AW95" i="8"/>
  <c r="AT95" i="8"/>
  <c r="AS95" i="8"/>
  <c r="AR95" i="8"/>
  <c r="AQ95" i="8"/>
  <c r="AP95" i="8"/>
  <c r="AO95" i="8"/>
  <c r="AN95" i="8"/>
  <c r="AM95" i="8"/>
  <c r="AL95" i="8"/>
  <c r="AK95" i="8"/>
  <c r="AW94" i="8"/>
  <c r="AT94" i="8"/>
  <c r="AS94" i="8"/>
  <c r="AR94" i="8"/>
  <c r="AQ94" i="8"/>
  <c r="AP94" i="8"/>
  <c r="AO94" i="8"/>
  <c r="AN94" i="8"/>
  <c r="AM94" i="8"/>
  <c r="AL94" i="8"/>
  <c r="AK94" i="8"/>
  <c r="AW93" i="8"/>
  <c r="AT93" i="8"/>
  <c r="AS93" i="8"/>
  <c r="AR93" i="8"/>
  <c r="AQ93" i="8"/>
  <c r="AP93" i="8"/>
  <c r="AO93" i="8"/>
  <c r="AN93" i="8"/>
  <c r="AM93" i="8"/>
  <c r="AL93" i="8"/>
  <c r="AK93" i="8"/>
  <c r="AW92" i="8"/>
  <c r="AT92" i="8"/>
  <c r="AS92" i="8"/>
  <c r="AR92" i="8"/>
  <c r="AQ92" i="8"/>
  <c r="AP92" i="8"/>
  <c r="AO92" i="8"/>
  <c r="AN92" i="8"/>
  <c r="AM92" i="8"/>
  <c r="AL92" i="8"/>
  <c r="AK92" i="8"/>
  <c r="AW82" i="8"/>
  <c r="AT82" i="8"/>
  <c r="AS82" i="8"/>
  <c r="AR82" i="8"/>
  <c r="AQ82" i="8"/>
  <c r="AP82" i="8"/>
  <c r="AO82" i="8"/>
  <c r="AN82" i="8"/>
  <c r="AM82" i="8"/>
  <c r="AL82" i="8"/>
  <c r="AK82" i="8"/>
  <c r="AW81" i="8"/>
  <c r="AT81" i="8"/>
  <c r="AS81" i="8"/>
  <c r="AR81" i="8"/>
  <c r="AQ81" i="8"/>
  <c r="AP81" i="8"/>
  <c r="AO81" i="8"/>
  <c r="AN81" i="8"/>
  <c r="AM81" i="8"/>
  <c r="AL81" i="8"/>
  <c r="AK81" i="8"/>
  <c r="AW80" i="8"/>
  <c r="AT80" i="8"/>
  <c r="AS80" i="8"/>
  <c r="AR80" i="8"/>
  <c r="AQ80" i="8"/>
  <c r="AP80" i="8"/>
  <c r="AO80" i="8"/>
  <c r="AN80" i="8"/>
  <c r="AM80" i="8"/>
  <c r="AL80" i="8"/>
  <c r="AK80" i="8"/>
  <c r="AW79" i="8"/>
  <c r="AT79" i="8"/>
  <c r="AS79" i="8"/>
  <c r="AR79" i="8"/>
  <c r="AQ79" i="8"/>
  <c r="AP79" i="8"/>
  <c r="AO79" i="8"/>
  <c r="AN79" i="8"/>
  <c r="AM79" i="8"/>
  <c r="AL79" i="8"/>
  <c r="AK79" i="8"/>
  <c r="AW78" i="8"/>
  <c r="AT78" i="8"/>
  <c r="AS78" i="8"/>
  <c r="AR78" i="8"/>
  <c r="AQ78" i="8"/>
  <c r="AP78" i="8"/>
  <c r="AO78" i="8"/>
  <c r="AN78" i="8"/>
  <c r="AM78" i="8"/>
  <c r="AL78" i="8"/>
  <c r="AK78" i="8"/>
  <c r="AW77" i="8"/>
  <c r="AT77" i="8"/>
  <c r="AS77" i="8"/>
  <c r="AR77" i="8"/>
  <c r="AQ77" i="8"/>
  <c r="AP77" i="8"/>
  <c r="AO77" i="8"/>
  <c r="AN77" i="8"/>
  <c r="AM77" i="8"/>
  <c r="AL77" i="8"/>
  <c r="AK77" i="8"/>
  <c r="AW76" i="8"/>
  <c r="AT76" i="8"/>
  <c r="AS76" i="8"/>
  <c r="AR76" i="8"/>
  <c r="AQ76" i="8"/>
  <c r="AP76" i="8"/>
  <c r="AO76" i="8"/>
  <c r="AN76" i="8"/>
  <c r="AM76" i="8"/>
  <c r="AL76" i="8"/>
  <c r="AK76" i="8"/>
  <c r="AW75" i="8"/>
  <c r="AT75" i="8"/>
  <c r="AS75" i="8"/>
  <c r="AR75" i="8"/>
  <c r="AQ75" i="8"/>
  <c r="AP75" i="8"/>
  <c r="AO75" i="8"/>
  <c r="AN75" i="8"/>
  <c r="AM75" i="8"/>
  <c r="AL75" i="8"/>
  <c r="AK75" i="8"/>
  <c r="AW74" i="8"/>
  <c r="AT74" i="8"/>
  <c r="AS74" i="8"/>
  <c r="AR74" i="8"/>
  <c r="AQ74" i="8"/>
  <c r="AP74" i="8"/>
  <c r="AO74" i="8"/>
  <c r="AN74" i="8"/>
  <c r="AM74" i="8"/>
  <c r="AL74" i="8"/>
  <c r="AK74" i="8"/>
  <c r="AW73" i="8"/>
  <c r="AT73" i="8"/>
  <c r="AS73" i="8"/>
  <c r="AR73" i="8"/>
  <c r="AQ73" i="8"/>
  <c r="AP73" i="8"/>
  <c r="AO73" i="8"/>
  <c r="AN73" i="8"/>
  <c r="AM73" i="8"/>
  <c r="AL73" i="8"/>
  <c r="AK73" i="8"/>
  <c r="AW72" i="8"/>
  <c r="AT72" i="8"/>
  <c r="AS72" i="8"/>
  <c r="AR72" i="8"/>
  <c r="AQ72" i="8"/>
  <c r="AP72" i="8"/>
  <c r="AO72" i="8"/>
  <c r="AN72" i="8"/>
  <c r="AM72" i="8"/>
  <c r="AL72" i="8"/>
  <c r="AK72" i="8"/>
  <c r="AW71" i="8"/>
  <c r="AT71" i="8"/>
  <c r="AS71" i="8"/>
  <c r="AR71" i="8"/>
  <c r="AQ71" i="8"/>
  <c r="AP71" i="8"/>
  <c r="AO71" i="8"/>
  <c r="AN71" i="8"/>
  <c r="AM71" i="8"/>
  <c r="AL71" i="8"/>
  <c r="AK71" i="8"/>
  <c r="AW61" i="8"/>
  <c r="AT61" i="8"/>
  <c r="AS61" i="8"/>
  <c r="AR61" i="8"/>
  <c r="AQ61" i="8"/>
  <c r="AP61" i="8"/>
  <c r="AO61" i="8"/>
  <c r="AN61" i="8"/>
  <c r="AM61" i="8"/>
  <c r="AL61" i="8"/>
  <c r="AK61" i="8"/>
  <c r="AW60" i="8"/>
  <c r="AT60" i="8"/>
  <c r="AS60" i="8"/>
  <c r="AR60" i="8"/>
  <c r="AQ60" i="8"/>
  <c r="AP60" i="8"/>
  <c r="AO60" i="8"/>
  <c r="AN60" i="8"/>
  <c r="AM60" i="8"/>
  <c r="AL60" i="8"/>
  <c r="AK60" i="8"/>
  <c r="AW59" i="8"/>
  <c r="AT59" i="8"/>
  <c r="AS59" i="8"/>
  <c r="AR59" i="8"/>
  <c r="AQ59" i="8"/>
  <c r="AP59" i="8"/>
  <c r="AO59" i="8"/>
  <c r="AN59" i="8"/>
  <c r="AM59" i="8"/>
  <c r="AL59" i="8"/>
  <c r="AK59" i="8"/>
  <c r="AW58" i="8"/>
  <c r="AT58" i="8"/>
  <c r="AS58" i="8"/>
  <c r="AR58" i="8"/>
  <c r="AQ58" i="8"/>
  <c r="AP58" i="8"/>
  <c r="AO58" i="8"/>
  <c r="AN58" i="8"/>
  <c r="AM58" i="8"/>
  <c r="AL58" i="8"/>
  <c r="AK58" i="8"/>
  <c r="AW57" i="8"/>
  <c r="AT57" i="8"/>
  <c r="AS57" i="8"/>
  <c r="AR57" i="8"/>
  <c r="AQ57" i="8"/>
  <c r="AP57" i="8"/>
  <c r="AO57" i="8"/>
  <c r="AN57" i="8"/>
  <c r="AM57" i="8"/>
  <c r="AL57" i="8"/>
  <c r="AK57" i="8"/>
  <c r="AW56" i="8"/>
  <c r="AT56" i="8"/>
  <c r="AS56" i="8"/>
  <c r="AR56" i="8"/>
  <c r="AQ56" i="8"/>
  <c r="AP56" i="8"/>
  <c r="AO56" i="8"/>
  <c r="AN56" i="8"/>
  <c r="AM56" i="8"/>
  <c r="AL56" i="8"/>
  <c r="AK56" i="8"/>
  <c r="AW55" i="8"/>
  <c r="AT55" i="8"/>
  <c r="AS55" i="8"/>
  <c r="AR55" i="8"/>
  <c r="AQ55" i="8"/>
  <c r="AP55" i="8"/>
  <c r="AO55" i="8"/>
  <c r="AN55" i="8"/>
  <c r="AM55" i="8"/>
  <c r="AL55" i="8"/>
  <c r="AK55" i="8"/>
  <c r="AW54" i="8"/>
  <c r="AT54" i="8"/>
  <c r="AS54" i="8"/>
  <c r="AR54" i="8"/>
  <c r="AQ54" i="8"/>
  <c r="AP54" i="8"/>
  <c r="AO54" i="8"/>
  <c r="AN54" i="8"/>
  <c r="AM54" i="8"/>
  <c r="AL54" i="8"/>
  <c r="AK54" i="8"/>
  <c r="AW53" i="8"/>
  <c r="AT53" i="8"/>
  <c r="AS53" i="8"/>
  <c r="AR53" i="8"/>
  <c r="AQ53" i="8"/>
  <c r="AP53" i="8"/>
  <c r="AO53" i="8"/>
  <c r="AN53" i="8"/>
  <c r="AM53" i="8"/>
  <c r="AL53" i="8"/>
  <c r="AK53" i="8"/>
  <c r="AW52" i="8"/>
  <c r="AT52" i="8"/>
  <c r="AS52" i="8"/>
  <c r="AR52" i="8"/>
  <c r="AQ52" i="8"/>
  <c r="AP52" i="8"/>
  <c r="AO52" i="8"/>
  <c r="AN52" i="8"/>
  <c r="AM52" i="8"/>
  <c r="AL52" i="8"/>
  <c r="AK52" i="8"/>
  <c r="AW51" i="8"/>
  <c r="AT51" i="8"/>
  <c r="AS51" i="8"/>
  <c r="AR51" i="8"/>
  <c r="AQ51" i="8"/>
  <c r="AP51" i="8"/>
  <c r="AO51" i="8"/>
  <c r="AN51" i="8"/>
  <c r="AM51" i="8"/>
  <c r="AL51" i="8"/>
  <c r="AK51" i="8"/>
  <c r="AW50" i="8"/>
  <c r="AT50" i="8"/>
  <c r="AS50" i="8"/>
  <c r="AR50" i="8"/>
  <c r="AQ50" i="8"/>
  <c r="AP50" i="8"/>
  <c r="AO50" i="8"/>
  <c r="AN50" i="8"/>
  <c r="AM50" i="8"/>
  <c r="AL50" i="8"/>
  <c r="AK50" i="8"/>
  <c r="AW40" i="8"/>
  <c r="AT40" i="8"/>
  <c r="AS40" i="8"/>
  <c r="AR40" i="8"/>
  <c r="AQ40" i="8"/>
  <c r="AP40" i="8"/>
  <c r="AO40" i="8"/>
  <c r="AN40" i="8"/>
  <c r="AM40" i="8"/>
  <c r="AL40" i="8"/>
  <c r="AK40" i="8"/>
  <c r="AW39" i="8"/>
  <c r="AT39" i="8"/>
  <c r="AS39" i="8"/>
  <c r="AR39" i="8"/>
  <c r="AQ39" i="8"/>
  <c r="AP39" i="8"/>
  <c r="AO39" i="8"/>
  <c r="AN39" i="8"/>
  <c r="AM39" i="8"/>
  <c r="AL39" i="8"/>
  <c r="AK39" i="8"/>
  <c r="AW38" i="8"/>
  <c r="AT38" i="8"/>
  <c r="AS38" i="8"/>
  <c r="AR38" i="8"/>
  <c r="AQ38" i="8"/>
  <c r="AP38" i="8"/>
  <c r="AO38" i="8"/>
  <c r="AN38" i="8"/>
  <c r="AM38" i="8"/>
  <c r="AL38" i="8"/>
  <c r="AK38" i="8"/>
  <c r="AW37" i="8"/>
  <c r="AT37" i="8"/>
  <c r="AS37" i="8"/>
  <c r="AR37" i="8"/>
  <c r="AQ37" i="8"/>
  <c r="AP37" i="8"/>
  <c r="AO37" i="8"/>
  <c r="AN37" i="8"/>
  <c r="AM37" i="8"/>
  <c r="AL37" i="8"/>
  <c r="AK37" i="8"/>
  <c r="AW36" i="8"/>
  <c r="AT36" i="8"/>
  <c r="AS36" i="8"/>
  <c r="AR36" i="8"/>
  <c r="AQ36" i="8"/>
  <c r="AP36" i="8"/>
  <c r="AO36" i="8"/>
  <c r="AN36" i="8"/>
  <c r="AM36" i="8"/>
  <c r="AL36" i="8"/>
  <c r="AK36" i="8"/>
  <c r="AW35" i="8"/>
  <c r="AT35" i="8"/>
  <c r="AS35" i="8"/>
  <c r="AR35" i="8"/>
  <c r="AQ35" i="8"/>
  <c r="AP35" i="8"/>
  <c r="AO35" i="8"/>
  <c r="AN35" i="8"/>
  <c r="AM35" i="8"/>
  <c r="AL35" i="8"/>
  <c r="AK35" i="8"/>
  <c r="AW34" i="8"/>
  <c r="AT34" i="8"/>
  <c r="AS34" i="8"/>
  <c r="AR34" i="8"/>
  <c r="AQ34" i="8"/>
  <c r="AP34" i="8"/>
  <c r="AO34" i="8"/>
  <c r="AN34" i="8"/>
  <c r="AM34" i="8"/>
  <c r="AL34" i="8"/>
  <c r="AK34" i="8"/>
  <c r="AW33" i="8"/>
  <c r="AT33" i="8"/>
  <c r="AS33" i="8"/>
  <c r="AR33" i="8"/>
  <c r="AQ33" i="8"/>
  <c r="AP33" i="8"/>
  <c r="AO33" i="8"/>
  <c r="AN33" i="8"/>
  <c r="AM33" i="8"/>
  <c r="AL33" i="8"/>
  <c r="AK33" i="8"/>
  <c r="AW32" i="8"/>
  <c r="AT32" i="8"/>
  <c r="AS32" i="8"/>
  <c r="AR32" i="8"/>
  <c r="AQ32" i="8"/>
  <c r="AP32" i="8"/>
  <c r="AO32" i="8"/>
  <c r="AN32" i="8"/>
  <c r="AM32" i="8"/>
  <c r="AL32" i="8"/>
  <c r="AK32" i="8"/>
  <c r="AW31" i="8"/>
  <c r="AT31" i="8"/>
  <c r="AS31" i="8"/>
  <c r="AR31" i="8"/>
  <c r="AQ31" i="8"/>
  <c r="AP31" i="8"/>
  <c r="AO31" i="8"/>
  <c r="AN31" i="8"/>
  <c r="AM31" i="8"/>
  <c r="AL31" i="8"/>
  <c r="AK31" i="8"/>
  <c r="AW30" i="8"/>
  <c r="AT30" i="8"/>
  <c r="AS30" i="8"/>
  <c r="AR30" i="8"/>
  <c r="AQ30" i="8"/>
  <c r="AP30" i="8"/>
  <c r="AO30" i="8"/>
  <c r="AN30" i="8"/>
  <c r="AM30" i="8"/>
  <c r="AL30" i="8"/>
  <c r="AK30" i="8"/>
  <c r="AW29" i="8"/>
  <c r="AT29" i="8"/>
  <c r="AS29" i="8"/>
  <c r="AR29" i="8"/>
  <c r="AQ29" i="8"/>
  <c r="AP29" i="8"/>
  <c r="AO29" i="8"/>
  <c r="AN29" i="8"/>
  <c r="AM29" i="8"/>
  <c r="AL29" i="8"/>
  <c r="AK29" i="8"/>
  <c r="AW19" i="8"/>
  <c r="AT19" i="8"/>
  <c r="AS19" i="8"/>
  <c r="AR19" i="8"/>
  <c r="AQ19" i="8"/>
  <c r="AP19" i="8"/>
  <c r="AO19" i="8"/>
  <c r="AN19" i="8"/>
  <c r="AM19" i="8"/>
  <c r="AK19" i="8"/>
  <c r="AW18" i="8"/>
  <c r="AT18" i="8"/>
  <c r="AS18" i="8"/>
  <c r="AR18" i="8"/>
  <c r="AQ18" i="8"/>
  <c r="AP18" i="8"/>
  <c r="AO18" i="8"/>
  <c r="AN18" i="8"/>
  <c r="AM18" i="8"/>
  <c r="AL18" i="8"/>
  <c r="AK18" i="8"/>
  <c r="AW17" i="8"/>
  <c r="AT17" i="8"/>
  <c r="AS17" i="8"/>
  <c r="AR17" i="8"/>
  <c r="AQ17" i="8"/>
  <c r="AP17" i="8"/>
  <c r="AO17" i="8"/>
  <c r="AN17" i="8"/>
  <c r="AM17" i="8"/>
  <c r="AL17" i="8"/>
  <c r="AK17" i="8"/>
  <c r="AW16" i="8"/>
  <c r="AT16" i="8"/>
  <c r="AS16" i="8"/>
  <c r="AR16" i="8"/>
  <c r="AQ16" i="8"/>
  <c r="AP16" i="8"/>
  <c r="AO16" i="8"/>
  <c r="AN16" i="8"/>
  <c r="AM16" i="8"/>
  <c r="AL16" i="8"/>
  <c r="AK16" i="8"/>
  <c r="AW15" i="8"/>
  <c r="AT15" i="8"/>
  <c r="AS15" i="8"/>
  <c r="AR15" i="8"/>
  <c r="AQ15" i="8"/>
  <c r="AP15" i="8"/>
  <c r="AO15" i="8"/>
  <c r="AN15" i="8"/>
  <c r="AM15" i="8"/>
  <c r="AL15" i="8"/>
  <c r="AK15" i="8"/>
  <c r="AW14" i="8"/>
  <c r="AT14" i="8"/>
  <c r="AS14" i="8"/>
  <c r="AR14" i="8"/>
  <c r="AQ14" i="8"/>
  <c r="AP14" i="8"/>
  <c r="AO14" i="8"/>
  <c r="AN14" i="8"/>
  <c r="AM14" i="8"/>
  <c r="AL14" i="8"/>
  <c r="AK14" i="8"/>
  <c r="AW13" i="8"/>
  <c r="AT13" i="8"/>
  <c r="AS13" i="8"/>
  <c r="AR13" i="8"/>
  <c r="AQ13" i="8"/>
  <c r="AP13" i="8"/>
  <c r="AO13" i="8"/>
  <c r="AN13" i="8"/>
  <c r="AM13" i="8"/>
  <c r="AL13" i="8"/>
  <c r="AK13" i="8"/>
  <c r="AW12" i="8"/>
  <c r="AT12" i="8"/>
  <c r="AS12" i="8"/>
  <c r="AR12" i="8"/>
  <c r="AQ12" i="8"/>
  <c r="AP12" i="8"/>
  <c r="AO12" i="8"/>
  <c r="AN12" i="8"/>
  <c r="AM12" i="8"/>
  <c r="AL12" i="8"/>
  <c r="AK12" i="8"/>
  <c r="AW11" i="8"/>
  <c r="AT11" i="8"/>
  <c r="AS11" i="8"/>
  <c r="AR11" i="8"/>
  <c r="AQ11" i="8"/>
  <c r="AP11" i="8"/>
  <c r="AO11" i="8"/>
  <c r="AN11" i="8"/>
  <c r="AM11" i="8"/>
  <c r="AL11" i="8"/>
  <c r="AK11" i="8"/>
  <c r="AW10" i="8"/>
  <c r="AT10" i="8"/>
  <c r="AS10" i="8"/>
  <c r="AR10" i="8"/>
  <c r="AQ10" i="8"/>
  <c r="AP10" i="8"/>
  <c r="AO10" i="8"/>
  <c r="AN10" i="8"/>
  <c r="AM10" i="8"/>
  <c r="AL10" i="8"/>
  <c r="AK10" i="8"/>
  <c r="AW9" i="8"/>
  <c r="AT9" i="8"/>
  <c r="AS9" i="8"/>
  <c r="AR9" i="8"/>
  <c r="AQ9" i="8"/>
  <c r="AP9" i="8"/>
  <c r="AO9" i="8"/>
  <c r="AN9" i="8"/>
  <c r="AM9" i="8"/>
  <c r="AL9" i="8"/>
  <c r="AK9" i="8"/>
  <c r="AW8" i="8"/>
  <c r="AT8" i="8"/>
  <c r="AS8" i="8"/>
  <c r="AR8" i="8"/>
  <c r="AQ8" i="8"/>
  <c r="AP8" i="8"/>
  <c r="AO8" i="8"/>
  <c r="AN8" i="8"/>
  <c r="AM8" i="8"/>
  <c r="AL8" i="8"/>
  <c r="AK8" i="8"/>
  <c r="AN126" i="8" l="1"/>
  <c r="AR126" i="8"/>
  <c r="AT126" i="8"/>
  <c r="AQ126" i="8"/>
  <c r="AU115" i="8"/>
  <c r="AU124" i="8"/>
  <c r="AV118" i="8"/>
  <c r="AU73" i="8"/>
  <c r="AV179" i="8"/>
  <c r="AU51" i="8"/>
  <c r="AV61" i="8"/>
  <c r="AK189" i="8"/>
  <c r="AV40" i="8"/>
  <c r="AV74" i="8"/>
  <c r="AU71" i="8"/>
  <c r="AV166" i="8"/>
  <c r="AU207" i="8"/>
  <c r="AU54" i="8"/>
  <c r="AU178" i="8"/>
  <c r="AV187" i="8"/>
  <c r="AU229" i="8"/>
  <c r="AP252" i="8"/>
  <c r="AV241" i="8"/>
  <c r="AV32" i="8"/>
  <c r="AU39" i="8"/>
  <c r="AU202" i="8"/>
  <c r="AU204" i="8"/>
  <c r="AV207" i="8"/>
  <c r="AM231" i="8"/>
  <c r="AU220" i="8"/>
  <c r="AU224" i="8"/>
  <c r="AU226" i="8"/>
  <c r="AU17" i="8"/>
  <c r="AU30" i="8"/>
  <c r="AU38" i="8"/>
  <c r="AV39" i="8"/>
  <c r="AV137" i="8"/>
  <c r="AU138" i="8"/>
  <c r="AV139" i="8"/>
  <c r="AV143" i="8"/>
  <c r="AK168" i="8"/>
  <c r="AU155" i="8"/>
  <c r="AU199" i="8"/>
  <c r="AV200" i="8"/>
  <c r="AU205" i="8"/>
  <c r="AU208" i="8"/>
  <c r="AV9" i="8"/>
  <c r="AV17" i="8"/>
  <c r="AV102" i="8"/>
  <c r="AV138" i="8"/>
  <c r="AU141" i="8"/>
  <c r="AU143" i="8"/>
  <c r="AV10" i="8"/>
  <c r="AV53" i="8"/>
  <c r="AV76" i="8"/>
  <c r="AV78" i="8"/>
  <c r="AU96" i="8"/>
  <c r="AV97" i="8"/>
  <c r="AV103" i="8"/>
  <c r="AU136" i="8"/>
  <c r="AV75" i="8"/>
  <c r="AU78" i="8"/>
  <c r="AU80" i="8"/>
  <c r="AU82" i="8"/>
  <c r="AV180" i="8"/>
  <c r="AL126" i="8"/>
  <c r="AV115" i="8"/>
  <c r="AV119" i="8"/>
  <c r="AV121" i="8"/>
  <c r="AV123" i="8"/>
  <c r="AV243" i="8"/>
  <c r="AV19" i="8"/>
  <c r="AK210" i="8"/>
  <c r="AQ147" i="8"/>
  <c r="AR84" i="8"/>
  <c r="AV73" i="8"/>
  <c r="AU76" i="8"/>
  <c r="AN105" i="8"/>
  <c r="AU156" i="8"/>
  <c r="AU164" i="8"/>
  <c r="AV183" i="8"/>
  <c r="AU186" i="8"/>
  <c r="AV227" i="8"/>
  <c r="AU221" i="8"/>
  <c r="AU103" i="8"/>
  <c r="AN231" i="8"/>
  <c r="AV8" i="8"/>
  <c r="AN21" i="8"/>
  <c r="AT210" i="8"/>
  <c r="AV95" i="8"/>
  <c r="AV59" i="8"/>
  <c r="AV145" i="8"/>
  <c r="AS189" i="8"/>
  <c r="AV186" i="8"/>
  <c r="AV176" i="8"/>
  <c r="AV100" i="8"/>
  <c r="AU9" i="8"/>
  <c r="AU98" i="8"/>
  <c r="AL210" i="8"/>
  <c r="AK84" i="8"/>
  <c r="AU33" i="8"/>
  <c r="AV38" i="8"/>
  <c r="AV162" i="8"/>
  <c r="AU165" i="8"/>
  <c r="AU218" i="8"/>
  <c r="AP147" i="8"/>
  <c r="AS210" i="8"/>
  <c r="AO210" i="8"/>
  <c r="AQ231" i="8"/>
  <c r="AV13" i="8"/>
  <c r="AV33" i="8"/>
  <c r="AU36" i="8"/>
  <c r="AU160" i="8"/>
  <c r="AO252" i="8"/>
  <c r="AK21" i="8"/>
  <c r="AS21" i="8"/>
  <c r="AV14" i="8"/>
  <c r="AV16" i="8"/>
  <c r="AR42" i="8"/>
  <c r="AV36" i="8"/>
  <c r="AR63" i="8"/>
  <c r="AV54" i="8"/>
  <c r="AU55" i="8"/>
  <c r="AU57" i="8"/>
  <c r="AU59" i="8"/>
  <c r="AL84" i="8"/>
  <c r="AT84" i="8"/>
  <c r="AU79" i="8"/>
  <c r="AU81" i="8"/>
  <c r="AV93" i="8"/>
  <c r="AV98" i="8"/>
  <c r="AR147" i="8"/>
  <c r="AV136" i="8"/>
  <c r="AV141" i="8"/>
  <c r="AL168" i="8"/>
  <c r="AV155" i="8"/>
  <c r="AU157" i="8"/>
  <c r="AO168" i="8"/>
  <c r="AV160" i="8"/>
  <c r="AU163" i="8"/>
  <c r="AM189" i="8"/>
  <c r="AO189" i="8"/>
  <c r="AV181" i="8"/>
  <c r="AU184" i="8"/>
  <c r="AM210" i="8"/>
  <c r="AO231" i="8"/>
  <c r="AU219" i="8"/>
  <c r="AR231" i="8"/>
  <c r="AV224" i="8"/>
  <c r="AV226" i="8"/>
  <c r="AU227" i="8"/>
  <c r="AU228" i="8"/>
  <c r="AQ252" i="8"/>
  <c r="AV240" i="8"/>
  <c r="AU241" i="8"/>
  <c r="AV244" i="8"/>
  <c r="AV246" i="8"/>
  <c r="AV248" i="8"/>
  <c r="AU249" i="8"/>
  <c r="AV12" i="8"/>
  <c r="AO21" i="8"/>
  <c r="AK42" i="8"/>
  <c r="AS42" i="8"/>
  <c r="AU34" i="8"/>
  <c r="AK63" i="8"/>
  <c r="AU50" i="8"/>
  <c r="AV57" i="8"/>
  <c r="AM84" i="8"/>
  <c r="AO84" i="8"/>
  <c r="AV81" i="8"/>
  <c r="AP105" i="8"/>
  <c r="AU93" i="8"/>
  <c r="AV96" i="8"/>
  <c r="AV101" i="8"/>
  <c r="AK147" i="8"/>
  <c r="AS147" i="8"/>
  <c r="AU137" i="8"/>
  <c r="AU139" i="8"/>
  <c r="AM168" i="8"/>
  <c r="AV157" i="8"/>
  <c r="AU158" i="8"/>
  <c r="AP168" i="8"/>
  <c r="AV163" i="8"/>
  <c r="AU177" i="8"/>
  <c r="AV184" i="8"/>
  <c r="AN210" i="8"/>
  <c r="AU198" i="8"/>
  <c r="AU201" i="8"/>
  <c r="AU203" i="8"/>
  <c r="AP231" i="8"/>
  <c r="AU222" i="8"/>
  <c r="AR252" i="8"/>
  <c r="AU240" i="8"/>
  <c r="AU244" i="8"/>
  <c r="AU246" i="8"/>
  <c r="AU248" i="8"/>
  <c r="AU120" i="8"/>
  <c r="AU8" i="8"/>
  <c r="AV11" i="8"/>
  <c r="AU15" i="8"/>
  <c r="AU19" i="8"/>
  <c r="AL42" i="8"/>
  <c r="AT42" i="8"/>
  <c r="AU31" i="8"/>
  <c r="AO42" i="8"/>
  <c r="AV34" i="8"/>
  <c r="AU37" i="8"/>
  <c r="AL63" i="8"/>
  <c r="AT63" i="8"/>
  <c r="AU52" i="8"/>
  <c r="AN84" i="8"/>
  <c r="AU72" i="8"/>
  <c r="AU74" i="8"/>
  <c r="AU75" i="8"/>
  <c r="AU77" i="8"/>
  <c r="AQ105" i="8"/>
  <c r="AU94" i="8"/>
  <c r="AM105" i="8"/>
  <c r="AU99" i="8"/>
  <c r="AU101" i="8"/>
  <c r="AL147" i="8"/>
  <c r="AT147" i="8"/>
  <c r="AO147" i="8"/>
  <c r="AU142" i="8"/>
  <c r="AU144" i="8"/>
  <c r="AN168" i="8"/>
  <c r="AQ168" i="8"/>
  <c r="AU161" i="8"/>
  <c r="AV165" i="8"/>
  <c r="AL189" i="8"/>
  <c r="AT189" i="8"/>
  <c r="AU179" i="8"/>
  <c r="AU182" i="8"/>
  <c r="AU187" i="8"/>
  <c r="AV198" i="8"/>
  <c r="AV201" i="8"/>
  <c r="AV203" i="8"/>
  <c r="AV205" i="8"/>
  <c r="AU206" i="8"/>
  <c r="AV222" i="8"/>
  <c r="AK252" i="8"/>
  <c r="AS252" i="8"/>
  <c r="AV114" i="8"/>
  <c r="AV116" i="8"/>
  <c r="AV117" i="8"/>
  <c r="AV120" i="8"/>
  <c r="AV122" i="8"/>
  <c r="AV124" i="8"/>
  <c r="AU13" i="8"/>
  <c r="AL21" i="8"/>
  <c r="AV15" i="8"/>
  <c r="AM42" i="8"/>
  <c r="AV31" i="8"/>
  <c r="AU32" i="8"/>
  <c r="AP42" i="8"/>
  <c r="AV37" i="8"/>
  <c r="AM63" i="8"/>
  <c r="AV52" i="8"/>
  <c r="AU53" i="8"/>
  <c r="AO63" i="8"/>
  <c r="AV55" i="8"/>
  <c r="AU58" i="8"/>
  <c r="AU60" i="8"/>
  <c r="AV72" i="8"/>
  <c r="AV77" i="8"/>
  <c r="AV79" i="8"/>
  <c r="AR105" i="8"/>
  <c r="AV99" i="8"/>
  <c r="AU102" i="8"/>
  <c r="AM147" i="8"/>
  <c r="AV142" i="8"/>
  <c r="AV144" i="8"/>
  <c r="AU145" i="8"/>
  <c r="AV156" i="8"/>
  <c r="AR168" i="8"/>
  <c r="AV161" i="8"/>
  <c r="AU166" i="8"/>
  <c r="AP189" i="8"/>
  <c r="AN189" i="8"/>
  <c r="AU181" i="8"/>
  <c r="AU185" i="8"/>
  <c r="AP210" i="8"/>
  <c r="AV206" i="8"/>
  <c r="AV219" i="8"/>
  <c r="AV221" i="8"/>
  <c r="AV225" i="8"/>
  <c r="AL252" i="8"/>
  <c r="AT252" i="8"/>
  <c r="AU242" i="8"/>
  <c r="AV249" i="8"/>
  <c r="AU250" i="8"/>
  <c r="AM126" i="8"/>
  <c r="AM21" i="8"/>
  <c r="AV18" i="8"/>
  <c r="AN42" i="8"/>
  <c r="AQ42" i="8"/>
  <c r="AU35" i="8"/>
  <c r="AN63" i="8"/>
  <c r="AP63" i="8"/>
  <c r="AV56" i="8"/>
  <c r="AV58" i="8"/>
  <c r="AV60" i="8"/>
  <c r="AU61" i="8"/>
  <c r="AP84" i="8"/>
  <c r="AV80" i="8"/>
  <c r="AV82" i="8"/>
  <c r="AK105" i="8"/>
  <c r="AS105" i="8"/>
  <c r="AO105" i="8"/>
  <c r="AU97" i="8"/>
  <c r="AN147" i="8"/>
  <c r="AU135" i="8"/>
  <c r="AU140" i="8"/>
  <c r="AV158" i="8"/>
  <c r="AU159" i="8"/>
  <c r="AV164" i="8"/>
  <c r="AQ189" i="8"/>
  <c r="AU180" i="8"/>
  <c r="AV185" i="8"/>
  <c r="AQ210" i="8"/>
  <c r="AV208" i="8"/>
  <c r="AK231" i="8"/>
  <c r="AS231" i="8"/>
  <c r="AL231" i="8"/>
  <c r="AT231" i="8"/>
  <c r="AU223" i="8"/>
  <c r="AU225" i="8"/>
  <c r="AV229" i="8"/>
  <c r="AM252" i="8"/>
  <c r="AV242" i="8"/>
  <c r="AU243" i="8"/>
  <c r="AU245" i="8"/>
  <c r="AU247" i="8"/>
  <c r="AV250" i="8"/>
  <c r="AU11" i="8"/>
  <c r="AU14" i="8"/>
  <c r="AU16" i="8"/>
  <c r="AU18" i="8"/>
  <c r="AV30" i="8"/>
  <c r="AV35" i="8"/>
  <c r="AU40" i="8"/>
  <c r="AV51" i="8"/>
  <c r="AQ63" i="8"/>
  <c r="AU56" i="8"/>
  <c r="AL105" i="8"/>
  <c r="AT105" i="8"/>
  <c r="AV94" i="8"/>
  <c r="AU95" i="8"/>
  <c r="AU100" i="8"/>
  <c r="AV135" i="8"/>
  <c r="AV140" i="8"/>
  <c r="AV159" i="8"/>
  <c r="AU162" i="8"/>
  <c r="AR189" i="8"/>
  <c r="AV178" i="8"/>
  <c r="AV182" i="8"/>
  <c r="AU183" i="8"/>
  <c r="AR210" i="8"/>
  <c r="AV199" i="8"/>
  <c r="AU200" i="8"/>
  <c r="AV202" i="8"/>
  <c r="AV204" i="8"/>
  <c r="AV223" i="8"/>
  <c r="AV228" i="8"/>
  <c r="AN252" i="8"/>
  <c r="AV245" i="8"/>
  <c r="AV247" i="8"/>
  <c r="AU116" i="8"/>
  <c r="AK126" i="8"/>
  <c r="AU121" i="8"/>
  <c r="AU114" i="8"/>
  <c r="AU122" i="8"/>
  <c r="AU117" i="8"/>
  <c r="AU123" i="8"/>
  <c r="AU118" i="8"/>
  <c r="AU119" i="8"/>
  <c r="AU113" i="8"/>
  <c r="AP126" i="8"/>
  <c r="AV113" i="8"/>
  <c r="AS126" i="8"/>
  <c r="AU239" i="8"/>
  <c r="AV239" i="8"/>
  <c r="AV220" i="8"/>
  <c r="AV218" i="8"/>
  <c r="AU197" i="8"/>
  <c r="AV197" i="8"/>
  <c r="AU176" i="8"/>
  <c r="AV177" i="8"/>
  <c r="AS168" i="8"/>
  <c r="AT168" i="8"/>
  <c r="AU134" i="8"/>
  <c r="AV134" i="8"/>
  <c r="AU92" i="8"/>
  <c r="AV92" i="8"/>
  <c r="AV71" i="8"/>
  <c r="AS84" i="8"/>
  <c r="AQ84" i="8"/>
  <c r="AV50" i="8"/>
  <c r="AS63" i="8"/>
  <c r="AV29" i="8"/>
  <c r="AU29" i="8"/>
  <c r="AP21" i="8"/>
  <c r="AU12" i="8"/>
  <c r="AQ21" i="8"/>
  <c r="AU10" i="8"/>
  <c r="AR21" i="8"/>
  <c r="AT21" i="8"/>
  <c r="AU84" i="8" l="1"/>
  <c r="AV21" i="8"/>
  <c r="AU231" i="8"/>
  <c r="AV168" i="8"/>
  <c r="AV189" i="8"/>
  <c r="AU168" i="8"/>
  <c r="AY56" i="8"/>
  <c r="AX57" i="8"/>
  <c r="AU21" i="8"/>
  <c r="AU63" i="8"/>
  <c r="AX56" i="8"/>
  <c r="AY57" i="8"/>
  <c r="AX58" i="8"/>
  <c r="AY58" i="8"/>
  <c r="AU126" i="8"/>
  <c r="AV126" i="8"/>
  <c r="AV252" i="8"/>
  <c r="AU252" i="8"/>
  <c r="AV231" i="8"/>
  <c r="AV210" i="8"/>
  <c r="AU210" i="8"/>
  <c r="AU189" i="8"/>
  <c r="AV147" i="8"/>
  <c r="AU147" i="8"/>
  <c r="AV105" i="8"/>
  <c r="AU105" i="8"/>
  <c r="AV84" i="8"/>
  <c r="AV63" i="8"/>
  <c r="AU42" i="8"/>
  <c r="AV42" i="8"/>
  <c r="AG181" i="8"/>
  <c r="AG180" i="8"/>
  <c r="AG179" i="8"/>
  <c r="AE181" i="8"/>
  <c r="AE180" i="8"/>
  <c r="AE179" i="8"/>
  <c r="AG97" i="8"/>
  <c r="AG96" i="8"/>
  <c r="AG95" i="8"/>
  <c r="AE97" i="8"/>
  <c r="AE96" i="8"/>
  <c r="AE95" i="8"/>
  <c r="AG118" i="8"/>
  <c r="AG117" i="8"/>
  <c r="AG116" i="8"/>
  <c r="AE118" i="8"/>
  <c r="AE117" i="8"/>
  <c r="AE116" i="8"/>
  <c r="AG76" i="8" l="1"/>
  <c r="AG75" i="8"/>
  <c r="AG74" i="8"/>
  <c r="AE76" i="8"/>
  <c r="AE75" i="8"/>
  <c r="AE74" i="8"/>
  <c r="AG160" i="8" l="1"/>
  <c r="AG159" i="8"/>
  <c r="AG158" i="8"/>
  <c r="AE160" i="8"/>
  <c r="AE159" i="8"/>
  <c r="AE158" i="8"/>
  <c r="AG202" i="8"/>
  <c r="AG201" i="8"/>
  <c r="AG200" i="8"/>
  <c r="AE202" i="8"/>
  <c r="AE201" i="8"/>
  <c r="AE200" i="8"/>
  <c r="AG222" i="8" l="1"/>
  <c r="AE222" i="8"/>
  <c r="AF231" i="8"/>
  <c r="AD231" i="8"/>
  <c r="AF105" i="8"/>
  <c r="AD105" i="8"/>
  <c r="AG94" i="8"/>
  <c r="AE94" i="8"/>
  <c r="AG93" i="8"/>
  <c r="AE93" i="8"/>
  <c r="AG92" i="8"/>
  <c r="AE92" i="8"/>
  <c r="AF126" i="8"/>
  <c r="AD126" i="8"/>
  <c r="AG115" i="8"/>
  <c r="AE115" i="8"/>
  <c r="AG114" i="8"/>
  <c r="AE114" i="8"/>
  <c r="AG113" i="8"/>
  <c r="AE113" i="8"/>
  <c r="AF189" i="8"/>
  <c r="AD189" i="8"/>
  <c r="AG178" i="8"/>
  <c r="AE178" i="8"/>
  <c r="AG177" i="8"/>
  <c r="AE177" i="8"/>
  <c r="AG176" i="8"/>
  <c r="AE176" i="8"/>
  <c r="AF84" i="8"/>
  <c r="AD84" i="8"/>
  <c r="AG73" i="8"/>
  <c r="AE73" i="8"/>
  <c r="AG72" i="8"/>
  <c r="AE72" i="8"/>
  <c r="AG71" i="8"/>
  <c r="AE71" i="8"/>
  <c r="AF168" i="8"/>
  <c r="AD168" i="8"/>
  <c r="AG157" i="8"/>
  <c r="AE157" i="8"/>
  <c r="AG156" i="8"/>
  <c r="AE156" i="8"/>
  <c r="AG155" i="8"/>
  <c r="AE155" i="8"/>
  <c r="AF210" i="8"/>
  <c r="AD210" i="8"/>
  <c r="AG199" i="8"/>
  <c r="AE199" i="8"/>
  <c r="AG198" i="8"/>
  <c r="AE198" i="8"/>
  <c r="AG197" i="8"/>
  <c r="AE197" i="8"/>
  <c r="AG210" i="8" l="1"/>
  <c r="AE231" i="8"/>
  <c r="AG189" i="8"/>
  <c r="AE210" i="8"/>
  <c r="AE84" i="8"/>
  <c r="AE126" i="8"/>
  <c r="AG231" i="8"/>
  <c r="AG84" i="8"/>
  <c r="AG126" i="8"/>
  <c r="AG105" i="8"/>
  <c r="AG168" i="8"/>
  <c r="AE105" i="8"/>
  <c r="AE189" i="8"/>
  <c r="AE168" i="8"/>
  <c r="D260" i="8" l="1"/>
  <c r="S271" i="8" l="1"/>
  <c r="R271" i="8"/>
  <c r="BF270" i="8"/>
  <c r="BG270" i="8" s="1"/>
  <c r="BH270" i="8" s="1"/>
  <c r="S269" i="8"/>
  <c r="R269" i="8"/>
  <c r="S268" i="8"/>
  <c r="R268" i="8"/>
  <c r="S267" i="8"/>
  <c r="R267" i="8"/>
  <c r="S266" i="8"/>
  <c r="R266" i="8"/>
  <c r="S265" i="8"/>
  <c r="R265" i="8"/>
  <c r="S264" i="8"/>
  <c r="R264" i="8"/>
  <c r="S263" i="8"/>
  <c r="R263" i="8"/>
  <c r="S262" i="8"/>
  <c r="R262" i="8"/>
  <c r="S261" i="8"/>
  <c r="R261" i="8"/>
  <c r="S260" i="8"/>
  <c r="R260" i="8"/>
  <c r="Q271" i="8"/>
  <c r="AT271" i="8" s="1"/>
  <c r="P271" i="8"/>
  <c r="AS271" i="8" s="1"/>
  <c r="O271" i="8"/>
  <c r="N271" i="8"/>
  <c r="M271" i="8"/>
  <c r="AP271" i="8" s="1"/>
  <c r="L271" i="8"/>
  <c r="AO271" i="8" s="1"/>
  <c r="K271" i="8"/>
  <c r="J271" i="8"/>
  <c r="AM271" i="8" s="1"/>
  <c r="I271" i="8"/>
  <c r="BC271" i="8" s="1"/>
  <c r="BD271" i="8" s="1"/>
  <c r="BE271" i="8" s="1"/>
  <c r="H271" i="8"/>
  <c r="E271" i="8"/>
  <c r="D271" i="8"/>
  <c r="AT270" i="8"/>
  <c r="AS270" i="8"/>
  <c r="AR270" i="8"/>
  <c r="AQ270" i="8"/>
  <c r="AP270" i="8"/>
  <c r="AO270" i="8"/>
  <c r="AM270" i="8"/>
  <c r="BC270" i="8"/>
  <c r="BD270" i="8" s="1"/>
  <c r="BE270" i="8" s="1"/>
  <c r="Q269" i="8"/>
  <c r="AT269" i="8" s="1"/>
  <c r="P269" i="8"/>
  <c r="AS269" i="8" s="1"/>
  <c r="O269" i="8"/>
  <c r="N269" i="8"/>
  <c r="M269" i="8"/>
  <c r="AP269" i="8" s="1"/>
  <c r="L269" i="8"/>
  <c r="AO269" i="8" s="1"/>
  <c r="K269" i="8"/>
  <c r="J269" i="8"/>
  <c r="AM269" i="8" s="1"/>
  <c r="I269" i="8"/>
  <c r="H269" i="8"/>
  <c r="E269" i="8"/>
  <c r="D269" i="8"/>
  <c r="Q268" i="8"/>
  <c r="AT268" i="8" s="1"/>
  <c r="P268" i="8"/>
  <c r="AS268" i="8" s="1"/>
  <c r="O268" i="8"/>
  <c r="N268" i="8"/>
  <c r="M268" i="8"/>
  <c r="AP268" i="8" s="1"/>
  <c r="L268" i="8"/>
  <c r="AO268" i="8" s="1"/>
  <c r="K268" i="8"/>
  <c r="J268" i="8"/>
  <c r="AM268" i="8" s="1"/>
  <c r="I268" i="8"/>
  <c r="BC268" i="8" s="1"/>
  <c r="BD268" i="8" s="1"/>
  <c r="BE268" i="8" s="1"/>
  <c r="H268" i="8"/>
  <c r="E268" i="8"/>
  <c r="D268" i="8"/>
  <c r="Q266" i="8"/>
  <c r="AT266" i="8" s="1"/>
  <c r="P266" i="8"/>
  <c r="AS266" i="8" s="1"/>
  <c r="O266" i="8"/>
  <c r="N266" i="8"/>
  <c r="M266" i="8"/>
  <c r="AP266" i="8" s="1"/>
  <c r="L266" i="8"/>
  <c r="AO266" i="8" s="1"/>
  <c r="K266" i="8"/>
  <c r="J266" i="8"/>
  <c r="AM266" i="8" s="1"/>
  <c r="I266" i="8"/>
  <c r="BC266" i="8" s="1"/>
  <c r="BD266" i="8" s="1"/>
  <c r="BE266" i="8" s="1"/>
  <c r="H266" i="8"/>
  <c r="E266" i="8"/>
  <c r="D266" i="8"/>
  <c r="Q265" i="8"/>
  <c r="AT265" i="8" s="1"/>
  <c r="P265" i="8"/>
  <c r="AS265" i="8" s="1"/>
  <c r="O265" i="8"/>
  <c r="N265" i="8"/>
  <c r="M265" i="8"/>
  <c r="AP265" i="8" s="1"/>
  <c r="L265" i="8"/>
  <c r="AO265" i="8" s="1"/>
  <c r="K265" i="8"/>
  <c r="J265" i="8"/>
  <c r="AM265" i="8" s="1"/>
  <c r="I265" i="8"/>
  <c r="BC265" i="8" s="1"/>
  <c r="BD265" i="8" s="1"/>
  <c r="BE265" i="8" s="1"/>
  <c r="H265" i="8"/>
  <c r="E265" i="8"/>
  <c r="D265" i="8"/>
  <c r="Q264" i="8"/>
  <c r="AT264" i="8" s="1"/>
  <c r="P264" i="8"/>
  <c r="AS264" i="8" s="1"/>
  <c r="O264" i="8"/>
  <c r="N264" i="8"/>
  <c r="M264" i="8"/>
  <c r="AP264" i="8" s="1"/>
  <c r="L264" i="8"/>
  <c r="AO264" i="8" s="1"/>
  <c r="K264" i="8"/>
  <c r="J264" i="8"/>
  <c r="AM264" i="8" s="1"/>
  <c r="I264" i="8"/>
  <c r="BC264" i="8" s="1"/>
  <c r="BD264" i="8" s="1"/>
  <c r="BE264" i="8" s="1"/>
  <c r="H264" i="8"/>
  <c r="E264" i="8"/>
  <c r="BF264" i="8" s="1"/>
  <c r="BG264" i="8" s="1"/>
  <c r="BH264" i="8" s="1"/>
  <c r="D264" i="8"/>
  <c r="Q263" i="8"/>
  <c r="AT263" i="8" s="1"/>
  <c r="P263" i="8"/>
  <c r="AS263" i="8" s="1"/>
  <c r="O263" i="8"/>
  <c r="N263" i="8"/>
  <c r="M263" i="8"/>
  <c r="AP263" i="8" s="1"/>
  <c r="L263" i="8"/>
  <c r="AO263" i="8" s="1"/>
  <c r="K263" i="8"/>
  <c r="J263" i="8"/>
  <c r="AM263" i="8" s="1"/>
  <c r="I263" i="8"/>
  <c r="BC263" i="8" s="1"/>
  <c r="BD263" i="8" s="1"/>
  <c r="BE263" i="8" s="1"/>
  <c r="H263" i="8"/>
  <c r="E263" i="8"/>
  <c r="D263" i="8"/>
  <c r="Q262" i="8"/>
  <c r="AT262" i="8" s="1"/>
  <c r="P262" i="8"/>
  <c r="AS262" i="8" s="1"/>
  <c r="O262" i="8"/>
  <c r="N262" i="8"/>
  <c r="M262" i="8"/>
  <c r="AP262" i="8" s="1"/>
  <c r="L262" i="8"/>
  <c r="AO262" i="8" s="1"/>
  <c r="K262" i="8"/>
  <c r="J262" i="8"/>
  <c r="AM262" i="8" s="1"/>
  <c r="I262" i="8"/>
  <c r="BC262" i="8" s="1"/>
  <c r="BD262" i="8" s="1"/>
  <c r="BE262" i="8" s="1"/>
  <c r="H262" i="8"/>
  <c r="E262" i="8"/>
  <c r="D262" i="8"/>
  <c r="Q261" i="8"/>
  <c r="AT261" i="8" s="1"/>
  <c r="P261" i="8"/>
  <c r="AS261" i="8" s="1"/>
  <c r="O261" i="8"/>
  <c r="N261" i="8"/>
  <c r="M261" i="8"/>
  <c r="AP261" i="8" s="1"/>
  <c r="L261" i="8"/>
  <c r="AO261" i="8" s="1"/>
  <c r="K261" i="8"/>
  <c r="J261" i="8"/>
  <c r="AM261" i="8" s="1"/>
  <c r="I261" i="8"/>
  <c r="BC261" i="8" s="1"/>
  <c r="BD261" i="8" s="1"/>
  <c r="BE261" i="8" s="1"/>
  <c r="H261" i="8"/>
  <c r="E261" i="8"/>
  <c r="D261" i="8"/>
  <c r="Q260" i="8"/>
  <c r="AT260" i="8" s="1"/>
  <c r="P260" i="8"/>
  <c r="AS260" i="8" s="1"/>
  <c r="O260" i="8"/>
  <c r="N260" i="8"/>
  <c r="M260" i="8"/>
  <c r="L260" i="8"/>
  <c r="K260" i="8"/>
  <c r="J260" i="8"/>
  <c r="AM260" i="8" s="1"/>
  <c r="I260" i="8"/>
  <c r="BC260" i="8" s="1"/>
  <c r="BD260" i="8" s="1"/>
  <c r="BE260" i="8" s="1"/>
  <c r="H260" i="8"/>
  <c r="E260" i="8"/>
  <c r="BF260" i="8" s="1"/>
  <c r="BG260" i="8" s="1"/>
  <c r="BH260" i="8" s="1"/>
  <c r="Q267" i="8"/>
  <c r="AT267" i="8" s="1"/>
  <c r="P267" i="8"/>
  <c r="AS267" i="8" s="1"/>
  <c r="O267" i="8"/>
  <c r="N267" i="8"/>
  <c r="M267" i="8"/>
  <c r="AP267" i="8" s="1"/>
  <c r="L267" i="8"/>
  <c r="K267" i="8"/>
  <c r="J267" i="8"/>
  <c r="AM267" i="8" s="1"/>
  <c r="I267" i="8"/>
  <c r="BC267" i="8" s="1"/>
  <c r="BD267" i="8" s="1"/>
  <c r="BE267" i="8" s="1"/>
  <c r="H267" i="8"/>
  <c r="E267" i="8"/>
  <c r="D267" i="8"/>
  <c r="BF262" i="8" l="1"/>
  <c r="BG262" i="8" s="1"/>
  <c r="BH262" i="8" s="1"/>
  <c r="BF266" i="8"/>
  <c r="BG266" i="8" s="1"/>
  <c r="BH266" i="8" s="1"/>
  <c r="BF271" i="8"/>
  <c r="BG271" i="8" s="1"/>
  <c r="BH271" i="8" s="1"/>
  <c r="U260" i="8"/>
  <c r="BF261" i="8"/>
  <c r="BG261" i="8" s="1"/>
  <c r="BH261" i="8" s="1"/>
  <c r="BF265" i="8"/>
  <c r="BG265" i="8" s="1"/>
  <c r="BH265" i="8" s="1"/>
  <c r="AQ260" i="8"/>
  <c r="T260" i="8"/>
  <c r="AQ262" i="8"/>
  <c r="T262" i="8"/>
  <c r="AQ264" i="8"/>
  <c r="T264" i="8"/>
  <c r="AQ266" i="8"/>
  <c r="T266" i="8"/>
  <c r="AQ269" i="8"/>
  <c r="T269" i="8"/>
  <c r="AR260" i="8"/>
  <c r="AR266" i="8"/>
  <c r="U266" i="8"/>
  <c r="AR269" i="8"/>
  <c r="U269" i="8"/>
  <c r="AQ261" i="8"/>
  <c r="T261" i="8"/>
  <c r="AQ263" i="8"/>
  <c r="T263" i="8"/>
  <c r="AQ265" i="8"/>
  <c r="T265" i="8"/>
  <c r="AQ268" i="8"/>
  <c r="T268" i="8"/>
  <c r="AQ271" i="8"/>
  <c r="T271" i="8"/>
  <c r="AR262" i="8"/>
  <c r="U262" i="8"/>
  <c r="AQ267" i="8"/>
  <c r="T267" i="8"/>
  <c r="AR261" i="8"/>
  <c r="U261" i="8"/>
  <c r="BF263" i="8"/>
  <c r="BG263" i="8" s="1"/>
  <c r="BH263" i="8" s="1"/>
  <c r="AR263" i="8"/>
  <c r="U263" i="8"/>
  <c r="AR265" i="8"/>
  <c r="U265" i="8"/>
  <c r="BF268" i="8"/>
  <c r="BG268" i="8" s="1"/>
  <c r="BH268" i="8" s="1"/>
  <c r="AR268" i="8"/>
  <c r="U268" i="8"/>
  <c r="AR271" i="8"/>
  <c r="U271" i="8"/>
  <c r="AR264" i="8"/>
  <c r="U264" i="8"/>
  <c r="BF267" i="8"/>
  <c r="BG267" i="8" s="1"/>
  <c r="BH267" i="8" s="1"/>
  <c r="AR267" i="8"/>
  <c r="U267" i="8"/>
  <c r="AZ269" i="8"/>
  <c r="BA269" i="8" s="1"/>
  <c r="BB269" i="8" s="1"/>
  <c r="AZ260" i="8"/>
  <c r="BA260" i="8" s="1"/>
  <c r="BB260" i="8" s="1"/>
  <c r="BF269" i="8"/>
  <c r="BG269" i="8" s="1"/>
  <c r="BH269" i="8" s="1"/>
  <c r="BC269" i="8"/>
  <c r="BD269" i="8" s="1"/>
  <c r="BE269" i="8" s="1"/>
  <c r="AL271" i="8"/>
  <c r="AN260" i="8"/>
  <c r="AN262" i="8"/>
  <c r="AZ262" i="8"/>
  <c r="BA262" i="8" s="1"/>
  <c r="BB262" i="8" s="1"/>
  <c r="AN264" i="8"/>
  <c r="AZ264" i="8"/>
  <c r="BA264" i="8" s="1"/>
  <c r="BB264" i="8" s="1"/>
  <c r="AN266" i="8"/>
  <c r="AZ266" i="8"/>
  <c r="BA266" i="8" s="1"/>
  <c r="BB266" i="8" s="1"/>
  <c r="AN269" i="8"/>
  <c r="AN271" i="8"/>
  <c r="AZ271" i="8"/>
  <c r="BA271" i="8" s="1"/>
  <c r="BB271" i="8" s="1"/>
  <c r="AN261" i="8"/>
  <c r="AZ261" i="8"/>
  <c r="BA261" i="8" s="1"/>
  <c r="BB261" i="8" s="1"/>
  <c r="AL262" i="8"/>
  <c r="AN263" i="8"/>
  <c r="AZ263" i="8"/>
  <c r="BA263" i="8" s="1"/>
  <c r="BB263" i="8" s="1"/>
  <c r="AN265" i="8"/>
  <c r="AZ265" i="8"/>
  <c r="BA265" i="8" s="1"/>
  <c r="BB265" i="8" s="1"/>
  <c r="AN268" i="8"/>
  <c r="AZ268" i="8"/>
  <c r="BA268" i="8" s="1"/>
  <c r="BB268" i="8" s="1"/>
  <c r="AN270" i="8"/>
  <c r="AZ270" i="8"/>
  <c r="BA270" i="8" s="1"/>
  <c r="BB270" i="8" s="1"/>
  <c r="AN267" i="8"/>
  <c r="AZ267" i="8"/>
  <c r="BA267" i="8" s="1"/>
  <c r="BB267" i="8" s="1"/>
  <c r="AO260" i="8"/>
  <c r="AP260" i="8"/>
  <c r="AP273" i="8" s="1"/>
  <c r="AO267" i="8"/>
  <c r="AL261" i="8"/>
  <c r="AL263" i="8"/>
  <c r="AL265" i="8"/>
  <c r="AL268" i="8"/>
  <c r="AL270" i="8"/>
  <c r="AK267" i="8"/>
  <c r="AL269" i="8"/>
  <c r="AL267" i="8"/>
  <c r="AK260" i="8"/>
  <c r="AK262" i="8"/>
  <c r="AU262" i="8" s="1"/>
  <c r="AK264" i="8"/>
  <c r="AK266" i="8"/>
  <c r="AK269" i="8"/>
  <c r="AU269" i="8" s="1"/>
  <c r="AK271" i="8"/>
  <c r="AL264" i="8"/>
  <c r="AL266" i="8"/>
  <c r="AL260" i="8"/>
  <c r="AS273" i="8"/>
  <c r="AT273" i="8"/>
  <c r="AM273" i="8"/>
  <c r="AK261" i="8"/>
  <c r="AK263" i="8"/>
  <c r="AK265" i="8"/>
  <c r="AU265" i="8" s="1"/>
  <c r="AK268" i="8"/>
  <c r="AK270" i="8"/>
  <c r="AU270" i="8" s="1"/>
  <c r="Q252" i="8"/>
  <c r="P252" i="8"/>
  <c r="O252" i="8"/>
  <c r="N252" i="8"/>
  <c r="M252" i="8"/>
  <c r="L252" i="8"/>
  <c r="K252" i="8"/>
  <c r="J252" i="8"/>
  <c r="I252" i="8"/>
  <c r="H252" i="8"/>
  <c r="E252" i="8"/>
  <c r="D252" i="8"/>
  <c r="AY250" i="8"/>
  <c r="AY249" i="8"/>
  <c r="AY248" i="8"/>
  <c r="AY247" i="8"/>
  <c r="AY246" i="8"/>
  <c r="AY245" i="8"/>
  <c r="AY244" i="8"/>
  <c r="AY243" i="8"/>
  <c r="AY242" i="8"/>
  <c r="AY241" i="8"/>
  <c r="AY240" i="8"/>
  <c r="AR273" i="8" l="1"/>
  <c r="AU263" i="8"/>
  <c r="AX263" i="8" s="1"/>
  <c r="AU268" i="8"/>
  <c r="AX268" i="8" s="1"/>
  <c r="AQ273" i="8"/>
  <c r="AU261" i="8"/>
  <c r="AX261" i="8" s="1"/>
  <c r="AU271" i="8"/>
  <c r="AX271" i="8" s="1"/>
  <c r="AU266" i="8"/>
  <c r="AX266" i="8" s="1"/>
  <c r="AU264" i="8"/>
  <c r="AX264" i="8" s="1"/>
  <c r="AV269" i="8"/>
  <c r="AY269" i="8" s="1"/>
  <c r="AV260" i="8"/>
  <c r="AV261" i="8"/>
  <c r="AY261" i="8" s="1"/>
  <c r="AV271" i="8"/>
  <c r="AY271" i="8" s="1"/>
  <c r="AO273" i="8"/>
  <c r="AV262" i="8"/>
  <c r="AY262" i="8" s="1"/>
  <c r="AU260" i="8"/>
  <c r="AU267" i="8"/>
  <c r="AX267" i="8" s="1"/>
  <c r="AV265" i="8"/>
  <c r="AY265" i="8" s="1"/>
  <c r="AV263" i="8"/>
  <c r="AY263" i="8" s="1"/>
  <c r="AV267" i="8"/>
  <c r="AY267" i="8" s="1"/>
  <c r="AN273" i="8"/>
  <c r="AV266" i="8"/>
  <c r="AY266" i="8" s="1"/>
  <c r="AV270" i="8"/>
  <c r="AY270" i="8" s="1"/>
  <c r="AV268" i="8"/>
  <c r="AY268" i="8" s="1"/>
  <c r="R253" i="8"/>
  <c r="R254" i="8" s="1"/>
  <c r="AY239" i="8"/>
  <c r="S253" i="8"/>
  <c r="S254" i="8" s="1"/>
  <c r="AX265" i="8"/>
  <c r="AX262" i="8"/>
  <c r="AX270" i="8"/>
  <c r="AL273" i="8"/>
  <c r="AK273" i="8"/>
  <c r="AX269" i="8"/>
  <c r="AB239" i="8"/>
  <c r="AX239" i="8"/>
  <c r="AB248" i="8"/>
  <c r="AX248" i="8"/>
  <c r="AB241" i="8"/>
  <c r="AX241" i="8"/>
  <c r="AB245" i="8"/>
  <c r="AX245" i="8"/>
  <c r="AB249" i="8"/>
  <c r="AX249" i="8"/>
  <c r="AB243" i="8"/>
  <c r="AX243" i="8"/>
  <c r="AB244" i="8"/>
  <c r="AX244" i="8"/>
  <c r="AB247" i="8"/>
  <c r="AX247" i="8"/>
  <c r="AB250" i="8"/>
  <c r="AX250" i="8"/>
  <c r="AB240" i="8"/>
  <c r="AX240" i="8"/>
  <c r="AB242" i="8"/>
  <c r="AX242" i="8"/>
  <c r="AB246" i="8"/>
  <c r="AX246" i="8"/>
  <c r="AV264" i="8"/>
  <c r="AY264" i="8" s="1"/>
  <c r="S252" i="8"/>
  <c r="W239" i="8"/>
  <c r="X239" i="8" s="1"/>
  <c r="Y239" i="8"/>
  <c r="AA239" i="8"/>
  <c r="W240" i="8"/>
  <c r="X240" i="8" s="1"/>
  <c r="Y240" i="8"/>
  <c r="AA240" i="8"/>
  <c r="W241" i="8"/>
  <c r="X241" i="8" s="1"/>
  <c r="Y241" i="8"/>
  <c r="AA241" i="8"/>
  <c r="W242" i="8"/>
  <c r="X242" i="8" s="1"/>
  <c r="Y242" i="8"/>
  <c r="AA242" i="8"/>
  <c r="W243" i="8"/>
  <c r="X243" i="8" s="1"/>
  <c r="Y243" i="8"/>
  <c r="AA243" i="8"/>
  <c r="W244" i="8"/>
  <c r="X244" i="8" s="1"/>
  <c r="Y244" i="8"/>
  <c r="AA244" i="8"/>
  <c r="W245" i="8"/>
  <c r="X245" i="8" s="1"/>
  <c r="Y245" i="8"/>
  <c r="AA245" i="8"/>
  <c r="W246" i="8"/>
  <c r="X246" i="8" s="1"/>
  <c r="Y246" i="8"/>
  <c r="AA246" i="8"/>
  <c r="W247" i="8"/>
  <c r="X247" i="8" s="1"/>
  <c r="Y247" i="8"/>
  <c r="AA247" i="8"/>
  <c r="W248" i="8"/>
  <c r="X248" i="8" s="1"/>
  <c r="Y248" i="8"/>
  <c r="AA248" i="8"/>
  <c r="W249" i="8"/>
  <c r="X249" i="8" s="1"/>
  <c r="Y249" i="8"/>
  <c r="AA249" i="8"/>
  <c r="W250" i="8"/>
  <c r="X250" i="8" s="1"/>
  <c r="Y250" i="8"/>
  <c r="AA250" i="8"/>
  <c r="R252" i="8"/>
  <c r="W252" i="8" s="1"/>
  <c r="X252" i="8" s="1"/>
  <c r="Z239" i="8"/>
  <c r="Z240" i="8"/>
  <c r="Z241" i="8"/>
  <c r="Z242" i="8"/>
  <c r="Z243" i="8"/>
  <c r="Z244" i="8"/>
  <c r="Z245" i="8"/>
  <c r="Z246" i="8"/>
  <c r="Z247" i="8"/>
  <c r="Z248" i="8"/>
  <c r="Z249" i="8"/>
  <c r="Z250" i="8"/>
  <c r="AU273" i="8" l="1"/>
  <c r="AV273" i="8"/>
  <c r="AA252" i="8"/>
  <c r="Y252" i="8"/>
  <c r="AB252" i="8"/>
  <c r="Z252" i="8"/>
  <c r="AD210" i="6" l="1"/>
  <c r="AB210" i="6"/>
  <c r="AE208" i="6"/>
  <c r="AC208" i="6"/>
  <c r="AE207" i="6"/>
  <c r="AC207" i="6"/>
  <c r="AE206" i="6"/>
  <c r="AC206" i="6"/>
  <c r="AE205" i="6"/>
  <c r="AC205" i="6"/>
  <c r="AE204" i="6"/>
  <c r="AC204" i="6"/>
  <c r="AE203" i="6"/>
  <c r="AC203" i="6"/>
  <c r="AD189" i="6"/>
  <c r="AB189" i="6"/>
  <c r="AE187" i="6"/>
  <c r="AC187" i="6"/>
  <c r="AE186" i="6"/>
  <c r="AC186" i="6"/>
  <c r="AE185" i="6"/>
  <c r="AC185" i="6"/>
  <c r="AE184" i="6"/>
  <c r="AC184" i="6"/>
  <c r="AE183" i="6"/>
  <c r="AC183" i="6"/>
  <c r="AE182" i="6"/>
  <c r="AC182" i="6"/>
  <c r="AD168" i="6"/>
  <c r="AB168" i="6"/>
  <c r="AE166" i="6"/>
  <c r="AC166" i="6"/>
  <c r="AE165" i="6"/>
  <c r="AC165" i="6"/>
  <c r="AE164" i="6"/>
  <c r="AC164" i="6"/>
  <c r="AE163" i="6"/>
  <c r="AC163" i="6"/>
  <c r="AE162" i="6"/>
  <c r="AE168" i="6" s="1"/>
  <c r="AC162" i="6"/>
  <c r="AE161" i="6"/>
  <c r="AC161" i="6"/>
  <c r="AC168" i="6" l="1"/>
  <c r="AC189" i="6"/>
  <c r="AE210" i="6"/>
  <c r="AC210" i="6"/>
  <c r="AE189" i="6"/>
  <c r="Q231" i="8" l="1"/>
  <c r="P231" i="8"/>
  <c r="O231" i="8"/>
  <c r="N231" i="8"/>
  <c r="M231" i="8"/>
  <c r="L231" i="8"/>
  <c r="K231" i="8"/>
  <c r="J231" i="8"/>
  <c r="I231" i="8"/>
  <c r="H231" i="8"/>
  <c r="E231" i="8"/>
  <c r="D231" i="8"/>
  <c r="AY229" i="8"/>
  <c r="AY228" i="8"/>
  <c r="AY227" i="8"/>
  <c r="AY226" i="8"/>
  <c r="AY225" i="8"/>
  <c r="AY224" i="8"/>
  <c r="AY223" i="8"/>
  <c r="AY222" i="8"/>
  <c r="AX222" i="8"/>
  <c r="AY221" i="8"/>
  <c r="AY220" i="8"/>
  <c r="AY219" i="8"/>
  <c r="R232" i="8" l="1"/>
  <c r="R233" i="8" s="1"/>
  <c r="AY218" i="8"/>
  <c r="S232" i="8"/>
  <c r="S233" i="8" s="1"/>
  <c r="AB227" i="8"/>
  <c r="AX227" i="8"/>
  <c r="AB223" i="8"/>
  <c r="AX223" i="8"/>
  <c r="AB220" i="8"/>
  <c r="AX220" i="8"/>
  <c r="AB224" i="8"/>
  <c r="AX224" i="8"/>
  <c r="AB228" i="8"/>
  <c r="AX228" i="8"/>
  <c r="AB218" i="8"/>
  <c r="AX218" i="8"/>
  <c r="AB221" i="8"/>
  <c r="AX221" i="8"/>
  <c r="AB225" i="8"/>
  <c r="AX225" i="8"/>
  <c r="AB229" i="8"/>
  <c r="AX229" i="8"/>
  <c r="AB219" i="8"/>
  <c r="AX219" i="8"/>
  <c r="AB226" i="8"/>
  <c r="AX226" i="8"/>
  <c r="AB222" i="8"/>
  <c r="W222" i="8"/>
  <c r="X222" i="8" s="1"/>
  <c r="S231" i="8"/>
  <c r="W218" i="8"/>
  <c r="X218" i="8" s="1"/>
  <c r="W219" i="8"/>
  <c r="X219" i="8" s="1"/>
  <c r="W220" i="8"/>
  <c r="X220" i="8" s="1"/>
  <c r="W221" i="8"/>
  <c r="X221" i="8" s="1"/>
  <c r="W223" i="8"/>
  <c r="X223" i="8" s="1"/>
  <c r="W224" i="8"/>
  <c r="X224" i="8" s="1"/>
  <c r="W225" i="8"/>
  <c r="X225" i="8" s="1"/>
  <c r="W226" i="8"/>
  <c r="X226" i="8" s="1"/>
  <c r="W227" i="8"/>
  <c r="X227" i="8" s="1"/>
  <c r="W228" i="8"/>
  <c r="X228" i="8" s="1"/>
  <c r="W229" i="8"/>
  <c r="X229" i="8" s="1"/>
  <c r="Y218" i="8"/>
  <c r="Y219" i="8"/>
  <c r="Y220" i="8"/>
  <c r="Y221" i="8"/>
  <c r="Y222" i="8"/>
  <c r="Y223" i="8"/>
  <c r="Y224" i="8"/>
  <c r="Y225" i="8"/>
  <c r="Y226" i="8"/>
  <c r="Y227" i="8"/>
  <c r="Y228" i="8"/>
  <c r="Y229" i="8"/>
  <c r="R231" i="8"/>
  <c r="Y231" i="8" s="1"/>
  <c r="Z218" i="8"/>
  <c r="Z219" i="8"/>
  <c r="Z220" i="8"/>
  <c r="Z221" i="8"/>
  <c r="Z222" i="8"/>
  <c r="Z223" i="8"/>
  <c r="Z224" i="8"/>
  <c r="Z225" i="8"/>
  <c r="Z226" i="8"/>
  <c r="Z227" i="8"/>
  <c r="Z228" i="8"/>
  <c r="Z229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X199" i="8"/>
  <c r="AY199" i="8"/>
  <c r="AA231" i="8" l="1"/>
  <c r="W231" i="8"/>
  <c r="X231" i="8" s="1"/>
  <c r="Z231" i="8"/>
  <c r="AB231" i="8"/>
  <c r="AX10" i="8"/>
  <c r="AY10" i="8"/>
  <c r="AY208" i="8" l="1"/>
  <c r="AX208" i="8"/>
  <c r="AY207" i="8"/>
  <c r="AX207" i="8"/>
  <c r="AY206" i="8"/>
  <c r="AX206" i="8"/>
  <c r="AY205" i="8"/>
  <c r="AX205" i="8"/>
  <c r="AY204" i="8"/>
  <c r="AX204" i="8"/>
  <c r="AY203" i="8"/>
  <c r="AX203" i="8"/>
  <c r="AY202" i="8"/>
  <c r="AX202" i="8"/>
  <c r="AY201" i="8"/>
  <c r="AX201" i="8"/>
  <c r="AY200" i="8"/>
  <c r="AX200" i="8"/>
  <c r="AY198" i="8"/>
  <c r="AX198" i="8"/>
  <c r="AX9" i="8"/>
  <c r="AY9" i="8"/>
  <c r="AX260" i="8" l="1"/>
  <c r="O294" i="8" l="1"/>
  <c r="N294" i="8"/>
  <c r="M294" i="8"/>
  <c r="L294" i="8"/>
  <c r="K294" i="8"/>
  <c r="K295" i="8" s="1"/>
  <c r="J294" i="8"/>
  <c r="J295" i="8" s="1"/>
  <c r="I294" i="8"/>
  <c r="H294" i="8"/>
  <c r="G294" i="8"/>
  <c r="F294" i="8"/>
  <c r="E294" i="8"/>
  <c r="D294" i="8"/>
  <c r="F295" i="8" s="1"/>
  <c r="Q292" i="8"/>
  <c r="AX292" i="8" s="1"/>
  <c r="AY292" i="8" s="1"/>
  <c r="AZ292" i="8" s="1"/>
  <c r="P292" i="8"/>
  <c r="Q291" i="8"/>
  <c r="AX291" i="8" s="1"/>
  <c r="AY291" i="8" s="1"/>
  <c r="AZ291" i="8" s="1"/>
  <c r="P291" i="8"/>
  <c r="Q290" i="8"/>
  <c r="AX290" i="8" s="1"/>
  <c r="AY290" i="8" s="1"/>
  <c r="AZ290" i="8" s="1"/>
  <c r="P290" i="8"/>
  <c r="Q289" i="8"/>
  <c r="AX289" i="8" s="1"/>
  <c r="AY289" i="8" s="1"/>
  <c r="AZ289" i="8" s="1"/>
  <c r="P289" i="8"/>
  <c r="Q288" i="8"/>
  <c r="AX288" i="8" s="1"/>
  <c r="AY288" i="8" s="1"/>
  <c r="AZ288" i="8" s="1"/>
  <c r="P288" i="8"/>
  <c r="Q287" i="8"/>
  <c r="AX287" i="8" s="1"/>
  <c r="AY287" i="8" s="1"/>
  <c r="AZ287" i="8" s="1"/>
  <c r="P287" i="8"/>
  <c r="Q286" i="8"/>
  <c r="AX286" i="8" s="1"/>
  <c r="AY286" i="8" s="1"/>
  <c r="AZ286" i="8" s="1"/>
  <c r="P286" i="8"/>
  <c r="Q285" i="8"/>
  <c r="AX285" i="8" s="1"/>
  <c r="AY285" i="8" s="1"/>
  <c r="AZ285" i="8" s="1"/>
  <c r="P285" i="8"/>
  <c r="Q284" i="8"/>
  <c r="AX284" i="8" s="1"/>
  <c r="AY284" i="8" s="1"/>
  <c r="AZ284" i="8" s="1"/>
  <c r="P284" i="8"/>
  <c r="Q283" i="8"/>
  <c r="AX283" i="8" s="1"/>
  <c r="AY283" i="8" s="1"/>
  <c r="AZ283" i="8" s="1"/>
  <c r="P283" i="8"/>
  <c r="Q282" i="8"/>
  <c r="AX282" i="8" s="1"/>
  <c r="AY282" i="8" s="1"/>
  <c r="AZ282" i="8" s="1"/>
  <c r="P282" i="8"/>
  <c r="Q281" i="8"/>
  <c r="P281" i="8"/>
  <c r="Q210" i="8"/>
  <c r="P210" i="8"/>
  <c r="O210" i="8"/>
  <c r="N210" i="8"/>
  <c r="M210" i="8"/>
  <c r="L210" i="8"/>
  <c r="K210" i="8"/>
  <c r="J210" i="8"/>
  <c r="I210" i="8"/>
  <c r="H210" i="8"/>
  <c r="E210" i="8"/>
  <c r="D210" i="8"/>
  <c r="Y208" i="8"/>
  <c r="AB207" i="8"/>
  <c r="Z207" i="8"/>
  <c r="Y207" i="8"/>
  <c r="AB206" i="8"/>
  <c r="AA206" i="8"/>
  <c r="Z206" i="8"/>
  <c r="Y206" i="8"/>
  <c r="AB205" i="8"/>
  <c r="AA205" i="8"/>
  <c r="Z205" i="8"/>
  <c r="W205" i="8"/>
  <c r="X205" i="8" s="1"/>
  <c r="Y205" i="8"/>
  <c r="Y204" i="8"/>
  <c r="AB203" i="8"/>
  <c r="Z203" i="8"/>
  <c r="Y203" i="8"/>
  <c r="AB202" i="8"/>
  <c r="AA202" i="8"/>
  <c r="Z202" i="8"/>
  <c r="W202" i="8"/>
  <c r="X202" i="8" s="1"/>
  <c r="Y202" i="8"/>
  <c r="AB201" i="8"/>
  <c r="AA201" i="8"/>
  <c r="Z201" i="8"/>
  <c r="W201" i="8"/>
  <c r="X201" i="8" s="1"/>
  <c r="Y201" i="8"/>
  <c r="AB200" i="8"/>
  <c r="AA200" i="8"/>
  <c r="Z200" i="8"/>
  <c r="W200" i="8"/>
  <c r="X200" i="8" s="1"/>
  <c r="Y200" i="8"/>
  <c r="AB199" i="8"/>
  <c r="AA199" i="8"/>
  <c r="Z199" i="8"/>
  <c r="W199" i="8"/>
  <c r="X199" i="8" s="1"/>
  <c r="Y199" i="8"/>
  <c r="AB198" i="8"/>
  <c r="AA198" i="8"/>
  <c r="Z198" i="8"/>
  <c r="W198" i="8"/>
  <c r="X198" i="8" s="1"/>
  <c r="Y198" i="8"/>
  <c r="R211" i="8"/>
  <c r="R212" i="8" s="1"/>
  <c r="Q189" i="8"/>
  <c r="P189" i="8"/>
  <c r="O189" i="8"/>
  <c r="N189" i="8"/>
  <c r="M189" i="8"/>
  <c r="L189" i="8"/>
  <c r="K189" i="8"/>
  <c r="J189" i="8"/>
  <c r="I189" i="8"/>
  <c r="H189" i="8"/>
  <c r="E189" i="8"/>
  <c r="D189" i="8"/>
  <c r="AY187" i="8"/>
  <c r="AY186" i="8"/>
  <c r="AY185" i="8"/>
  <c r="AY184" i="8"/>
  <c r="AY183" i="8"/>
  <c r="AY182" i="8"/>
  <c r="AY181" i="8"/>
  <c r="AY180" i="8"/>
  <c r="AY179" i="8"/>
  <c r="AY178" i="8"/>
  <c r="AY177" i="8"/>
  <c r="Q168" i="8"/>
  <c r="P168" i="8"/>
  <c r="O168" i="8"/>
  <c r="N168" i="8"/>
  <c r="M168" i="8"/>
  <c r="L168" i="8"/>
  <c r="K168" i="8"/>
  <c r="J168" i="8"/>
  <c r="I168" i="8"/>
  <c r="H168" i="8"/>
  <c r="E168" i="8"/>
  <c r="D168" i="8"/>
  <c r="AY166" i="8"/>
  <c r="AY165" i="8"/>
  <c r="AY164" i="8"/>
  <c r="AY163" i="8"/>
  <c r="AY162" i="8"/>
  <c r="AY161" i="8"/>
  <c r="AY160" i="8"/>
  <c r="AY159" i="8"/>
  <c r="AY158" i="8"/>
  <c r="AY157" i="8"/>
  <c r="AY156" i="8"/>
  <c r="Q147" i="8"/>
  <c r="P147" i="8"/>
  <c r="O147" i="8"/>
  <c r="N147" i="8"/>
  <c r="M147" i="8"/>
  <c r="L147" i="8"/>
  <c r="K147" i="8"/>
  <c r="J147" i="8"/>
  <c r="I147" i="8"/>
  <c r="H147" i="8"/>
  <c r="E147" i="8"/>
  <c r="D147" i="8"/>
  <c r="AY145" i="8"/>
  <c r="AY144" i="8"/>
  <c r="AY143" i="8"/>
  <c r="AY142" i="8"/>
  <c r="AY141" i="8"/>
  <c r="AY140" i="8"/>
  <c r="AY139" i="8"/>
  <c r="AY138" i="8"/>
  <c r="AY137" i="8"/>
  <c r="AY136" i="8"/>
  <c r="AY135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E126" i="8"/>
  <c r="D126" i="8"/>
  <c r="AB124" i="8"/>
  <c r="AA124" i="8"/>
  <c r="Z124" i="8"/>
  <c r="Y124" i="8"/>
  <c r="W124" i="8"/>
  <c r="X124" i="8" s="1"/>
  <c r="AY124" i="8"/>
  <c r="AX124" i="8"/>
  <c r="AB123" i="8"/>
  <c r="AA123" i="8"/>
  <c r="Z123" i="8"/>
  <c r="Y123" i="8"/>
  <c r="W123" i="8"/>
  <c r="X123" i="8" s="1"/>
  <c r="AY123" i="8"/>
  <c r="AX123" i="8"/>
  <c r="AB122" i="8"/>
  <c r="AA122" i="8"/>
  <c r="Z122" i="8"/>
  <c r="Y122" i="8"/>
  <c r="W122" i="8"/>
  <c r="X122" i="8" s="1"/>
  <c r="AY122" i="8"/>
  <c r="AX122" i="8"/>
  <c r="AB121" i="8"/>
  <c r="AA121" i="8"/>
  <c r="Z121" i="8"/>
  <c r="Y121" i="8"/>
  <c r="W121" i="8"/>
  <c r="X121" i="8" s="1"/>
  <c r="AY121" i="8"/>
  <c r="AX121" i="8"/>
  <c r="AB120" i="8"/>
  <c r="AA120" i="8"/>
  <c r="Z120" i="8"/>
  <c r="Y120" i="8"/>
  <c r="W120" i="8"/>
  <c r="X120" i="8" s="1"/>
  <c r="AY120" i="8"/>
  <c r="AX120" i="8"/>
  <c r="AB119" i="8"/>
  <c r="AA119" i="8"/>
  <c r="Z119" i="8"/>
  <c r="Y119" i="8"/>
  <c r="W119" i="8"/>
  <c r="X119" i="8" s="1"/>
  <c r="AY119" i="8"/>
  <c r="AX119" i="8"/>
  <c r="AB118" i="8"/>
  <c r="AA118" i="8"/>
  <c r="Z118" i="8"/>
  <c r="Y118" i="8"/>
  <c r="W118" i="8"/>
  <c r="X118" i="8" s="1"/>
  <c r="AY118" i="8"/>
  <c r="AX118" i="8"/>
  <c r="AB117" i="8"/>
  <c r="AA117" i="8"/>
  <c r="Z117" i="8"/>
  <c r="Y117" i="8"/>
  <c r="W117" i="8"/>
  <c r="X117" i="8" s="1"/>
  <c r="AY117" i="8"/>
  <c r="AX117" i="8"/>
  <c r="AB116" i="8"/>
  <c r="AA116" i="8"/>
  <c r="Z116" i="8"/>
  <c r="Y116" i="8"/>
  <c r="W116" i="8"/>
  <c r="X116" i="8" s="1"/>
  <c r="AY116" i="8"/>
  <c r="AX116" i="8"/>
  <c r="AB115" i="8"/>
  <c r="AA115" i="8"/>
  <c r="Z115" i="8"/>
  <c r="Y115" i="8"/>
  <c r="W115" i="8"/>
  <c r="X115" i="8" s="1"/>
  <c r="AY115" i="8"/>
  <c r="AX115" i="8"/>
  <c r="AB114" i="8"/>
  <c r="AA114" i="8"/>
  <c r="Z114" i="8"/>
  <c r="Y114" i="8"/>
  <c r="W114" i="8"/>
  <c r="X114" i="8" s="1"/>
  <c r="AY114" i="8"/>
  <c r="AX114" i="8"/>
  <c r="AB113" i="8"/>
  <c r="AA113" i="8"/>
  <c r="Z113" i="8"/>
  <c r="Y113" i="8"/>
  <c r="W113" i="8"/>
  <c r="X113" i="8" s="1"/>
  <c r="Q105" i="8"/>
  <c r="P105" i="8"/>
  <c r="O105" i="8"/>
  <c r="N105" i="8"/>
  <c r="M105" i="8"/>
  <c r="L105" i="8"/>
  <c r="K105" i="8"/>
  <c r="J105" i="8"/>
  <c r="I105" i="8"/>
  <c r="H105" i="8"/>
  <c r="E105" i="8"/>
  <c r="D105" i="8"/>
  <c r="AY103" i="8"/>
  <c r="AY102" i="8"/>
  <c r="AY101" i="8"/>
  <c r="AY100" i="8"/>
  <c r="AY99" i="8"/>
  <c r="AY98" i="8"/>
  <c r="AY97" i="8"/>
  <c r="AY96" i="8"/>
  <c r="AY95" i="8"/>
  <c r="AY94" i="8"/>
  <c r="AY93" i="8"/>
  <c r="Q84" i="8"/>
  <c r="P84" i="8"/>
  <c r="O84" i="8"/>
  <c r="N84" i="8"/>
  <c r="M84" i="8"/>
  <c r="L84" i="8"/>
  <c r="K84" i="8"/>
  <c r="J84" i="8"/>
  <c r="I84" i="8"/>
  <c r="H84" i="8"/>
  <c r="E84" i="8"/>
  <c r="D84" i="8"/>
  <c r="AY82" i="8"/>
  <c r="AY81" i="8"/>
  <c r="AY80" i="8"/>
  <c r="AY79" i="8"/>
  <c r="AY78" i="8"/>
  <c r="AY77" i="8"/>
  <c r="AY76" i="8"/>
  <c r="AY75" i="8"/>
  <c r="AY74" i="8"/>
  <c r="AY73" i="8"/>
  <c r="AY72" i="8"/>
  <c r="Q63" i="8"/>
  <c r="P63" i="8"/>
  <c r="O63" i="8"/>
  <c r="N63" i="8"/>
  <c r="L63" i="8"/>
  <c r="K63" i="8"/>
  <c r="J63" i="8"/>
  <c r="I63" i="8"/>
  <c r="H63" i="8"/>
  <c r="E63" i="8"/>
  <c r="D63" i="8"/>
  <c r="AY61" i="8"/>
  <c r="AY60" i="8"/>
  <c r="AY59" i="8"/>
  <c r="Y58" i="8"/>
  <c r="Y57" i="8"/>
  <c r="Y56" i="8"/>
  <c r="AY55" i="8"/>
  <c r="AY54" i="8"/>
  <c r="AY53" i="8"/>
  <c r="AY52" i="8"/>
  <c r="AY51" i="8"/>
  <c r="Q42" i="8"/>
  <c r="P42" i="8"/>
  <c r="O42" i="8"/>
  <c r="N42" i="8"/>
  <c r="M42" i="8"/>
  <c r="L42" i="8"/>
  <c r="K42" i="8"/>
  <c r="J42" i="8"/>
  <c r="I42" i="8"/>
  <c r="H42" i="8"/>
  <c r="E42" i="8"/>
  <c r="D42" i="8"/>
  <c r="AY40" i="8"/>
  <c r="AY39" i="8"/>
  <c r="AY38" i="8"/>
  <c r="AY37" i="8"/>
  <c r="AY36" i="8"/>
  <c r="AY35" i="8"/>
  <c r="AY34" i="8"/>
  <c r="AY33" i="8"/>
  <c r="AY32" i="8"/>
  <c r="AY31" i="8"/>
  <c r="AY30" i="8"/>
  <c r="Q21" i="8"/>
  <c r="P21" i="8"/>
  <c r="O21" i="8"/>
  <c r="N21" i="8"/>
  <c r="M21" i="8"/>
  <c r="L21" i="8"/>
  <c r="K21" i="8"/>
  <c r="J21" i="8"/>
  <c r="I21" i="8"/>
  <c r="H21" i="8"/>
  <c r="E21" i="8"/>
  <c r="D21" i="8"/>
  <c r="AY19" i="8"/>
  <c r="AY18" i="8"/>
  <c r="AY17" i="8"/>
  <c r="AY16" i="8"/>
  <c r="AY15" i="8"/>
  <c r="AY14" i="8"/>
  <c r="AY13" i="8"/>
  <c r="AY12" i="8"/>
  <c r="AY11" i="8"/>
  <c r="Y10" i="8"/>
  <c r="Y9" i="8"/>
  <c r="P295" i="8" l="1"/>
  <c r="G295" i="8"/>
  <c r="Q295" i="8" s="1"/>
  <c r="AX281" i="8"/>
  <c r="AY281" i="8" s="1"/>
  <c r="AZ281" i="8" s="1"/>
  <c r="U281" i="8"/>
  <c r="R106" i="8"/>
  <c r="R107" i="8" s="1"/>
  <c r="AX29" i="8"/>
  <c r="R43" i="8"/>
  <c r="R44" i="8" s="1"/>
  <c r="AX8" i="8"/>
  <c r="R23" i="8"/>
  <c r="R148" i="8"/>
  <c r="R149" i="8" s="1"/>
  <c r="R190" i="8"/>
  <c r="R191" i="8" s="1"/>
  <c r="S23" i="8"/>
  <c r="AY134" i="8"/>
  <c r="S148" i="8"/>
  <c r="S149" i="8" s="1"/>
  <c r="AY176" i="8"/>
  <c r="S190" i="8"/>
  <c r="S191" i="8" s="1"/>
  <c r="AY92" i="8"/>
  <c r="S106" i="8"/>
  <c r="S107" i="8" s="1"/>
  <c r="R169" i="8"/>
  <c r="R170" i="8" s="1"/>
  <c r="AY29" i="8"/>
  <c r="S43" i="8"/>
  <c r="S44" i="8" s="1"/>
  <c r="AY155" i="8"/>
  <c r="S169" i="8"/>
  <c r="S170" i="8" s="1"/>
  <c r="AY197" i="8"/>
  <c r="S211" i="8"/>
  <c r="S212" i="8" s="1"/>
  <c r="AX50" i="8"/>
  <c r="R64" i="8"/>
  <c r="R65" i="8" s="1"/>
  <c r="AX71" i="8"/>
  <c r="R85" i="8"/>
  <c r="R86" i="8" s="1"/>
  <c r="AX113" i="8"/>
  <c r="T127" i="8"/>
  <c r="T128" i="8" s="1"/>
  <c r="AY50" i="8"/>
  <c r="S64" i="8"/>
  <c r="S65" i="8" s="1"/>
  <c r="AY71" i="8"/>
  <c r="S85" i="8"/>
  <c r="S86" i="8" s="1"/>
  <c r="AY113" i="8"/>
  <c r="U127" i="8"/>
  <c r="U128" i="8" s="1"/>
  <c r="Y61" i="8"/>
  <c r="AX61" i="8"/>
  <c r="AB103" i="8"/>
  <c r="AX103" i="8"/>
  <c r="Y157" i="8"/>
  <c r="AX157" i="8"/>
  <c r="Y161" i="8"/>
  <c r="AX161" i="8"/>
  <c r="Y165" i="8"/>
  <c r="AX165" i="8"/>
  <c r="AB176" i="8"/>
  <c r="AX176" i="8"/>
  <c r="AB180" i="8"/>
  <c r="AX180" i="8"/>
  <c r="AB184" i="8"/>
  <c r="AX184" i="8"/>
  <c r="Y14" i="8"/>
  <c r="AX14" i="8"/>
  <c r="Y18" i="8"/>
  <c r="AX18" i="8"/>
  <c r="AB33" i="8"/>
  <c r="AX33" i="8"/>
  <c r="AB37" i="8"/>
  <c r="AX37" i="8"/>
  <c r="Y52" i="8"/>
  <c r="AX52" i="8"/>
  <c r="Y13" i="8"/>
  <c r="AX13" i="8"/>
  <c r="W76" i="8"/>
  <c r="X76" i="8" s="1"/>
  <c r="AX76" i="8"/>
  <c r="AB134" i="8"/>
  <c r="AX134" i="8"/>
  <c r="Y73" i="8"/>
  <c r="AX73" i="8"/>
  <c r="Y77" i="8"/>
  <c r="AX77" i="8"/>
  <c r="Y81" i="8"/>
  <c r="AX81" i="8"/>
  <c r="Z92" i="8"/>
  <c r="AX92" i="8"/>
  <c r="W96" i="8"/>
  <c r="X96" i="8" s="1"/>
  <c r="AX96" i="8"/>
  <c r="W100" i="8"/>
  <c r="X100" i="8" s="1"/>
  <c r="AX100" i="8"/>
  <c r="AB135" i="8"/>
  <c r="AX135" i="8"/>
  <c r="AB139" i="8"/>
  <c r="AX139" i="8"/>
  <c r="AB143" i="8"/>
  <c r="AX143" i="8"/>
  <c r="Y158" i="8"/>
  <c r="AX158" i="8"/>
  <c r="Y162" i="8"/>
  <c r="AX162" i="8"/>
  <c r="Y166" i="8"/>
  <c r="AX166" i="8"/>
  <c r="AB177" i="8"/>
  <c r="AX177" i="8"/>
  <c r="AB181" i="8"/>
  <c r="AX181" i="8"/>
  <c r="AB185" i="8"/>
  <c r="AX185" i="8"/>
  <c r="W72" i="8"/>
  <c r="X72" i="8" s="1"/>
  <c r="AX72" i="8"/>
  <c r="Y99" i="8"/>
  <c r="AX99" i="8"/>
  <c r="AB138" i="8"/>
  <c r="AX138" i="8"/>
  <c r="Y19" i="8"/>
  <c r="AX19" i="8"/>
  <c r="Y30" i="8"/>
  <c r="AX30" i="8"/>
  <c r="Y59" i="8"/>
  <c r="AX59" i="8"/>
  <c r="AB74" i="8"/>
  <c r="AX74" i="8"/>
  <c r="AB78" i="8"/>
  <c r="AX78" i="8"/>
  <c r="AB82" i="8"/>
  <c r="AX82" i="8"/>
  <c r="W93" i="8"/>
  <c r="X93" i="8" s="1"/>
  <c r="AX93" i="8"/>
  <c r="AB97" i="8"/>
  <c r="AX97" i="8"/>
  <c r="AB101" i="8"/>
  <c r="AX101" i="8"/>
  <c r="AB136" i="8"/>
  <c r="AX136" i="8"/>
  <c r="AB140" i="8"/>
  <c r="AX140" i="8"/>
  <c r="AB144" i="8"/>
  <c r="AX144" i="8"/>
  <c r="AB155" i="8"/>
  <c r="AX155" i="8"/>
  <c r="Y159" i="8"/>
  <c r="AX159" i="8"/>
  <c r="Y163" i="8"/>
  <c r="AX163" i="8"/>
  <c r="AB178" i="8"/>
  <c r="AX178" i="8"/>
  <c r="AB182" i="8"/>
  <c r="AX182" i="8"/>
  <c r="AB186" i="8"/>
  <c r="AX186" i="8"/>
  <c r="W197" i="8"/>
  <c r="X197" i="8" s="1"/>
  <c r="AX197" i="8"/>
  <c r="W80" i="8"/>
  <c r="X80" i="8" s="1"/>
  <c r="AX80" i="8"/>
  <c r="Y11" i="8"/>
  <c r="AX11" i="8"/>
  <c r="AB38" i="8"/>
  <c r="AX38" i="8"/>
  <c r="Y53" i="8"/>
  <c r="AX53" i="8"/>
  <c r="Y12" i="8"/>
  <c r="AX12" i="8"/>
  <c r="Y16" i="8"/>
  <c r="AX16" i="8"/>
  <c r="AB31" i="8"/>
  <c r="AX31" i="8"/>
  <c r="AB35" i="8"/>
  <c r="AX35" i="8"/>
  <c r="AB39" i="8"/>
  <c r="AX39" i="8"/>
  <c r="Y54" i="8"/>
  <c r="AX54" i="8"/>
  <c r="AY8" i="8"/>
  <c r="Y95" i="8"/>
  <c r="AX95" i="8"/>
  <c r="AB142" i="8"/>
  <c r="AX142" i="8"/>
  <c r="Y15" i="8"/>
  <c r="AX15" i="8"/>
  <c r="AB34" i="8"/>
  <c r="AX34" i="8"/>
  <c r="Y60" i="8"/>
  <c r="AX60" i="8"/>
  <c r="AA75" i="8"/>
  <c r="AX75" i="8"/>
  <c r="Y79" i="8"/>
  <c r="AX79" i="8"/>
  <c r="AA94" i="8"/>
  <c r="AX94" i="8"/>
  <c r="AA98" i="8"/>
  <c r="AX98" i="8"/>
  <c r="Z102" i="8"/>
  <c r="AX102" i="8"/>
  <c r="AB137" i="8"/>
  <c r="AX137" i="8"/>
  <c r="AB141" i="8"/>
  <c r="AX141" i="8"/>
  <c r="AB145" i="8"/>
  <c r="AX145" i="8"/>
  <c r="Y156" i="8"/>
  <c r="AX156" i="8"/>
  <c r="Y160" i="8"/>
  <c r="AX160" i="8"/>
  <c r="Y164" i="8"/>
  <c r="AX164" i="8"/>
  <c r="AB179" i="8"/>
  <c r="AX179" i="8"/>
  <c r="AB183" i="8"/>
  <c r="AX183" i="8"/>
  <c r="AB187" i="8"/>
  <c r="AX187" i="8"/>
  <c r="Y17" i="8"/>
  <c r="AX17" i="8"/>
  <c r="AB32" i="8"/>
  <c r="AX32" i="8"/>
  <c r="AB36" i="8"/>
  <c r="AX36" i="8"/>
  <c r="AB40" i="8"/>
  <c r="AX40" i="8"/>
  <c r="Y51" i="8"/>
  <c r="AX51" i="8"/>
  <c r="Y55" i="8"/>
  <c r="AX55" i="8"/>
  <c r="W19" i="8"/>
  <c r="X19" i="8" s="1"/>
  <c r="AA19" i="8"/>
  <c r="AA16" i="8"/>
  <c r="W40" i="8"/>
  <c r="X40" i="8" s="1"/>
  <c r="AA140" i="8"/>
  <c r="W186" i="8"/>
  <c r="X186" i="8" s="1"/>
  <c r="Z61" i="8"/>
  <c r="AB75" i="8"/>
  <c r="AA61" i="8"/>
  <c r="Z145" i="8"/>
  <c r="AA179" i="8"/>
  <c r="Y186" i="8"/>
  <c r="AB165" i="8"/>
  <c r="W79" i="8"/>
  <c r="X79" i="8" s="1"/>
  <c r="Z80" i="8"/>
  <c r="W144" i="8"/>
  <c r="X144" i="8" s="1"/>
  <c r="W38" i="8"/>
  <c r="X38" i="8" s="1"/>
  <c r="Z79" i="8"/>
  <c r="Z144" i="8"/>
  <c r="W182" i="8"/>
  <c r="X182" i="8" s="1"/>
  <c r="Y184" i="8"/>
  <c r="AA79" i="8"/>
  <c r="AA144" i="8"/>
  <c r="W15" i="8"/>
  <c r="X15" i="8" s="1"/>
  <c r="AA50" i="8"/>
  <c r="W57" i="8"/>
  <c r="X57" i="8" s="1"/>
  <c r="W60" i="8"/>
  <c r="X60" i="8" s="1"/>
  <c r="Z78" i="8"/>
  <c r="AB79" i="8"/>
  <c r="AA101" i="8"/>
  <c r="AA162" i="8"/>
  <c r="Y176" i="8"/>
  <c r="Z182" i="8"/>
  <c r="W187" i="8"/>
  <c r="X187" i="8" s="1"/>
  <c r="AB197" i="8"/>
  <c r="Y182" i="8"/>
  <c r="W36" i="8"/>
  <c r="X36" i="8" s="1"/>
  <c r="AA57" i="8"/>
  <c r="AB71" i="8"/>
  <c r="Z103" i="8"/>
  <c r="AA182" i="8"/>
  <c r="Y185" i="8"/>
  <c r="AA187" i="8"/>
  <c r="AB92" i="8"/>
  <c r="AB8" i="8"/>
  <c r="W12" i="8"/>
  <c r="X12" i="8" s="1"/>
  <c r="AA15" i="8"/>
  <c r="Z81" i="8"/>
  <c r="AB94" i="8"/>
  <c r="Y145" i="8"/>
  <c r="W97" i="8"/>
  <c r="X97" i="8" s="1"/>
  <c r="AA181" i="8"/>
  <c r="W181" i="8"/>
  <c r="X181" i="8" s="1"/>
  <c r="Y181" i="8"/>
  <c r="Y76" i="8"/>
  <c r="Y180" i="8"/>
  <c r="AA96" i="8"/>
  <c r="W75" i="8"/>
  <c r="X75" i="8" s="1"/>
  <c r="Y75" i="8"/>
  <c r="Z75" i="8"/>
  <c r="Z54" i="8"/>
  <c r="AA54" i="8"/>
  <c r="AA12" i="8"/>
  <c r="W34" i="8"/>
  <c r="X34" i="8" s="1"/>
  <c r="Z36" i="8"/>
  <c r="Z38" i="8"/>
  <c r="Z57" i="8"/>
  <c r="Y80" i="8"/>
  <c r="AB81" i="8"/>
  <c r="Z94" i="8"/>
  <c r="Y140" i="8"/>
  <c r="Y144" i="8"/>
  <c r="AA145" i="8"/>
  <c r="AA176" i="8"/>
  <c r="W179" i="8"/>
  <c r="X179" i="8" s="1"/>
  <c r="W184" i="8"/>
  <c r="X184" i="8" s="1"/>
  <c r="AA184" i="8"/>
  <c r="AB80" i="8"/>
  <c r="W37" i="8"/>
  <c r="X37" i="8" s="1"/>
  <c r="W143" i="8"/>
  <c r="X143" i="8" s="1"/>
  <c r="W161" i="8"/>
  <c r="X161" i="8" s="1"/>
  <c r="Z186" i="8"/>
  <c r="W35" i="8"/>
  <c r="X35" i="8" s="1"/>
  <c r="W39" i="8"/>
  <c r="X39" i="8" s="1"/>
  <c r="W77" i="8"/>
  <c r="X77" i="8" s="1"/>
  <c r="Z35" i="8"/>
  <c r="Z37" i="8"/>
  <c r="Z39" i="8"/>
  <c r="W56" i="8"/>
  <c r="X56" i="8" s="1"/>
  <c r="Z58" i="8"/>
  <c r="Z77" i="8"/>
  <c r="W141" i="8"/>
  <c r="X141" i="8" s="1"/>
  <c r="Y143" i="8"/>
  <c r="AA161" i="8"/>
  <c r="W180" i="8"/>
  <c r="X180" i="8" s="1"/>
  <c r="W33" i="8"/>
  <c r="X33" i="8" s="1"/>
  <c r="AA58" i="8"/>
  <c r="W61" i="8"/>
  <c r="X61" i="8" s="1"/>
  <c r="AA77" i="8"/>
  <c r="W139" i="8"/>
  <c r="X139" i="8" s="1"/>
  <c r="Y141" i="8"/>
  <c r="W145" i="8"/>
  <c r="X145" i="8" s="1"/>
  <c r="AA178" i="8"/>
  <c r="W185" i="8"/>
  <c r="X185" i="8" s="1"/>
  <c r="AA141" i="8"/>
  <c r="AA180" i="8"/>
  <c r="Y179" i="8"/>
  <c r="AA158" i="8"/>
  <c r="W137" i="8"/>
  <c r="X137" i="8" s="1"/>
  <c r="Y137" i="8"/>
  <c r="AA137" i="8"/>
  <c r="AB95" i="8"/>
  <c r="W95" i="8"/>
  <c r="X95" i="8" s="1"/>
  <c r="Z74" i="8"/>
  <c r="W53" i="8"/>
  <c r="X53" i="8" s="1"/>
  <c r="Z53" i="8"/>
  <c r="AA53" i="8"/>
  <c r="W32" i="8"/>
  <c r="X32" i="8" s="1"/>
  <c r="W11" i="8"/>
  <c r="X11" i="8" s="1"/>
  <c r="AA11" i="8"/>
  <c r="W178" i="8"/>
  <c r="X178" i="8" s="1"/>
  <c r="Y178" i="8"/>
  <c r="W157" i="8"/>
  <c r="X157" i="8" s="1"/>
  <c r="AA157" i="8"/>
  <c r="AB157" i="8"/>
  <c r="W136" i="8"/>
  <c r="X136" i="8" s="1"/>
  <c r="Y136" i="8"/>
  <c r="W94" i="8"/>
  <c r="X94" i="8" s="1"/>
  <c r="W73" i="8"/>
  <c r="X73" i="8" s="1"/>
  <c r="W52" i="8"/>
  <c r="X52" i="8" s="1"/>
  <c r="W31" i="8"/>
  <c r="X31" i="8" s="1"/>
  <c r="W177" i="8"/>
  <c r="X177" i="8" s="1"/>
  <c r="Y177" i="8"/>
  <c r="AA177" i="8"/>
  <c r="Y93" i="8"/>
  <c r="Z93" i="8"/>
  <c r="S84" i="8"/>
  <c r="R42" i="8"/>
  <c r="Y42" i="8" s="1"/>
  <c r="Z197" i="8"/>
  <c r="AA197" i="8"/>
  <c r="S210" i="8"/>
  <c r="W176" i="8"/>
  <c r="X176" i="8" s="1"/>
  <c r="S168" i="8"/>
  <c r="R273" i="8"/>
  <c r="S273" i="8"/>
  <c r="W92" i="8"/>
  <c r="X92" i="8" s="1"/>
  <c r="Z50" i="8"/>
  <c r="W8" i="8"/>
  <c r="X8" i="8" s="1"/>
  <c r="AA8" i="8"/>
  <c r="P294" i="8"/>
  <c r="P296" i="8" s="1"/>
  <c r="Q294" i="8"/>
  <c r="Q296" i="8" s="1"/>
  <c r="W204" i="8"/>
  <c r="X204" i="8" s="1"/>
  <c r="W208" i="8"/>
  <c r="X208" i="8" s="1"/>
  <c r="Z204" i="8"/>
  <c r="Z208" i="8"/>
  <c r="W203" i="8"/>
  <c r="X203" i="8" s="1"/>
  <c r="AA204" i="8"/>
  <c r="W207" i="8"/>
  <c r="X207" i="8" s="1"/>
  <c r="AA208" i="8"/>
  <c r="AB204" i="8"/>
  <c r="AB208" i="8"/>
  <c r="R210" i="8"/>
  <c r="W210" i="8" s="1"/>
  <c r="X210" i="8" s="1"/>
  <c r="AA203" i="8"/>
  <c r="W206" i="8"/>
  <c r="X206" i="8" s="1"/>
  <c r="AA207" i="8"/>
  <c r="Z185" i="8"/>
  <c r="AA186" i="8"/>
  <c r="W183" i="8"/>
  <c r="X183" i="8" s="1"/>
  <c r="AA185" i="8"/>
  <c r="Y183" i="8"/>
  <c r="Z184" i="8"/>
  <c r="Z183" i="8"/>
  <c r="R189" i="8"/>
  <c r="Y189" i="8" s="1"/>
  <c r="AA183" i="8"/>
  <c r="Y187" i="8"/>
  <c r="Z187" i="8"/>
  <c r="AB161" i="8"/>
  <c r="W165" i="8"/>
  <c r="X165" i="8" s="1"/>
  <c r="AA165" i="8"/>
  <c r="AA166" i="8"/>
  <c r="S147" i="8"/>
  <c r="AA136" i="8"/>
  <c r="W138" i="8"/>
  <c r="X138" i="8" s="1"/>
  <c r="Y139" i="8"/>
  <c r="AA143" i="8"/>
  <c r="W135" i="8"/>
  <c r="X135" i="8" s="1"/>
  <c r="W134" i="8"/>
  <c r="X134" i="8" s="1"/>
  <c r="Y135" i="8"/>
  <c r="AA139" i="8"/>
  <c r="Y142" i="8"/>
  <c r="W142" i="8"/>
  <c r="X142" i="8" s="1"/>
  <c r="AA135" i="8"/>
  <c r="Y138" i="8"/>
  <c r="AA142" i="8"/>
  <c r="R147" i="8"/>
  <c r="AA147" i="8" s="1"/>
  <c r="Y134" i="8"/>
  <c r="AA138" i="8"/>
  <c r="AA134" i="8"/>
  <c r="W140" i="8"/>
  <c r="X140" i="8" s="1"/>
  <c r="T126" i="8"/>
  <c r="W126" i="8" s="1"/>
  <c r="X126" i="8" s="1"/>
  <c r="U126" i="8"/>
  <c r="AA92" i="8"/>
  <c r="AB93" i="8"/>
  <c r="Y97" i="8"/>
  <c r="W98" i="8"/>
  <c r="X98" i="8" s="1"/>
  <c r="Z99" i="8"/>
  <c r="Z97" i="8"/>
  <c r="Y98" i="8"/>
  <c r="AA99" i="8"/>
  <c r="AA102" i="8"/>
  <c r="AA97" i="8"/>
  <c r="Z98" i="8"/>
  <c r="R105" i="8"/>
  <c r="Y105" i="8" s="1"/>
  <c r="AB98" i="8"/>
  <c r="W101" i="8"/>
  <c r="X101" i="8" s="1"/>
  <c r="S105" i="8"/>
  <c r="Z76" i="8"/>
  <c r="Y72" i="8"/>
  <c r="Z73" i="8"/>
  <c r="AB76" i="8"/>
  <c r="AB77" i="8"/>
  <c r="Z72" i="8"/>
  <c r="AA73" i="8"/>
  <c r="AB73" i="8"/>
  <c r="W71" i="8"/>
  <c r="X71" i="8" s="1"/>
  <c r="Z71" i="8"/>
  <c r="AA71" i="8"/>
  <c r="AB72" i="8"/>
  <c r="W81" i="8"/>
  <c r="X81" i="8" s="1"/>
  <c r="Z82" i="8"/>
  <c r="R84" i="8"/>
  <c r="AA84" i="8" s="1"/>
  <c r="AA81" i="8"/>
  <c r="Z52" i="8"/>
  <c r="AB53" i="8"/>
  <c r="Z56" i="8"/>
  <c r="AB57" i="8"/>
  <c r="Z60" i="8"/>
  <c r="AB61" i="8"/>
  <c r="AA52" i="8"/>
  <c r="AA56" i="8"/>
  <c r="W59" i="8"/>
  <c r="X59" i="8" s="1"/>
  <c r="AA60" i="8"/>
  <c r="Y63" i="8"/>
  <c r="AB56" i="8"/>
  <c r="Z59" i="8"/>
  <c r="M273" i="8"/>
  <c r="W51" i="8"/>
  <c r="X51" i="8" s="1"/>
  <c r="W55" i="8"/>
  <c r="X55" i="8" s="1"/>
  <c r="Z51" i="8"/>
  <c r="AB52" i="8"/>
  <c r="Z55" i="8"/>
  <c r="AB60" i="8"/>
  <c r="W50" i="8"/>
  <c r="X50" i="8" s="1"/>
  <c r="AA51" i="8"/>
  <c r="W54" i="8"/>
  <c r="X54" i="8" s="1"/>
  <c r="AA55" i="8"/>
  <c r="W58" i="8"/>
  <c r="X58" i="8" s="1"/>
  <c r="AA59" i="8"/>
  <c r="AB55" i="8"/>
  <c r="AB59" i="8"/>
  <c r="AB51" i="8"/>
  <c r="AB50" i="8"/>
  <c r="AB54" i="8"/>
  <c r="AB58" i="8"/>
  <c r="I273" i="8"/>
  <c r="Q273" i="8"/>
  <c r="K273" i="8"/>
  <c r="U283" i="8"/>
  <c r="U287" i="8"/>
  <c r="S42" i="8"/>
  <c r="W30" i="8"/>
  <c r="X30" i="8" s="1"/>
  <c r="W29" i="8"/>
  <c r="X29" i="8" s="1"/>
  <c r="Y31" i="8"/>
  <c r="Y32" i="8"/>
  <c r="Y33" i="8"/>
  <c r="Y34" i="8"/>
  <c r="Y35" i="8"/>
  <c r="Y36" i="8"/>
  <c r="Y37" i="8"/>
  <c r="Y38" i="8"/>
  <c r="Y39" i="8"/>
  <c r="Y40" i="8"/>
  <c r="T290" i="8"/>
  <c r="Z31" i="8"/>
  <c r="Z33" i="8"/>
  <c r="Z34" i="8"/>
  <c r="Z40" i="8"/>
  <c r="Z29" i="8"/>
  <c r="AA31" i="8"/>
  <c r="AA33" i="8"/>
  <c r="AA34" i="8"/>
  <c r="AA35" i="8"/>
  <c r="AA36" i="8"/>
  <c r="AA37" i="8"/>
  <c r="AA38" i="8"/>
  <c r="AA39" i="8"/>
  <c r="AA40" i="8"/>
  <c r="Z30" i="8"/>
  <c r="Z32" i="8"/>
  <c r="AA30" i="8"/>
  <c r="AA32" i="8"/>
  <c r="AA29" i="8"/>
  <c r="AB30" i="8"/>
  <c r="AB29" i="8"/>
  <c r="Z11" i="8"/>
  <c r="AB12" i="8"/>
  <c r="Z15" i="8"/>
  <c r="AB16" i="8"/>
  <c r="Z19" i="8"/>
  <c r="N273" i="8"/>
  <c r="Z10" i="8"/>
  <c r="AB11" i="8"/>
  <c r="Z14" i="8"/>
  <c r="AB15" i="8"/>
  <c r="Z18" i="8"/>
  <c r="AB19" i="8"/>
  <c r="U282" i="8"/>
  <c r="U286" i="8"/>
  <c r="U290" i="8"/>
  <c r="W14" i="8"/>
  <c r="X14" i="8" s="1"/>
  <c r="R21" i="8"/>
  <c r="AA21" i="8" s="1"/>
  <c r="W9" i="8"/>
  <c r="X9" i="8" s="1"/>
  <c r="AA10" i="8"/>
  <c r="W17" i="8"/>
  <c r="X17" i="8" s="1"/>
  <c r="AA18" i="8"/>
  <c r="J273" i="8"/>
  <c r="W18" i="8"/>
  <c r="X18" i="8" s="1"/>
  <c r="W13" i="8"/>
  <c r="X13" i="8" s="1"/>
  <c r="AA14" i="8"/>
  <c r="S21" i="8"/>
  <c r="Z9" i="8"/>
  <c r="AB10" i="8"/>
  <c r="Z13" i="8"/>
  <c r="AB14" i="8"/>
  <c r="Z17" i="8"/>
  <c r="AB18" i="8"/>
  <c r="E273" i="8"/>
  <c r="O273" i="8"/>
  <c r="U285" i="8"/>
  <c r="U289" i="8"/>
  <c r="W10" i="8"/>
  <c r="X10" i="8" s="1"/>
  <c r="D273" i="8"/>
  <c r="AA9" i="8"/>
  <c r="AA13" i="8"/>
  <c r="W16" i="8"/>
  <c r="X16" i="8" s="1"/>
  <c r="AA17" i="8"/>
  <c r="H273" i="8"/>
  <c r="Z265" i="8"/>
  <c r="Z8" i="8"/>
  <c r="AB9" i="8"/>
  <c r="Z12" i="8"/>
  <c r="AB13" i="8"/>
  <c r="Z16" i="8"/>
  <c r="AB17" i="8"/>
  <c r="Y100" i="8"/>
  <c r="Z156" i="8"/>
  <c r="Z160" i="8"/>
  <c r="Z164" i="8"/>
  <c r="P273" i="8"/>
  <c r="Z100" i="8"/>
  <c r="W155" i="8"/>
  <c r="X155" i="8" s="1"/>
  <c r="AA156" i="8"/>
  <c r="W159" i="8"/>
  <c r="X159" i="8" s="1"/>
  <c r="AA160" i="8"/>
  <c r="W163" i="8"/>
  <c r="X163" i="8" s="1"/>
  <c r="AA164" i="8"/>
  <c r="S189" i="8"/>
  <c r="U292" i="8"/>
  <c r="Y8" i="8"/>
  <c r="Y50" i="8"/>
  <c r="AA72" i="8"/>
  <c r="W74" i="8"/>
  <c r="X74" i="8" s="1"/>
  <c r="AA76" i="8"/>
  <c r="W78" i="8"/>
  <c r="X78" i="8" s="1"/>
  <c r="AA80" i="8"/>
  <c r="W82" i="8"/>
  <c r="X82" i="8" s="1"/>
  <c r="AA93" i="8"/>
  <c r="Y94" i="8"/>
  <c r="AB99" i="8"/>
  <c r="AA100" i="8"/>
  <c r="W102" i="8"/>
  <c r="X102" i="8" s="1"/>
  <c r="Z155" i="8"/>
  <c r="AB156" i="8"/>
  <c r="Z159" i="8"/>
  <c r="AB160" i="8"/>
  <c r="Z163" i="8"/>
  <c r="AB164" i="8"/>
  <c r="T292" i="8"/>
  <c r="Z95" i="8"/>
  <c r="Y96" i="8"/>
  <c r="AB100" i="8"/>
  <c r="Y101" i="8"/>
  <c r="W103" i="8"/>
  <c r="X103" i="8" s="1"/>
  <c r="AA155" i="8"/>
  <c r="W158" i="8"/>
  <c r="X158" i="8" s="1"/>
  <c r="AA159" i="8"/>
  <c r="W162" i="8"/>
  <c r="X162" i="8" s="1"/>
  <c r="AA163" i="8"/>
  <c r="W166" i="8"/>
  <c r="X166" i="8" s="1"/>
  <c r="Y74" i="8"/>
  <c r="Y78" i="8"/>
  <c r="Y82" i="8"/>
  <c r="AA95" i="8"/>
  <c r="Z96" i="8"/>
  <c r="Z101" i="8"/>
  <c r="Y102" i="8"/>
  <c r="Y103" i="8"/>
  <c r="Z158" i="8"/>
  <c r="AB159" i="8"/>
  <c r="Z162" i="8"/>
  <c r="AB163" i="8"/>
  <c r="Z166" i="8"/>
  <c r="AB260" i="8"/>
  <c r="AB262" i="8"/>
  <c r="AB266" i="8"/>
  <c r="W268" i="8"/>
  <c r="X268" i="8" s="1"/>
  <c r="T291" i="8"/>
  <c r="U291" i="8"/>
  <c r="Y29" i="8"/>
  <c r="Y71" i="8"/>
  <c r="AA74" i="8"/>
  <c r="AA78" i="8"/>
  <c r="AA82" i="8"/>
  <c r="Y92" i="8"/>
  <c r="AB96" i="8"/>
  <c r="W99" i="8"/>
  <c r="X99" i="8" s="1"/>
  <c r="AB102" i="8"/>
  <c r="AA103" i="8"/>
  <c r="Z157" i="8"/>
  <c r="AB158" i="8"/>
  <c r="Z161" i="8"/>
  <c r="AB162" i="8"/>
  <c r="Z165" i="8"/>
  <c r="AB166" i="8"/>
  <c r="T284" i="8"/>
  <c r="T288" i="8"/>
  <c r="R168" i="8"/>
  <c r="Y168" i="8" s="1"/>
  <c r="Y155" i="8"/>
  <c r="W156" i="8"/>
  <c r="X156" i="8" s="1"/>
  <c r="W160" i="8"/>
  <c r="X160" i="8" s="1"/>
  <c r="W164" i="8"/>
  <c r="X164" i="8" s="1"/>
  <c r="U284" i="8"/>
  <c r="U288" i="8"/>
  <c r="Y261" i="8"/>
  <c r="L273" i="8"/>
  <c r="Z134" i="8"/>
  <c r="Z135" i="8"/>
  <c r="Z136" i="8"/>
  <c r="Z137" i="8"/>
  <c r="Z138" i="8"/>
  <c r="Z139" i="8"/>
  <c r="Z140" i="8"/>
  <c r="Z141" i="8"/>
  <c r="Z142" i="8"/>
  <c r="Z143" i="8"/>
  <c r="Z176" i="8"/>
  <c r="Z177" i="8"/>
  <c r="Z178" i="8"/>
  <c r="Z179" i="8"/>
  <c r="Z180" i="8"/>
  <c r="Z181" i="8"/>
  <c r="Y197" i="8"/>
  <c r="U294" i="8" l="1"/>
  <c r="AY260" i="8"/>
  <c r="AA63" i="8"/>
  <c r="W147" i="8"/>
  <c r="X147" i="8" s="1"/>
  <c r="Z126" i="8"/>
  <c r="AA126" i="8"/>
  <c r="Y126" i="8"/>
  <c r="AB126" i="8"/>
  <c r="AA105" i="8"/>
  <c r="W84" i="8"/>
  <c r="X84" i="8" s="1"/>
  <c r="AB42" i="8"/>
  <c r="W42" i="8"/>
  <c r="X42" i="8" s="1"/>
  <c r="AA42" i="8"/>
  <c r="Z42" i="8"/>
  <c r="AB210" i="8"/>
  <c r="Y210" i="8"/>
  <c r="W189" i="8"/>
  <c r="X189" i="8" s="1"/>
  <c r="AA189" i="8"/>
  <c r="Z189" i="8"/>
  <c r="AB189" i="8"/>
  <c r="Y147" i="8"/>
  <c r="Z147" i="8"/>
  <c r="AB147" i="8"/>
  <c r="Z105" i="8"/>
  <c r="W105" i="8"/>
  <c r="X105" i="8" s="1"/>
  <c r="W63" i="8"/>
  <c r="X63" i="8" s="1"/>
  <c r="AB63" i="8"/>
  <c r="AA210" i="8"/>
  <c r="Z210" i="8"/>
  <c r="AB105" i="8"/>
  <c r="Z63" i="8"/>
  <c r="Z21" i="8"/>
  <c r="Y21" i="8"/>
  <c r="AB21" i="8"/>
  <c r="W21" i="8"/>
  <c r="X21" i="8" s="1"/>
  <c r="AA262" i="8"/>
  <c r="W260" i="8"/>
  <c r="X260" i="8" s="1"/>
  <c r="Z84" i="8"/>
  <c r="Y84" i="8"/>
  <c r="AB84" i="8"/>
  <c r="Y265" i="8"/>
  <c r="Z266" i="8"/>
  <c r="T286" i="8"/>
  <c r="AA265" i="8"/>
  <c r="AB268" i="8"/>
  <c r="AB267" i="8"/>
  <c r="W265" i="8"/>
  <c r="X265" i="8" s="1"/>
  <c r="AB265" i="8"/>
  <c r="W261" i="8"/>
  <c r="X261" i="8" s="1"/>
  <c r="AA266" i="8"/>
  <c r="W266" i="8"/>
  <c r="X266" i="8" s="1"/>
  <c r="Y267" i="8"/>
  <c r="T285" i="8"/>
  <c r="AA264" i="8"/>
  <c r="Z264" i="8"/>
  <c r="Y264" i="8"/>
  <c r="U273" i="8"/>
  <c r="AA267" i="8"/>
  <c r="W262" i="8"/>
  <c r="X262" i="8" s="1"/>
  <c r="Z263" i="8"/>
  <c r="AB264" i="8"/>
  <c r="Y263" i="8"/>
  <c r="AB263" i="8"/>
  <c r="T289" i="8"/>
  <c r="AA268" i="8"/>
  <c r="Z268" i="8"/>
  <c r="Y268" i="8"/>
  <c r="Z262" i="8"/>
  <c r="W267" i="8"/>
  <c r="X267" i="8" s="1"/>
  <c r="AB261" i="8"/>
  <c r="AA261" i="8"/>
  <c r="T282" i="8"/>
  <c r="Z267" i="8"/>
  <c r="W263" i="8"/>
  <c r="X263" i="8" s="1"/>
  <c r="T283" i="8"/>
  <c r="Y262" i="8"/>
  <c r="Z168" i="8"/>
  <c r="Z261" i="8"/>
  <c r="W264" i="8"/>
  <c r="X264" i="8" s="1"/>
  <c r="T287" i="8"/>
  <c r="Y266" i="8"/>
  <c r="T281" i="8"/>
  <c r="T273" i="8"/>
  <c r="Z273" i="8" s="1"/>
  <c r="AA260" i="8"/>
  <c r="Z260" i="8"/>
  <c r="Y260" i="8"/>
  <c r="AB168" i="8"/>
  <c r="AA168" i="8"/>
  <c r="AA263" i="8"/>
  <c r="W168" i="8"/>
  <c r="X168" i="8" s="1"/>
  <c r="Q229" i="6"/>
  <c r="P229" i="6"/>
  <c r="Q228" i="6"/>
  <c r="P228" i="6"/>
  <c r="Q227" i="6"/>
  <c r="P227" i="6"/>
  <c r="Q226" i="6"/>
  <c r="P226" i="6"/>
  <c r="Q225" i="6"/>
  <c r="P225" i="6"/>
  <c r="Q224" i="6"/>
  <c r="P224" i="6"/>
  <c r="Q223" i="6"/>
  <c r="P223" i="6"/>
  <c r="Q222" i="6"/>
  <c r="P222" i="6"/>
  <c r="Q221" i="6"/>
  <c r="P221" i="6"/>
  <c r="Q220" i="6"/>
  <c r="P220" i="6"/>
  <c r="Q219" i="6"/>
  <c r="P219" i="6"/>
  <c r="Q218" i="6"/>
  <c r="P218" i="6"/>
  <c r="AB273" i="8" l="1"/>
  <c r="Y273" i="8"/>
  <c r="W273" i="8"/>
  <c r="X273" i="8" s="1"/>
  <c r="AA273" i="8"/>
  <c r="T294" i="8"/>
  <c r="O229" i="6"/>
  <c r="N229" i="6"/>
  <c r="M229" i="6"/>
  <c r="L229" i="6"/>
  <c r="K229" i="6"/>
  <c r="J229" i="6"/>
  <c r="I229" i="6"/>
  <c r="H229" i="6"/>
  <c r="G229" i="6"/>
  <c r="F229" i="6"/>
  <c r="E229" i="6"/>
  <c r="D229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S219" i="6" l="1"/>
  <c r="S225" i="6"/>
  <c r="S227" i="6"/>
  <c r="S223" i="6"/>
  <c r="R220" i="6"/>
  <c r="R222" i="6"/>
  <c r="R224" i="6"/>
  <c r="R226" i="6"/>
  <c r="R228" i="6"/>
  <c r="S221" i="6"/>
  <c r="S220" i="6"/>
  <c r="S222" i="6"/>
  <c r="S224" i="6"/>
  <c r="S226" i="6"/>
  <c r="S228" i="6"/>
  <c r="R219" i="6"/>
  <c r="R221" i="6"/>
  <c r="R223" i="6"/>
  <c r="R225" i="6"/>
  <c r="R227" i="6"/>
  <c r="R229" i="6"/>
  <c r="S229" i="6"/>
  <c r="O210" i="6" l="1"/>
  <c r="N210" i="6"/>
  <c r="M210" i="6"/>
  <c r="L210" i="6"/>
  <c r="K210" i="6"/>
  <c r="J210" i="6"/>
  <c r="I210" i="6"/>
  <c r="H210" i="6"/>
  <c r="G210" i="6"/>
  <c r="F210" i="6"/>
  <c r="E210" i="6"/>
  <c r="D210" i="6"/>
  <c r="Q208" i="6"/>
  <c r="P208" i="6"/>
  <c r="U208" i="6" s="1"/>
  <c r="V208" i="6" s="1"/>
  <c r="Q207" i="6"/>
  <c r="P207" i="6"/>
  <c r="U207" i="6" s="1"/>
  <c r="V207" i="6" s="1"/>
  <c r="Q206" i="6"/>
  <c r="P206" i="6"/>
  <c r="U206" i="6" s="1"/>
  <c r="V206" i="6" s="1"/>
  <c r="Q205" i="6"/>
  <c r="P205" i="6"/>
  <c r="U205" i="6" s="1"/>
  <c r="V205" i="6" s="1"/>
  <c r="Q204" i="6"/>
  <c r="P204" i="6"/>
  <c r="U204" i="6" s="1"/>
  <c r="V204" i="6" s="1"/>
  <c r="Q203" i="6"/>
  <c r="P203" i="6"/>
  <c r="U203" i="6" s="1"/>
  <c r="V203" i="6" s="1"/>
  <c r="Q202" i="6"/>
  <c r="P202" i="6"/>
  <c r="U202" i="6" s="1"/>
  <c r="V202" i="6" s="1"/>
  <c r="Q201" i="6"/>
  <c r="P201" i="6"/>
  <c r="U201" i="6" s="1"/>
  <c r="V201" i="6" s="1"/>
  <c r="Q200" i="6"/>
  <c r="P200" i="6"/>
  <c r="U200" i="6" s="1"/>
  <c r="V200" i="6" s="1"/>
  <c r="Q199" i="6"/>
  <c r="P199" i="6"/>
  <c r="U199" i="6" s="1"/>
  <c r="V199" i="6" s="1"/>
  <c r="Q198" i="6"/>
  <c r="P198" i="6"/>
  <c r="U198" i="6" s="1"/>
  <c r="V198" i="6" s="1"/>
  <c r="Q197" i="6"/>
  <c r="P197" i="6"/>
  <c r="U197" i="6" s="1"/>
  <c r="V197" i="6" s="1"/>
  <c r="O189" i="6"/>
  <c r="N189" i="6"/>
  <c r="M189" i="6"/>
  <c r="L189" i="6"/>
  <c r="K189" i="6"/>
  <c r="J189" i="6"/>
  <c r="I189" i="6"/>
  <c r="H189" i="6"/>
  <c r="G189" i="6"/>
  <c r="F189" i="6"/>
  <c r="E189" i="6"/>
  <c r="D189" i="6"/>
  <c r="Q187" i="6"/>
  <c r="P187" i="6"/>
  <c r="U187" i="6" s="1"/>
  <c r="V187" i="6" s="1"/>
  <c r="Q186" i="6"/>
  <c r="P186" i="6"/>
  <c r="U186" i="6" s="1"/>
  <c r="V186" i="6" s="1"/>
  <c r="Q185" i="6"/>
  <c r="P185" i="6"/>
  <c r="U185" i="6" s="1"/>
  <c r="V185" i="6" s="1"/>
  <c r="Q184" i="6"/>
  <c r="P184" i="6"/>
  <c r="U184" i="6" s="1"/>
  <c r="V184" i="6" s="1"/>
  <c r="Q183" i="6"/>
  <c r="P183" i="6"/>
  <c r="U183" i="6" s="1"/>
  <c r="V183" i="6" s="1"/>
  <c r="Q182" i="6"/>
  <c r="P182" i="6"/>
  <c r="U182" i="6" s="1"/>
  <c r="V182" i="6" s="1"/>
  <c r="Q181" i="6"/>
  <c r="P181" i="6"/>
  <c r="U181" i="6" s="1"/>
  <c r="V181" i="6" s="1"/>
  <c r="Q180" i="6"/>
  <c r="P180" i="6"/>
  <c r="U180" i="6" s="1"/>
  <c r="V180" i="6" s="1"/>
  <c r="Q179" i="6"/>
  <c r="P179" i="6"/>
  <c r="U179" i="6" s="1"/>
  <c r="V179" i="6" s="1"/>
  <c r="Q178" i="6"/>
  <c r="P178" i="6"/>
  <c r="U178" i="6" s="1"/>
  <c r="V178" i="6" s="1"/>
  <c r="Q177" i="6"/>
  <c r="P177" i="6"/>
  <c r="U177" i="6" s="1"/>
  <c r="V177" i="6" s="1"/>
  <c r="Q176" i="6"/>
  <c r="P176" i="6"/>
  <c r="U176" i="6" s="1"/>
  <c r="V176" i="6" s="1"/>
  <c r="O168" i="6"/>
  <c r="N168" i="6"/>
  <c r="M168" i="6"/>
  <c r="L168" i="6"/>
  <c r="K168" i="6"/>
  <c r="K169" i="6" s="1"/>
  <c r="J168" i="6"/>
  <c r="I168" i="6"/>
  <c r="H168" i="6"/>
  <c r="G168" i="6"/>
  <c r="F168" i="6"/>
  <c r="E168" i="6"/>
  <c r="D168" i="6"/>
  <c r="Q166" i="6"/>
  <c r="P166" i="6"/>
  <c r="W166" i="6" s="1"/>
  <c r="Q165" i="6"/>
  <c r="P165" i="6"/>
  <c r="W165" i="6" s="1"/>
  <c r="Q164" i="6"/>
  <c r="P164" i="6"/>
  <c r="W164" i="6" s="1"/>
  <c r="Q163" i="6"/>
  <c r="P163" i="6"/>
  <c r="W163" i="6" s="1"/>
  <c r="Q162" i="6"/>
  <c r="P162" i="6"/>
  <c r="W162" i="6" s="1"/>
  <c r="Q161" i="6"/>
  <c r="P161" i="6"/>
  <c r="W161" i="6" s="1"/>
  <c r="Q160" i="6"/>
  <c r="P160" i="6"/>
  <c r="W160" i="6" s="1"/>
  <c r="Q159" i="6"/>
  <c r="P159" i="6"/>
  <c r="W159" i="6" s="1"/>
  <c r="Q158" i="6"/>
  <c r="P158" i="6"/>
  <c r="W158" i="6" s="1"/>
  <c r="Q157" i="6"/>
  <c r="P157" i="6"/>
  <c r="W157" i="6" s="1"/>
  <c r="Q156" i="6"/>
  <c r="P156" i="6"/>
  <c r="W156" i="6" s="1"/>
  <c r="Q155" i="6"/>
  <c r="P155" i="6"/>
  <c r="Z155" i="6" s="1"/>
  <c r="X157" i="6" l="1"/>
  <c r="Y199" i="6"/>
  <c r="W202" i="6"/>
  <c r="Z199" i="6"/>
  <c r="X202" i="6"/>
  <c r="Z177" i="6"/>
  <c r="W198" i="6"/>
  <c r="Z165" i="6"/>
  <c r="Z179" i="6"/>
  <c r="Y202" i="6"/>
  <c r="X155" i="6"/>
  <c r="X198" i="6"/>
  <c r="Y157" i="6"/>
  <c r="X160" i="6"/>
  <c r="Y155" i="6"/>
  <c r="Z157" i="6"/>
  <c r="Y160" i="6"/>
  <c r="Y198" i="6"/>
  <c r="Z160" i="6"/>
  <c r="Z181" i="6"/>
  <c r="Z187" i="6"/>
  <c r="X165" i="6"/>
  <c r="Y207" i="6"/>
  <c r="Z207" i="6"/>
  <c r="X206" i="6"/>
  <c r="Y206" i="6"/>
  <c r="W206" i="6"/>
  <c r="Z185" i="6"/>
  <c r="X164" i="6"/>
  <c r="Y164" i="6"/>
  <c r="Z164" i="6"/>
  <c r="Z183" i="6"/>
  <c r="X162" i="6"/>
  <c r="Y162" i="6"/>
  <c r="Z162" i="6"/>
  <c r="Y203" i="6"/>
  <c r="Z203" i="6"/>
  <c r="Q210" i="6"/>
  <c r="Q189" i="6"/>
  <c r="X163" i="6"/>
  <c r="Y166" i="6"/>
  <c r="W176" i="6"/>
  <c r="W178" i="6"/>
  <c r="W180" i="6"/>
  <c r="W182" i="6"/>
  <c r="W184" i="6"/>
  <c r="W186" i="6"/>
  <c r="X197" i="6"/>
  <c r="Z198" i="6"/>
  <c r="X201" i="6"/>
  <c r="Z202" i="6"/>
  <c r="X205" i="6"/>
  <c r="Z206" i="6"/>
  <c r="W197" i="6"/>
  <c r="Y163" i="6"/>
  <c r="Z166" i="6"/>
  <c r="Z176" i="6"/>
  <c r="Z178" i="6"/>
  <c r="Z180" i="6"/>
  <c r="Z182" i="6"/>
  <c r="Z184" i="6"/>
  <c r="Z186" i="6"/>
  <c r="Y197" i="6"/>
  <c r="W200" i="6"/>
  <c r="Y201" i="6"/>
  <c r="W204" i="6"/>
  <c r="Y205" i="6"/>
  <c r="W208" i="6"/>
  <c r="P210" i="6"/>
  <c r="U210" i="6" s="1"/>
  <c r="V210" i="6" s="1"/>
  <c r="W201" i="6"/>
  <c r="W205" i="6"/>
  <c r="Q168" i="6"/>
  <c r="Z163" i="6"/>
  <c r="P189" i="6"/>
  <c r="U189" i="6" s="1"/>
  <c r="V189" i="6" s="1"/>
  <c r="Z197" i="6"/>
  <c r="X200" i="6"/>
  <c r="Z201" i="6"/>
  <c r="X204" i="6"/>
  <c r="Z205" i="6"/>
  <c r="X208" i="6"/>
  <c r="Z158" i="6"/>
  <c r="X166" i="6"/>
  <c r="Y165" i="6"/>
  <c r="W199" i="6"/>
  <c r="Y200" i="6"/>
  <c r="W203" i="6"/>
  <c r="Y204" i="6"/>
  <c r="W207" i="6"/>
  <c r="Y208" i="6"/>
  <c r="W177" i="6"/>
  <c r="W179" i="6"/>
  <c r="W181" i="6"/>
  <c r="W183" i="6"/>
  <c r="W185" i="6"/>
  <c r="W187" i="6"/>
  <c r="X199" i="6"/>
  <c r="Z200" i="6"/>
  <c r="X203" i="6"/>
  <c r="Z204" i="6"/>
  <c r="X207" i="6"/>
  <c r="Z208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X159" i="6"/>
  <c r="X156" i="6"/>
  <c r="Y159" i="6"/>
  <c r="P168" i="6"/>
  <c r="X168" i="6" s="1"/>
  <c r="Y156" i="6"/>
  <c r="Z159" i="6"/>
  <c r="X161" i="6"/>
  <c r="Z156" i="6"/>
  <c r="X158" i="6"/>
  <c r="Y161" i="6"/>
  <c r="Y158" i="6"/>
  <c r="Z161" i="6"/>
  <c r="U155" i="6"/>
  <c r="V155" i="6" s="1"/>
  <c r="U159" i="6"/>
  <c r="V159" i="6" s="1"/>
  <c r="U166" i="6"/>
  <c r="V166" i="6" s="1"/>
  <c r="U157" i="6"/>
  <c r="V157" i="6" s="1"/>
  <c r="U160" i="6"/>
  <c r="V160" i="6" s="1"/>
  <c r="U162" i="6"/>
  <c r="V162" i="6" s="1"/>
  <c r="U164" i="6"/>
  <c r="V164" i="6" s="1"/>
  <c r="U156" i="6"/>
  <c r="V156" i="6" s="1"/>
  <c r="U158" i="6"/>
  <c r="V158" i="6" s="1"/>
  <c r="U161" i="6"/>
  <c r="V161" i="6" s="1"/>
  <c r="U163" i="6"/>
  <c r="V163" i="6" s="1"/>
  <c r="U165" i="6"/>
  <c r="V165" i="6" s="1"/>
  <c r="W155" i="6"/>
  <c r="X210" i="6" l="1"/>
  <c r="X189" i="6"/>
  <c r="Y168" i="6"/>
  <c r="W168" i="6"/>
  <c r="U168" i="6"/>
  <c r="V168" i="6" s="1"/>
  <c r="W189" i="6"/>
  <c r="W210" i="6"/>
  <c r="Y189" i="6"/>
  <c r="Z189" i="6"/>
  <c r="Z210" i="6"/>
  <c r="Z168" i="6"/>
  <c r="Y210" i="6"/>
  <c r="AE124" i="6"/>
  <c r="AC124" i="6"/>
  <c r="AE123" i="6"/>
  <c r="AC123" i="6"/>
  <c r="AE122" i="6"/>
  <c r="AC122" i="6"/>
  <c r="AE121" i="6"/>
  <c r="AC121" i="6"/>
  <c r="AE120" i="6"/>
  <c r="AC120" i="6"/>
  <c r="AE119" i="6"/>
  <c r="AC119" i="6"/>
  <c r="AE118" i="6"/>
  <c r="AC118" i="6"/>
  <c r="AE117" i="6"/>
  <c r="AC117" i="6"/>
  <c r="AE116" i="6"/>
  <c r="AC116" i="6"/>
  <c r="AE115" i="6"/>
  <c r="AC115" i="6"/>
  <c r="AE114" i="6"/>
  <c r="AC114" i="6"/>
  <c r="AE113" i="6"/>
  <c r="AC113" i="6"/>
  <c r="AE103" i="6"/>
  <c r="AC103" i="6"/>
  <c r="AE102" i="6"/>
  <c r="AC102" i="6"/>
  <c r="AE101" i="6"/>
  <c r="AC101" i="6"/>
  <c r="AE100" i="6"/>
  <c r="AC100" i="6"/>
  <c r="AE99" i="6"/>
  <c r="AC99" i="6"/>
  <c r="AE98" i="6"/>
  <c r="AC98" i="6"/>
  <c r="AE97" i="6"/>
  <c r="AC97" i="6"/>
  <c r="AE96" i="6"/>
  <c r="AC96" i="6"/>
  <c r="AE95" i="6"/>
  <c r="AC95" i="6"/>
  <c r="AE94" i="6"/>
  <c r="AC94" i="6"/>
  <c r="AE93" i="6"/>
  <c r="AC93" i="6"/>
  <c r="AE92" i="6"/>
  <c r="AC92" i="6"/>
  <c r="AE82" i="6"/>
  <c r="AC82" i="6"/>
  <c r="AE81" i="6"/>
  <c r="AC81" i="6"/>
  <c r="AE80" i="6"/>
  <c r="AC80" i="6"/>
  <c r="AE79" i="6"/>
  <c r="AC79" i="6"/>
  <c r="AE78" i="6"/>
  <c r="AC78" i="6"/>
  <c r="AE77" i="6"/>
  <c r="AC77" i="6"/>
  <c r="AE76" i="6"/>
  <c r="AC76" i="6"/>
  <c r="AE75" i="6"/>
  <c r="AC75" i="6"/>
  <c r="AE74" i="6"/>
  <c r="AC74" i="6"/>
  <c r="AE73" i="6"/>
  <c r="AC73" i="6"/>
  <c r="AE72" i="6"/>
  <c r="AC72" i="6"/>
  <c r="AE124" i="5"/>
  <c r="AE123" i="5"/>
  <c r="AE122" i="5"/>
  <c r="AE121" i="5"/>
  <c r="AE120" i="5"/>
  <c r="AE119" i="5"/>
  <c r="AE118" i="5"/>
  <c r="AE117" i="5"/>
  <c r="AE116" i="5"/>
  <c r="AC124" i="5"/>
  <c r="AC123" i="5"/>
  <c r="AC122" i="5"/>
  <c r="AC121" i="5"/>
  <c r="AC120" i="5"/>
  <c r="AC119" i="5"/>
  <c r="AC118" i="5"/>
  <c r="AC117" i="5"/>
  <c r="AC116" i="5"/>
  <c r="AE103" i="5"/>
  <c r="AE102" i="5"/>
  <c r="AE101" i="5"/>
  <c r="AE100" i="5"/>
  <c r="AE72" i="5" l="1"/>
  <c r="AE73" i="5"/>
  <c r="AE74" i="5"/>
  <c r="AE75" i="5"/>
  <c r="AE76" i="5"/>
  <c r="AE77" i="5"/>
  <c r="AE78" i="5"/>
  <c r="AE79" i="5"/>
  <c r="AE80" i="5"/>
  <c r="AE81" i="5"/>
  <c r="AE82" i="5"/>
  <c r="Q250" i="6" l="1"/>
  <c r="Q249" i="6"/>
  <c r="Q248" i="6"/>
  <c r="Q247" i="6"/>
  <c r="Q246" i="6"/>
  <c r="Q245" i="6"/>
  <c r="Q244" i="6"/>
  <c r="Q243" i="6"/>
  <c r="Q242" i="6"/>
  <c r="Q241" i="6"/>
  <c r="Q240" i="6"/>
  <c r="Q239" i="6"/>
  <c r="P250" i="6"/>
  <c r="P249" i="6"/>
  <c r="P248" i="6"/>
  <c r="P247" i="6"/>
  <c r="P246" i="6"/>
  <c r="P245" i="6"/>
  <c r="P244" i="6"/>
  <c r="P242" i="6"/>
  <c r="P241" i="6"/>
  <c r="P240" i="6"/>
  <c r="P239" i="6"/>
  <c r="P243" i="6"/>
  <c r="K252" i="6"/>
  <c r="J252" i="6"/>
  <c r="N176" i="5" l="1"/>
  <c r="Z124" i="6" l="1"/>
  <c r="Y124" i="6"/>
  <c r="X124" i="6"/>
  <c r="W124" i="6"/>
  <c r="U124" i="6"/>
  <c r="V124" i="6" s="1"/>
  <c r="Z123" i="6"/>
  <c r="Y123" i="6"/>
  <c r="X123" i="6"/>
  <c r="W123" i="6"/>
  <c r="U123" i="6"/>
  <c r="V123" i="6" s="1"/>
  <c r="Z122" i="6"/>
  <c r="Y122" i="6"/>
  <c r="X122" i="6"/>
  <c r="W122" i="6"/>
  <c r="U122" i="6"/>
  <c r="V122" i="6" s="1"/>
  <c r="Z121" i="6"/>
  <c r="Y121" i="6"/>
  <c r="X121" i="6"/>
  <c r="W121" i="6"/>
  <c r="U121" i="6"/>
  <c r="V121" i="6" s="1"/>
  <c r="Z120" i="6"/>
  <c r="Y120" i="6"/>
  <c r="X120" i="6"/>
  <c r="W120" i="6"/>
  <c r="U120" i="6"/>
  <c r="V120" i="6" s="1"/>
  <c r="Z119" i="6"/>
  <c r="Y119" i="6"/>
  <c r="X119" i="6"/>
  <c r="W119" i="6"/>
  <c r="U119" i="6"/>
  <c r="V119" i="6" s="1"/>
  <c r="Z118" i="6"/>
  <c r="Y118" i="6"/>
  <c r="X118" i="6"/>
  <c r="W118" i="6"/>
  <c r="U118" i="6"/>
  <c r="V118" i="6" s="1"/>
  <c r="Z117" i="6"/>
  <c r="Y117" i="6"/>
  <c r="X117" i="6"/>
  <c r="W117" i="6"/>
  <c r="U117" i="6"/>
  <c r="V117" i="6" s="1"/>
  <c r="Z116" i="6"/>
  <c r="Y116" i="6"/>
  <c r="X116" i="6"/>
  <c r="W116" i="6"/>
  <c r="U116" i="6"/>
  <c r="V116" i="6" s="1"/>
  <c r="Z115" i="6"/>
  <c r="Y115" i="6"/>
  <c r="X115" i="6"/>
  <c r="W115" i="6"/>
  <c r="U115" i="6"/>
  <c r="V115" i="6" s="1"/>
  <c r="Z114" i="6"/>
  <c r="Y114" i="6"/>
  <c r="X114" i="6"/>
  <c r="W114" i="6"/>
  <c r="U114" i="6"/>
  <c r="V114" i="6" s="1"/>
  <c r="Z113" i="6"/>
  <c r="Y113" i="6"/>
  <c r="X113" i="6"/>
  <c r="W113" i="6"/>
  <c r="U113" i="6"/>
  <c r="V113" i="6" s="1"/>
  <c r="O252" i="6" l="1"/>
  <c r="N252" i="6"/>
  <c r="M252" i="6"/>
  <c r="L252" i="6"/>
  <c r="I252" i="6"/>
  <c r="H252" i="6"/>
  <c r="G252" i="6"/>
  <c r="F252" i="6"/>
  <c r="E252" i="6"/>
  <c r="D252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5" i="6"/>
  <c r="P145" i="6"/>
  <c r="Q144" i="6"/>
  <c r="P144" i="6"/>
  <c r="Q143" i="6"/>
  <c r="P143" i="6"/>
  <c r="Q142" i="6"/>
  <c r="P142" i="6"/>
  <c r="Q141" i="6"/>
  <c r="P141" i="6"/>
  <c r="Q140" i="6"/>
  <c r="P140" i="6"/>
  <c r="Q139" i="6"/>
  <c r="P139" i="6"/>
  <c r="Q138" i="6"/>
  <c r="P138" i="6"/>
  <c r="Q137" i="6"/>
  <c r="P137" i="6"/>
  <c r="Q136" i="6"/>
  <c r="P136" i="6"/>
  <c r="Z136" i="6" s="1"/>
  <c r="Q135" i="6"/>
  <c r="P135" i="6"/>
  <c r="Q134" i="6"/>
  <c r="P134" i="6"/>
  <c r="AD126" i="6"/>
  <c r="AB126" i="6"/>
  <c r="Q126" i="6"/>
  <c r="P126" i="6"/>
  <c r="O126" i="6"/>
  <c r="N126" i="6"/>
  <c r="M126" i="6"/>
  <c r="L126" i="6"/>
  <c r="K126" i="6"/>
  <c r="K127" i="6" s="1"/>
  <c r="J126" i="6"/>
  <c r="I126" i="6"/>
  <c r="H126" i="6"/>
  <c r="G126" i="6"/>
  <c r="F126" i="6"/>
  <c r="E126" i="6"/>
  <c r="D126" i="6"/>
  <c r="S124" i="6"/>
  <c r="R124" i="6"/>
  <c r="S123" i="6"/>
  <c r="R123" i="6"/>
  <c r="S122" i="6"/>
  <c r="R122" i="6"/>
  <c r="S121" i="6"/>
  <c r="R121" i="6"/>
  <c r="S120" i="6"/>
  <c r="R120" i="6"/>
  <c r="S119" i="6"/>
  <c r="R119" i="6"/>
  <c r="S118" i="6"/>
  <c r="R118" i="6"/>
  <c r="S117" i="6"/>
  <c r="R117" i="6"/>
  <c r="S116" i="6"/>
  <c r="R116" i="6"/>
  <c r="S115" i="6"/>
  <c r="R115" i="6"/>
  <c r="S114" i="6"/>
  <c r="R114" i="6"/>
  <c r="S113" i="6"/>
  <c r="R113" i="6"/>
  <c r="AD105" i="6"/>
  <c r="AB105" i="6"/>
  <c r="O105" i="6"/>
  <c r="N105" i="6"/>
  <c r="M105" i="6"/>
  <c r="L105" i="6"/>
  <c r="K105" i="6"/>
  <c r="K106" i="6" s="1"/>
  <c r="J105" i="6"/>
  <c r="I105" i="6"/>
  <c r="H105" i="6"/>
  <c r="G105" i="6"/>
  <c r="F105" i="6"/>
  <c r="E105" i="6"/>
  <c r="D105" i="6"/>
  <c r="Q103" i="6"/>
  <c r="P103" i="6"/>
  <c r="Q102" i="6"/>
  <c r="P102" i="6"/>
  <c r="Q101" i="6"/>
  <c r="P101" i="6"/>
  <c r="Q100" i="6"/>
  <c r="P100" i="6"/>
  <c r="Q99" i="6"/>
  <c r="P99" i="6"/>
  <c r="Q98" i="6"/>
  <c r="P98" i="6"/>
  <c r="Q97" i="6"/>
  <c r="P97" i="6"/>
  <c r="Q96" i="6"/>
  <c r="P96" i="6"/>
  <c r="Q95" i="6"/>
  <c r="P95" i="6"/>
  <c r="Q94" i="6"/>
  <c r="P94" i="6"/>
  <c r="Q93" i="6"/>
  <c r="P93" i="6"/>
  <c r="Q92" i="6"/>
  <c r="P92" i="6"/>
  <c r="X92" i="6" s="1"/>
  <c r="AD84" i="6"/>
  <c r="AB84" i="6"/>
  <c r="O84" i="6"/>
  <c r="N84" i="6"/>
  <c r="M84" i="6"/>
  <c r="L84" i="6"/>
  <c r="K84" i="6"/>
  <c r="K85" i="6" s="1"/>
  <c r="J84" i="6"/>
  <c r="I84" i="6"/>
  <c r="H84" i="6"/>
  <c r="G84" i="6"/>
  <c r="F84" i="6"/>
  <c r="E84" i="6"/>
  <c r="D84" i="6"/>
  <c r="Q82" i="6"/>
  <c r="P82" i="6"/>
  <c r="Q81" i="6"/>
  <c r="P81" i="6"/>
  <c r="Q80" i="6"/>
  <c r="P80" i="6"/>
  <c r="Q79" i="6"/>
  <c r="P79" i="6"/>
  <c r="Q78" i="6"/>
  <c r="P78" i="6"/>
  <c r="Q77" i="6"/>
  <c r="P77" i="6"/>
  <c r="Q76" i="6"/>
  <c r="P76" i="6"/>
  <c r="Q75" i="6"/>
  <c r="P75" i="6"/>
  <c r="Q74" i="6"/>
  <c r="P74" i="6"/>
  <c r="Q73" i="6"/>
  <c r="P73" i="6"/>
  <c r="Q72" i="6"/>
  <c r="P72" i="6"/>
  <c r="AE71" i="6"/>
  <c r="AC71" i="6"/>
  <c r="Q71" i="6"/>
  <c r="P71" i="6"/>
  <c r="Z71" i="6" s="1"/>
  <c r="O63" i="6"/>
  <c r="N63" i="6"/>
  <c r="M63" i="6"/>
  <c r="L63" i="6"/>
  <c r="K63" i="6"/>
  <c r="K64" i="6" s="1"/>
  <c r="J63" i="6"/>
  <c r="I63" i="6"/>
  <c r="H63" i="6"/>
  <c r="G63" i="6"/>
  <c r="F63" i="6"/>
  <c r="E63" i="6"/>
  <c r="D63" i="6"/>
  <c r="Q61" i="6"/>
  <c r="P61" i="6"/>
  <c r="Q60" i="6"/>
  <c r="P60" i="6"/>
  <c r="Q59" i="6"/>
  <c r="P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Y50" i="6" s="1"/>
  <c r="O42" i="6"/>
  <c r="N42" i="6"/>
  <c r="M42" i="6"/>
  <c r="L42" i="6"/>
  <c r="K42" i="6"/>
  <c r="K43" i="6" s="1"/>
  <c r="J42" i="6"/>
  <c r="I42" i="6"/>
  <c r="H42" i="6"/>
  <c r="G42" i="6"/>
  <c r="F42" i="6"/>
  <c r="E42" i="6"/>
  <c r="D42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Z29" i="6" s="1"/>
  <c r="O21" i="6"/>
  <c r="N21" i="6"/>
  <c r="M21" i="6"/>
  <c r="L21" i="6"/>
  <c r="K21" i="6"/>
  <c r="K22" i="6" s="1"/>
  <c r="J21" i="6"/>
  <c r="I21" i="6"/>
  <c r="H21" i="6"/>
  <c r="G21" i="6"/>
  <c r="F21" i="6"/>
  <c r="E21" i="6"/>
  <c r="D21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X8" i="6" s="1"/>
  <c r="X136" i="6" l="1"/>
  <c r="X14" i="6"/>
  <c r="W14" i="6"/>
  <c r="U14" i="6"/>
  <c r="V14" i="6" s="1"/>
  <c r="Y14" i="6"/>
  <c r="Z14" i="6"/>
  <c r="Z18" i="6"/>
  <c r="Y18" i="6"/>
  <c r="X18" i="6"/>
  <c r="W18" i="6"/>
  <c r="U18" i="6"/>
  <c r="V18" i="6" s="1"/>
  <c r="U37" i="6"/>
  <c r="V37" i="6" s="1"/>
  <c r="X37" i="6"/>
  <c r="Z37" i="6"/>
  <c r="Y37" i="6"/>
  <c r="W37" i="6"/>
  <c r="Z56" i="6"/>
  <c r="Y56" i="6"/>
  <c r="X56" i="6"/>
  <c r="W56" i="6"/>
  <c r="U56" i="6"/>
  <c r="V56" i="6" s="1"/>
  <c r="Z60" i="6"/>
  <c r="Y60" i="6"/>
  <c r="X60" i="6"/>
  <c r="W60" i="6"/>
  <c r="U60" i="6"/>
  <c r="V60" i="6" s="1"/>
  <c r="Z77" i="6"/>
  <c r="Y77" i="6"/>
  <c r="X77" i="6"/>
  <c r="U77" i="6"/>
  <c r="V77" i="6" s="1"/>
  <c r="W77" i="6"/>
  <c r="X79" i="6"/>
  <c r="W79" i="6"/>
  <c r="Z79" i="6"/>
  <c r="U79" i="6"/>
  <c r="V79" i="6" s="1"/>
  <c r="Y79" i="6"/>
  <c r="Z100" i="6"/>
  <c r="Y100" i="6"/>
  <c r="X100" i="6"/>
  <c r="W100" i="6"/>
  <c r="U100" i="6"/>
  <c r="V100" i="6" s="1"/>
  <c r="W34" i="6"/>
  <c r="Y34" i="6"/>
  <c r="U34" i="6"/>
  <c r="V34" i="6" s="1"/>
  <c r="Z34" i="6"/>
  <c r="X34" i="6"/>
  <c r="Y38" i="6"/>
  <c r="X38" i="6"/>
  <c r="W38" i="6"/>
  <c r="U38" i="6"/>
  <c r="V38" i="6" s="1"/>
  <c r="Z38" i="6"/>
  <c r="Z57" i="6"/>
  <c r="Y57" i="6"/>
  <c r="X57" i="6"/>
  <c r="W57" i="6"/>
  <c r="U57" i="6"/>
  <c r="V57" i="6" s="1"/>
  <c r="U61" i="6"/>
  <c r="V61" i="6" s="1"/>
  <c r="Z61" i="6"/>
  <c r="Y61" i="6"/>
  <c r="X61" i="6"/>
  <c r="W61" i="6"/>
  <c r="W98" i="6"/>
  <c r="Z98" i="6"/>
  <c r="Y98" i="6"/>
  <c r="X98" i="6"/>
  <c r="U98" i="6"/>
  <c r="V98" i="6" s="1"/>
  <c r="W140" i="6"/>
  <c r="U140" i="6"/>
  <c r="V140" i="6" s="1"/>
  <c r="Z140" i="6"/>
  <c r="X140" i="6"/>
  <c r="Y140" i="6"/>
  <c r="Z80" i="6"/>
  <c r="Y80" i="6"/>
  <c r="X80" i="6"/>
  <c r="W80" i="6"/>
  <c r="U80" i="6"/>
  <c r="V80" i="6" s="1"/>
  <c r="U101" i="6"/>
  <c r="V101" i="6" s="1"/>
  <c r="X101" i="6"/>
  <c r="Z101" i="6"/>
  <c r="Y101" i="6"/>
  <c r="W101" i="6"/>
  <c r="Z141" i="6"/>
  <c r="Y141" i="6"/>
  <c r="X141" i="6"/>
  <c r="W141" i="6"/>
  <c r="U141" i="6"/>
  <c r="V141" i="6" s="1"/>
  <c r="U145" i="6"/>
  <c r="V145" i="6" s="1"/>
  <c r="X145" i="6"/>
  <c r="Z145" i="6"/>
  <c r="Y145" i="6"/>
  <c r="W145" i="6"/>
  <c r="Z144" i="6"/>
  <c r="Y144" i="6"/>
  <c r="X144" i="6"/>
  <c r="W144" i="6"/>
  <c r="U144" i="6"/>
  <c r="V144" i="6" s="1"/>
  <c r="Z15" i="6"/>
  <c r="X15" i="6"/>
  <c r="U15" i="6"/>
  <c r="V15" i="6" s="1"/>
  <c r="Y15" i="6"/>
  <c r="W15" i="6"/>
  <c r="Z16" i="6"/>
  <c r="Y16" i="6"/>
  <c r="W16" i="6"/>
  <c r="X16" i="6"/>
  <c r="U16" i="6"/>
  <c r="V16" i="6" s="1"/>
  <c r="Y35" i="6"/>
  <c r="X35" i="6"/>
  <c r="W35" i="6"/>
  <c r="U35" i="6"/>
  <c r="V35" i="6" s="1"/>
  <c r="Z35" i="6"/>
  <c r="Z39" i="6"/>
  <c r="Y39" i="6"/>
  <c r="X39" i="6"/>
  <c r="W39" i="6"/>
  <c r="U39" i="6"/>
  <c r="V39" i="6" s="1"/>
  <c r="W58" i="6"/>
  <c r="Y58" i="6"/>
  <c r="U58" i="6"/>
  <c r="V58" i="6" s="1"/>
  <c r="Z58" i="6"/>
  <c r="X58" i="6"/>
  <c r="Y76" i="6"/>
  <c r="X76" i="6"/>
  <c r="W76" i="6"/>
  <c r="U76" i="6"/>
  <c r="V76" i="6" s="1"/>
  <c r="Z76" i="6"/>
  <c r="U78" i="6"/>
  <c r="V78" i="6" s="1"/>
  <c r="Z78" i="6"/>
  <c r="Y78" i="6"/>
  <c r="X78" i="6"/>
  <c r="W78" i="6"/>
  <c r="X99" i="6"/>
  <c r="W99" i="6"/>
  <c r="U99" i="6"/>
  <c r="V99" i="6" s="1"/>
  <c r="Z99" i="6"/>
  <c r="Y99" i="6"/>
  <c r="Y134" i="6"/>
  <c r="X134" i="6"/>
  <c r="W134" i="6"/>
  <c r="U134" i="6"/>
  <c r="V134" i="6" s="1"/>
  <c r="Z134" i="6"/>
  <c r="W82" i="6"/>
  <c r="U82" i="6"/>
  <c r="V82" i="6" s="1"/>
  <c r="Z82" i="6"/>
  <c r="Y82" i="6"/>
  <c r="X82" i="6"/>
  <c r="Z19" i="6"/>
  <c r="Y19" i="6"/>
  <c r="X19" i="6"/>
  <c r="W19" i="6"/>
  <c r="U19" i="6"/>
  <c r="V19" i="6" s="1"/>
  <c r="Z142" i="6"/>
  <c r="Y142" i="6"/>
  <c r="W142" i="6"/>
  <c r="X142" i="6"/>
  <c r="U142" i="6"/>
  <c r="V142" i="6" s="1"/>
  <c r="Z103" i="6"/>
  <c r="Y103" i="6"/>
  <c r="U103" i="6"/>
  <c r="V103" i="6" s="1"/>
  <c r="X103" i="6"/>
  <c r="W103" i="6"/>
  <c r="Z36" i="6"/>
  <c r="U36" i="6"/>
  <c r="V36" i="6" s="1"/>
  <c r="Y36" i="6"/>
  <c r="X36" i="6"/>
  <c r="W36" i="6"/>
  <c r="U40" i="6"/>
  <c r="V40" i="6" s="1"/>
  <c r="W40" i="6"/>
  <c r="Z40" i="6"/>
  <c r="Y40" i="6"/>
  <c r="X40" i="6"/>
  <c r="X55" i="6"/>
  <c r="W55" i="6"/>
  <c r="U55" i="6"/>
  <c r="V55" i="6" s="1"/>
  <c r="Z55" i="6"/>
  <c r="Y55" i="6"/>
  <c r="Z59" i="6"/>
  <c r="Y59" i="6"/>
  <c r="X59" i="6"/>
  <c r="W59" i="6"/>
  <c r="U59" i="6"/>
  <c r="V59" i="6" s="1"/>
  <c r="U81" i="6"/>
  <c r="V81" i="6" s="1"/>
  <c r="Z81" i="6"/>
  <c r="Y81" i="6"/>
  <c r="W81" i="6"/>
  <c r="X81" i="6"/>
  <c r="Z97" i="6"/>
  <c r="Y97" i="6"/>
  <c r="X97" i="6"/>
  <c r="W97" i="6"/>
  <c r="U97" i="6"/>
  <c r="V97" i="6" s="1"/>
  <c r="Y102" i="6"/>
  <c r="X102" i="6"/>
  <c r="W102" i="6"/>
  <c r="U102" i="6"/>
  <c r="V102" i="6" s="1"/>
  <c r="Z102" i="6"/>
  <c r="U13" i="6"/>
  <c r="V13" i="6" s="1"/>
  <c r="X13" i="6"/>
  <c r="Z13" i="6"/>
  <c r="Y13" i="6"/>
  <c r="W13" i="6"/>
  <c r="X17" i="6"/>
  <c r="W17" i="6"/>
  <c r="U17" i="6"/>
  <c r="V17" i="6" s="1"/>
  <c r="Z17" i="6"/>
  <c r="Y17" i="6"/>
  <c r="Z139" i="6"/>
  <c r="Y139" i="6"/>
  <c r="U139" i="6"/>
  <c r="V139" i="6" s="1"/>
  <c r="X139" i="6"/>
  <c r="W139" i="6"/>
  <c r="X143" i="6"/>
  <c r="W143" i="6"/>
  <c r="U143" i="6"/>
  <c r="V143" i="6" s="1"/>
  <c r="Z143" i="6"/>
  <c r="Y143" i="6"/>
  <c r="Y12" i="6"/>
  <c r="U12" i="6"/>
  <c r="V12" i="6" s="1"/>
  <c r="X12" i="6"/>
  <c r="W12" i="6"/>
  <c r="Z12" i="6"/>
  <c r="X138" i="6"/>
  <c r="W138" i="6"/>
  <c r="U138" i="6"/>
  <c r="V138" i="6" s="1"/>
  <c r="Z138" i="6"/>
  <c r="Y138" i="6"/>
  <c r="X96" i="6"/>
  <c r="Z96" i="6"/>
  <c r="Y96" i="6"/>
  <c r="W96" i="6"/>
  <c r="U96" i="6"/>
  <c r="V96" i="6" s="1"/>
  <c r="W75" i="6"/>
  <c r="X75" i="6"/>
  <c r="U75" i="6"/>
  <c r="V75" i="6" s="1"/>
  <c r="Y75" i="6"/>
  <c r="Z75" i="6"/>
  <c r="Z54" i="6"/>
  <c r="Y54" i="6"/>
  <c r="X54" i="6"/>
  <c r="W54" i="6"/>
  <c r="U54" i="6"/>
  <c r="V54" i="6" s="1"/>
  <c r="X33" i="6"/>
  <c r="Y33" i="6"/>
  <c r="W33" i="6"/>
  <c r="Z33" i="6"/>
  <c r="U33" i="6"/>
  <c r="V33" i="6" s="1"/>
  <c r="Y137" i="6"/>
  <c r="X137" i="6"/>
  <c r="W137" i="6"/>
  <c r="U137" i="6"/>
  <c r="V137" i="6" s="1"/>
  <c r="Z137" i="6"/>
  <c r="AC126" i="6"/>
  <c r="AE126" i="6"/>
  <c r="Z95" i="6"/>
  <c r="Y95" i="6"/>
  <c r="X95" i="6"/>
  <c r="W95" i="6"/>
  <c r="U95" i="6"/>
  <c r="V95" i="6" s="1"/>
  <c r="Z74" i="6"/>
  <c r="Y74" i="6"/>
  <c r="X74" i="6"/>
  <c r="W74" i="6"/>
  <c r="U74" i="6"/>
  <c r="V74" i="6" s="1"/>
  <c r="U32" i="6"/>
  <c r="V32" i="6" s="1"/>
  <c r="Z32" i="6"/>
  <c r="Y32" i="6"/>
  <c r="W32" i="6"/>
  <c r="X32" i="6"/>
  <c r="W11" i="6"/>
  <c r="Z11" i="6"/>
  <c r="Y11" i="6"/>
  <c r="U11" i="6"/>
  <c r="V11" i="6" s="1"/>
  <c r="X11" i="6"/>
  <c r="Y136" i="6"/>
  <c r="U136" i="6"/>
  <c r="V136" i="6" s="1"/>
  <c r="W136" i="6"/>
  <c r="Y94" i="6"/>
  <c r="X94" i="6"/>
  <c r="W94" i="6"/>
  <c r="U94" i="6"/>
  <c r="V94" i="6" s="1"/>
  <c r="Z94" i="6"/>
  <c r="Y73" i="6"/>
  <c r="X73" i="6"/>
  <c r="W73" i="6"/>
  <c r="U73" i="6"/>
  <c r="V73" i="6" s="1"/>
  <c r="Z73" i="6"/>
  <c r="Z53" i="6"/>
  <c r="U53" i="6"/>
  <c r="V53" i="6" s="1"/>
  <c r="Y53" i="6"/>
  <c r="X53" i="6"/>
  <c r="W53" i="6"/>
  <c r="Y52" i="6"/>
  <c r="X52" i="6"/>
  <c r="Z52" i="6"/>
  <c r="W52" i="6"/>
  <c r="U52" i="6"/>
  <c r="V52" i="6" s="1"/>
  <c r="Y31" i="6"/>
  <c r="X31" i="6"/>
  <c r="U31" i="6"/>
  <c r="V31" i="6" s="1"/>
  <c r="W31" i="6"/>
  <c r="Z31" i="6"/>
  <c r="Y10" i="6"/>
  <c r="Z10" i="6"/>
  <c r="X10" i="6"/>
  <c r="W10" i="6"/>
  <c r="U10" i="6"/>
  <c r="V10" i="6" s="1"/>
  <c r="U135" i="6"/>
  <c r="V135" i="6" s="1"/>
  <c r="Z135" i="6"/>
  <c r="W135" i="6"/>
  <c r="Y135" i="6"/>
  <c r="X135" i="6"/>
  <c r="AC105" i="6"/>
  <c r="AE105" i="6"/>
  <c r="U93" i="6"/>
  <c r="V93" i="6" s="1"/>
  <c r="Y93" i="6"/>
  <c r="Z93" i="6"/>
  <c r="X93" i="6"/>
  <c r="W93" i="6"/>
  <c r="AC84" i="6"/>
  <c r="AE84" i="6"/>
  <c r="Z72" i="6"/>
  <c r="Y72" i="6"/>
  <c r="X72" i="6"/>
  <c r="W72" i="6"/>
  <c r="U72" i="6"/>
  <c r="V72" i="6" s="1"/>
  <c r="X51" i="6"/>
  <c r="W51" i="6"/>
  <c r="Y51" i="6"/>
  <c r="U51" i="6"/>
  <c r="V51" i="6" s="1"/>
  <c r="Z51" i="6"/>
  <c r="Q63" i="6"/>
  <c r="Z30" i="6"/>
  <c r="W30" i="6"/>
  <c r="X30" i="6"/>
  <c r="Y30" i="6"/>
  <c r="U30" i="6"/>
  <c r="V30" i="6" s="1"/>
  <c r="Z9" i="6"/>
  <c r="Y9" i="6"/>
  <c r="X9" i="6"/>
  <c r="W9" i="6"/>
  <c r="U9" i="6"/>
  <c r="V9" i="6" s="1"/>
  <c r="W92" i="6"/>
  <c r="Y92" i="6"/>
  <c r="Q84" i="6"/>
  <c r="U29" i="6"/>
  <c r="V29" i="6" s="1"/>
  <c r="Y29" i="6"/>
  <c r="W29" i="6"/>
  <c r="X29" i="6"/>
  <c r="Y8" i="6"/>
  <c r="W8" i="6"/>
  <c r="Q21" i="6"/>
  <c r="P252" i="6"/>
  <c r="Q252" i="6"/>
  <c r="P147" i="6"/>
  <c r="Y147" i="6" s="1"/>
  <c r="Q147" i="6"/>
  <c r="P231" i="6"/>
  <c r="Q231" i="6"/>
  <c r="S126" i="6"/>
  <c r="R126" i="6"/>
  <c r="Y126" i="6" s="1"/>
  <c r="P105" i="6"/>
  <c r="Z105" i="6" s="1"/>
  <c r="Q105" i="6"/>
  <c r="Z50" i="6"/>
  <c r="L231" i="6"/>
  <c r="P63" i="6"/>
  <c r="Y63" i="6" s="1"/>
  <c r="U50" i="6"/>
  <c r="V50" i="6" s="1"/>
  <c r="Q42" i="6"/>
  <c r="P42" i="6"/>
  <c r="X42" i="6" s="1"/>
  <c r="S218" i="6"/>
  <c r="U239" i="6" s="1"/>
  <c r="U243" i="6"/>
  <c r="U247" i="6"/>
  <c r="U222" i="6"/>
  <c r="V222" i="6" s="1"/>
  <c r="Y226" i="6"/>
  <c r="T250" i="6"/>
  <c r="N231" i="6"/>
  <c r="G231" i="6"/>
  <c r="G232" i="6" s="1"/>
  <c r="G233" i="6" s="1"/>
  <c r="O231" i="6"/>
  <c r="U249" i="6"/>
  <c r="F231" i="6"/>
  <c r="T242" i="6"/>
  <c r="U225" i="6"/>
  <c r="V225" i="6" s="1"/>
  <c r="T249" i="6"/>
  <c r="T248" i="6"/>
  <c r="U240" i="6"/>
  <c r="U241" i="6"/>
  <c r="U244" i="6"/>
  <c r="U245" i="6"/>
  <c r="U248" i="6"/>
  <c r="I231" i="6"/>
  <c r="E231" i="6"/>
  <c r="M231" i="6"/>
  <c r="U242" i="6"/>
  <c r="U246" i="6"/>
  <c r="U250" i="6"/>
  <c r="U220" i="6"/>
  <c r="V220" i="6" s="1"/>
  <c r="X224" i="6"/>
  <c r="H231" i="6"/>
  <c r="Z8" i="6"/>
  <c r="Z92" i="6"/>
  <c r="W50" i="6"/>
  <c r="U71" i="6"/>
  <c r="V71" i="6" s="1"/>
  <c r="U219" i="6"/>
  <c r="V219" i="6" s="1"/>
  <c r="U223" i="6"/>
  <c r="V223" i="6" s="1"/>
  <c r="J231" i="6"/>
  <c r="K231" i="6"/>
  <c r="X50" i="6"/>
  <c r="U8" i="6"/>
  <c r="V8" i="6" s="1"/>
  <c r="P21" i="6"/>
  <c r="U21" i="6" s="1"/>
  <c r="V21" i="6" s="1"/>
  <c r="W71" i="6"/>
  <c r="U92" i="6"/>
  <c r="V92" i="6" s="1"/>
  <c r="R218" i="6"/>
  <c r="Y218" i="6" s="1"/>
  <c r="D231" i="6"/>
  <c r="X71" i="6"/>
  <c r="Y71" i="6"/>
  <c r="P84" i="6"/>
  <c r="Y84" i="6" s="1"/>
  <c r="AC103" i="5"/>
  <c r="AC102" i="5"/>
  <c r="AC101" i="5"/>
  <c r="AC100" i="5"/>
  <c r="AC82" i="5"/>
  <c r="AC81" i="5"/>
  <c r="AC80" i="5"/>
  <c r="AC79" i="5"/>
  <c r="I232" i="6" l="1"/>
  <c r="X147" i="6"/>
  <c r="W147" i="6"/>
  <c r="W126" i="6"/>
  <c r="U126" i="6"/>
  <c r="V126" i="6" s="1"/>
  <c r="Z63" i="6"/>
  <c r="U63" i="6"/>
  <c r="V63" i="6" s="1"/>
  <c r="X63" i="6"/>
  <c r="W63" i="6"/>
  <c r="U147" i="6"/>
  <c r="V147" i="6" s="1"/>
  <c r="Z147" i="6"/>
  <c r="Y222" i="6"/>
  <c r="X126" i="6"/>
  <c r="Y225" i="6"/>
  <c r="Z126" i="6"/>
  <c r="Z225" i="6"/>
  <c r="Y105" i="6"/>
  <c r="W105" i="6"/>
  <c r="U105" i="6"/>
  <c r="V105" i="6" s="1"/>
  <c r="X105" i="6"/>
  <c r="T247" i="6"/>
  <c r="Z222" i="6"/>
  <c r="W222" i="6"/>
  <c r="X222" i="6"/>
  <c r="T243" i="6"/>
  <c r="U226" i="6"/>
  <c r="V226" i="6" s="1"/>
  <c r="X226" i="6"/>
  <c r="Z218" i="6"/>
  <c r="T246" i="6"/>
  <c r="U221" i="6"/>
  <c r="V221" i="6" s="1"/>
  <c r="W221" i="6"/>
  <c r="Y221" i="6"/>
  <c r="W226" i="6"/>
  <c r="Z221" i="6"/>
  <c r="Z226" i="6"/>
  <c r="X221" i="6"/>
  <c r="W42" i="6"/>
  <c r="U42" i="6"/>
  <c r="V42" i="6" s="1"/>
  <c r="Y42" i="6"/>
  <c r="Z42" i="6"/>
  <c r="U218" i="6"/>
  <c r="V218" i="6" s="1"/>
  <c r="W225" i="6"/>
  <c r="W219" i="6"/>
  <c r="X225" i="6"/>
  <c r="U224" i="6"/>
  <c r="V224" i="6" s="1"/>
  <c r="W224" i="6"/>
  <c r="S231" i="6"/>
  <c r="U252" i="6"/>
  <c r="T244" i="6"/>
  <c r="Y223" i="6"/>
  <c r="Z223" i="6"/>
  <c r="X223" i="6"/>
  <c r="X220" i="6"/>
  <c r="W223" i="6"/>
  <c r="T240" i="6"/>
  <c r="Y219" i="6"/>
  <c r="X21" i="6"/>
  <c r="X219" i="6"/>
  <c r="Z224" i="6"/>
  <c r="Y224" i="6"/>
  <c r="T245" i="6"/>
  <c r="Z220" i="6"/>
  <c r="Y220" i="6"/>
  <c r="T241" i="6"/>
  <c r="W220" i="6"/>
  <c r="Y21" i="6"/>
  <c r="Z21" i="6"/>
  <c r="W21" i="6"/>
  <c r="Z84" i="6"/>
  <c r="U84" i="6"/>
  <c r="V84" i="6" s="1"/>
  <c r="T239" i="6"/>
  <c r="R231" i="6"/>
  <c r="W231" i="6" s="1"/>
  <c r="X218" i="6"/>
  <c r="W218" i="6"/>
  <c r="Z219" i="6"/>
  <c r="X84" i="6"/>
  <c r="W84" i="6"/>
  <c r="AC78" i="5"/>
  <c r="AC77" i="5"/>
  <c r="AC76" i="5"/>
  <c r="AC75" i="5"/>
  <c r="AC74" i="5"/>
  <c r="AC73" i="5"/>
  <c r="AC72" i="5"/>
  <c r="J232" i="6" l="1"/>
  <c r="J233" i="6" s="1"/>
  <c r="I233" i="6"/>
  <c r="I234" i="6" s="1"/>
  <c r="T252" i="6"/>
  <c r="Y231" i="6"/>
  <c r="Z231" i="6"/>
  <c r="U231" i="6"/>
  <c r="V231" i="6" s="1"/>
  <c r="X231" i="6"/>
  <c r="AE115" i="5"/>
  <c r="AE126" i="5" s="1"/>
  <c r="AC115" i="5"/>
  <c r="AC126" i="5" s="1"/>
  <c r="AD126" i="5"/>
  <c r="AB126" i="5"/>
  <c r="AE92" i="5" l="1"/>
  <c r="AC92" i="5"/>
  <c r="AE99" i="5"/>
  <c r="AE97" i="5"/>
  <c r="AE96" i="5"/>
  <c r="AE95" i="5"/>
  <c r="AE94" i="5"/>
  <c r="AE93" i="5"/>
  <c r="AC99" i="5"/>
  <c r="AC97" i="5"/>
  <c r="AC96" i="5"/>
  <c r="AC95" i="5"/>
  <c r="AC94" i="5"/>
  <c r="AC93" i="5"/>
  <c r="T103" i="3" l="1"/>
  <c r="V103" i="3"/>
  <c r="V102" i="3"/>
  <c r="V101" i="3"/>
  <c r="V100" i="3"/>
  <c r="V99" i="3"/>
  <c r="V98" i="3"/>
  <c r="V97" i="3"/>
  <c r="V96" i="3"/>
  <c r="T102" i="3"/>
  <c r="T101" i="3"/>
  <c r="T100" i="3"/>
  <c r="T99" i="3"/>
  <c r="T98" i="3"/>
  <c r="T97" i="3"/>
  <c r="T96" i="3"/>
  <c r="AD105" i="5"/>
  <c r="AE105" i="5" l="1"/>
  <c r="AC71" i="5" l="1"/>
  <c r="AD84" i="5"/>
  <c r="T82" i="3" l="1"/>
  <c r="T81" i="3"/>
  <c r="T80" i="3"/>
  <c r="T79" i="3"/>
  <c r="T78" i="3"/>
  <c r="T77" i="3"/>
  <c r="T76" i="3"/>
  <c r="T75" i="3"/>
  <c r="AE71" i="5"/>
  <c r="AE84" i="5" l="1"/>
  <c r="O166" i="5"/>
  <c r="N166" i="5"/>
  <c r="M166" i="5"/>
  <c r="L166" i="5"/>
  <c r="K166" i="5"/>
  <c r="J166" i="5"/>
  <c r="I166" i="5"/>
  <c r="H166" i="5"/>
  <c r="G166" i="5"/>
  <c r="F166" i="5"/>
  <c r="E166" i="5"/>
  <c r="D166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Q166" i="5"/>
  <c r="P166" i="5"/>
  <c r="Q165" i="5"/>
  <c r="P165" i="5"/>
  <c r="Q164" i="5"/>
  <c r="P164" i="5"/>
  <c r="Q163" i="5"/>
  <c r="P163" i="5"/>
  <c r="Q162" i="5"/>
  <c r="P162" i="5"/>
  <c r="Q161" i="5"/>
  <c r="P161" i="5"/>
  <c r="Q160" i="5"/>
  <c r="P160" i="5"/>
  <c r="Q159" i="5"/>
  <c r="P159" i="5"/>
  <c r="Q158" i="5"/>
  <c r="P158" i="5"/>
  <c r="Q157" i="5"/>
  <c r="P157" i="5"/>
  <c r="Q156" i="5"/>
  <c r="P156" i="5"/>
  <c r="Q155" i="5"/>
  <c r="P155" i="5"/>
  <c r="Q168" i="5" l="1"/>
  <c r="S157" i="5"/>
  <c r="R155" i="5"/>
  <c r="R157" i="5"/>
  <c r="U157" i="5" s="1"/>
  <c r="R159" i="5"/>
  <c r="U159" i="5" s="1"/>
  <c r="V159" i="5" s="1"/>
  <c r="R160" i="5"/>
  <c r="U160" i="5" s="1"/>
  <c r="V160" i="5" s="1"/>
  <c r="R166" i="5"/>
  <c r="S155" i="5"/>
  <c r="R158" i="5"/>
  <c r="U158" i="5" s="1"/>
  <c r="S156" i="5"/>
  <c r="S158" i="5"/>
  <c r="S160" i="5"/>
  <c r="S166" i="5"/>
  <c r="S159" i="5"/>
  <c r="R156" i="5"/>
  <c r="U156" i="5" s="1"/>
  <c r="R165" i="5"/>
  <c r="S165" i="5"/>
  <c r="R164" i="5"/>
  <c r="S164" i="5"/>
  <c r="S163" i="5"/>
  <c r="R163" i="5"/>
  <c r="U163" i="5" s="1"/>
  <c r="V163" i="5" s="1"/>
  <c r="S162" i="5"/>
  <c r="R162" i="5"/>
  <c r="W162" i="5" s="1"/>
  <c r="S161" i="5"/>
  <c r="R161" i="5"/>
  <c r="P168" i="5"/>
  <c r="Q126" i="5"/>
  <c r="P126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U117" i="5" s="1"/>
  <c r="S116" i="5"/>
  <c r="R116" i="5"/>
  <c r="U116" i="5" s="1"/>
  <c r="S115" i="5"/>
  <c r="R115" i="5"/>
  <c r="U115" i="5" s="1"/>
  <c r="S114" i="5"/>
  <c r="R114" i="5"/>
  <c r="S113" i="5"/>
  <c r="R113" i="5"/>
  <c r="X160" i="5" l="1"/>
  <c r="Z160" i="5"/>
  <c r="Y163" i="5"/>
  <c r="W163" i="5"/>
  <c r="Z122" i="5"/>
  <c r="W122" i="5"/>
  <c r="U122" i="5"/>
  <c r="V122" i="5" s="1"/>
  <c r="Y122" i="5"/>
  <c r="X122" i="5"/>
  <c r="X123" i="5"/>
  <c r="W123" i="5"/>
  <c r="U123" i="5"/>
  <c r="V123" i="5" s="1"/>
  <c r="Z123" i="5"/>
  <c r="Y123" i="5"/>
  <c r="U162" i="5"/>
  <c r="V162" i="5" s="1"/>
  <c r="X162" i="5"/>
  <c r="Y162" i="5"/>
  <c r="Z162" i="5"/>
  <c r="Z124" i="5"/>
  <c r="Y124" i="5"/>
  <c r="X124" i="5"/>
  <c r="W124" i="5"/>
  <c r="U124" i="5"/>
  <c r="V124" i="5" s="1"/>
  <c r="X163" i="5"/>
  <c r="U155" i="5"/>
  <c r="R176" i="5"/>
  <c r="Y160" i="5"/>
  <c r="W119" i="5"/>
  <c r="U119" i="5"/>
  <c r="V119" i="5" s="1"/>
  <c r="Z119" i="5"/>
  <c r="Y119" i="5"/>
  <c r="X119" i="5"/>
  <c r="W160" i="5"/>
  <c r="U120" i="5"/>
  <c r="V120" i="5" s="1"/>
  <c r="Z120" i="5"/>
  <c r="Y120" i="5"/>
  <c r="X120" i="5"/>
  <c r="W120" i="5"/>
  <c r="Z121" i="5"/>
  <c r="Y121" i="5"/>
  <c r="X121" i="5"/>
  <c r="W121" i="5"/>
  <c r="U121" i="5"/>
  <c r="V121" i="5" s="1"/>
  <c r="Y118" i="5"/>
  <c r="X118" i="5"/>
  <c r="W118" i="5"/>
  <c r="U118" i="5"/>
  <c r="V118" i="5" s="1"/>
  <c r="Z118" i="5"/>
  <c r="Z163" i="5"/>
  <c r="Z161" i="5"/>
  <c r="U161" i="5"/>
  <c r="V161" i="5" s="1"/>
  <c r="Y161" i="5"/>
  <c r="X161" i="5"/>
  <c r="W161" i="5"/>
  <c r="AC105" i="5"/>
  <c r="AB105" i="5"/>
  <c r="AB84" i="5"/>
  <c r="AC84" i="5" l="1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M147" i="3" l="1"/>
  <c r="L147" i="3"/>
  <c r="M189" i="5" l="1"/>
  <c r="L189" i="5"/>
  <c r="O147" i="5" l="1"/>
  <c r="N147" i="5"/>
  <c r="M147" i="5"/>
  <c r="L147" i="5"/>
  <c r="K147" i="5"/>
  <c r="J147" i="5"/>
  <c r="I147" i="5"/>
  <c r="H147" i="5"/>
  <c r="G147" i="5"/>
  <c r="F147" i="5"/>
  <c r="E147" i="5"/>
  <c r="D147" i="5"/>
  <c r="Q145" i="5"/>
  <c r="P145" i="5"/>
  <c r="Q144" i="5"/>
  <c r="P144" i="5"/>
  <c r="Q143" i="5"/>
  <c r="P143" i="5"/>
  <c r="Q142" i="5"/>
  <c r="P142" i="5"/>
  <c r="Q141" i="5"/>
  <c r="P141" i="5"/>
  <c r="Q140" i="5"/>
  <c r="P140" i="5"/>
  <c r="Q139" i="5"/>
  <c r="P139" i="5"/>
  <c r="Q138" i="5"/>
  <c r="P138" i="5"/>
  <c r="Q137" i="5"/>
  <c r="P137" i="5"/>
  <c r="Q136" i="5"/>
  <c r="P136" i="5"/>
  <c r="Q135" i="5"/>
  <c r="P135" i="5"/>
  <c r="Q134" i="5"/>
  <c r="P134" i="5"/>
  <c r="X141" i="5" l="1"/>
  <c r="U141" i="5"/>
  <c r="V141" i="5" s="1"/>
  <c r="W141" i="5"/>
  <c r="Z141" i="5"/>
  <c r="Y141" i="5"/>
  <c r="W139" i="5"/>
  <c r="U139" i="5"/>
  <c r="V139" i="5" s="1"/>
  <c r="Z139" i="5"/>
  <c r="X139" i="5"/>
  <c r="Y139" i="5"/>
  <c r="W142" i="5"/>
  <c r="Y142" i="5"/>
  <c r="Z142" i="5"/>
  <c r="U142" i="5"/>
  <c r="V142" i="5" s="1"/>
  <c r="X142" i="5"/>
  <c r="X140" i="5"/>
  <c r="W140" i="5"/>
  <c r="Y140" i="5"/>
  <c r="Z140" i="5"/>
  <c r="U140" i="5"/>
  <c r="V140" i="5" s="1"/>
  <c r="W138" i="5"/>
  <c r="Y138" i="5"/>
  <c r="Z138" i="5"/>
  <c r="U138" i="5"/>
  <c r="V138" i="5" s="1"/>
  <c r="X138" i="5"/>
  <c r="X137" i="5"/>
  <c r="U137" i="5"/>
  <c r="V137" i="5" s="1"/>
  <c r="W137" i="5"/>
  <c r="Z137" i="5"/>
  <c r="Y137" i="5"/>
  <c r="Y136" i="5"/>
  <c r="X136" i="5"/>
  <c r="W136" i="5"/>
  <c r="Z136" i="5"/>
  <c r="U136" i="5"/>
  <c r="V136" i="5" s="1"/>
  <c r="Q147" i="5"/>
  <c r="P147" i="5"/>
  <c r="U147" i="5" s="1"/>
  <c r="V147" i="5" s="1"/>
  <c r="O126" i="5"/>
  <c r="N126" i="5"/>
  <c r="M126" i="5"/>
  <c r="L126" i="5"/>
  <c r="K126" i="5"/>
  <c r="J126" i="5"/>
  <c r="I126" i="5"/>
  <c r="H126" i="5"/>
  <c r="G126" i="5"/>
  <c r="F126" i="5"/>
  <c r="E126" i="5"/>
  <c r="D126" i="5"/>
  <c r="Z116" i="5" l="1"/>
  <c r="V116" i="5"/>
  <c r="Y116" i="5"/>
  <c r="X116" i="5"/>
  <c r="W116" i="5"/>
  <c r="Y117" i="5"/>
  <c r="X117" i="5"/>
  <c r="V117" i="5"/>
  <c r="W117" i="5"/>
  <c r="Z117" i="5"/>
  <c r="Y115" i="5"/>
  <c r="V115" i="5"/>
  <c r="X115" i="5"/>
  <c r="W115" i="5"/>
  <c r="Z115" i="5"/>
  <c r="W147" i="5"/>
  <c r="Z147" i="5"/>
  <c r="X147" i="5"/>
  <c r="Y147" i="5"/>
  <c r="R126" i="5"/>
  <c r="U126" i="5" s="1"/>
  <c r="V126" i="5" s="1"/>
  <c r="S126" i="5"/>
  <c r="Q102" i="5"/>
  <c r="P102" i="5"/>
  <c r="Q101" i="5"/>
  <c r="P101" i="5"/>
  <c r="Q100" i="5"/>
  <c r="P100" i="5"/>
  <c r="Q99" i="5"/>
  <c r="P99" i="5"/>
  <c r="Q98" i="5"/>
  <c r="P98" i="5"/>
  <c r="Q97" i="5"/>
  <c r="P97" i="5"/>
  <c r="Z97" i="5" s="1"/>
  <c r="Q96" i="5"/>
  <c r="P96" i="5"/>
  <c r="Q95" i="5"/>
  <c r="P95" i="5"/>
  <c r="Q94" i="5"/>
  <c r="P94" i="5"/>
  <c r="Q93" i="5"/>
  <c r="P93" i="5"/>
  <c r="Q92" i="5"/>
  <c r="P92" i="5"/>
  <c r="U102" i="5" l="1"/>
  <c r="V102" i="5" s="1"/>
  <c r="W102" i="5"/>
  <c r="X102" i="5"/>
  <c r="Z102" i="5"/>
  <c r="Y102" i="5"/>
  <c r="Z101" i="5"/>
  <c r="Y101" i="5"/>
  <c r="X101" i="5"/>
  <c r="W101" i="5"/>
  <c r="U101" i="5"/>
  <c r="V101" i="5" s="1"/>
  <c r="W100" i="5"/>
  <c r="Z100" i="5"/>
  <c r="U100" i="5"/>
  <c r="V100" i="5" s="1"/>
  <c r="Y100" i="5"/>
  <c r="X100" i="5"/>
  <c r="U99" i="5"/>
  <c r="V99" i="5" s="1"/>
  <c r="X99" i="5"/>
  <c r="Z99" i="5"/>
  <c r="Y99" i="5"/>
  <c r="W99" i="5"/>
  <c r="U98" i="5"/>
  <c r="V98" i="5" s="1"/>
  <c r="W98" i="5"/>
  <c r="Z98" i="5"/>
  <c r="Y98" i="5"/>
  <c r="X98" i="5"/>
  <c r="Y97" i="5"/>
  <c r="U97" i="5"/>
  <c r="V97" i="5" s="1"/>
  <c r="W97" i="5"/>
  <c r="X97" i="5"/>
  <c r="Z92" i="5"/>
  <c r="U92" i="5"/>
  <c r="V92" i="5" s="1"/>
  <c r="Y92" i="5"/>
  <c r="X92" i="5"/>
  <c r="W92" i="5"/>
  <c r="X94" i="5"/>
  <c r="Z94" i="5"/>
  <c r="W94" i="5"/>
  <c r="U94" i="5"/>
  <c r="V94" i="5" s="1"/>
  <c r="Y94" i="5"/>
  <c r="X96" i="5"/>
  <c r="U96" i="5"/>
  <c r="V96" i="5" s="1"/>
  <c r="Y96" i="5"/>
  <c r="W96" i="5"/>
  <c r="Z96" i="5"/>
  <c r="Y93" i="5"/>
  <c r="W93" i="5"/>
  <c r="X93" i="5"/>
  <c r="Z93" i="5"/>
  <c r="U93" i="5"/>
  <c r="V93" i="5" s="1"/>
  <c r="W95" i="5"/>
  <c r="Y95" i="5"/>
  <c r="Z95" i="5"/>
  <c r="U95" i="5"/>
  <c r="V95" i="5" s="1"/>
  <c r="X95" i="5"/>
  <c r="Z126" i="5"/>
  <c r="Y126" i="5"/>
  <c r="X126" i="5"/>
  <c r="W126" i="5"/>
  <c r="Q81" i="5"/>
  <c r="P81" i="5"/>
  <c r="Q80" i="5"/>
  <c r="P80" i="5"/>
  <c r="Q79" i="5"/>
  <c r="P79" i="5"/>
  <c r="Q78" i="5"/>
  <c r="P78" i="5"/>
  <c r="Q77" i="5"/>
  <c r="P77" i="5"/>
  <c r="Q76" i="5"/>
  <c r="P76" i="5"/>
  <c r="Z76" i="5" s="1"/>
  <c r="Q75" i="5"/>
  <c r="P75" i="5"/>
  <c r="Q74" i="5"/>
  <c r="P74" i="5"/>
  <c r="Q73" i="5"/>
  <c r="P73" i="5"/>
  <c r="Q72" i="5"/>
  <c r="P72" i="5"/>
  <c r="Q71" i="5"/>
  <c r="P71" i="5"/>
  <c r="Q57" i="5"/>
  <c r="P57" i="5"/>
  <c r="Q56" i="5"/>
  <c r="P56" i="5"/>
  <c r="Q55" i="5"/>
  <c r="P55" i="5"/>
  <c r="Q54" i="5"/>
  <c r="P54" i="5"/>
  <c r="Q53" i="5"/>
  <c r="P53" i="5"/>
  <c r="Q52" i="5"/>
  <c r="P52" i="5"/>
  <c r="Q51" i="5"/>
  <c r="P51" i="5"/>
  <c r="Q50" i="5"/>
  <c r="P50" i="5"/>
  <c r="Z80" i="5" l="1"/>
  <c r="Y80" i="5"/>
  <c r="X80" i="5"/>
  <c r="W80" i="5"/>
  <c r="U80" i="5"/>
  <c r="V80" i="5" s="1"/>
  <c r="U81" i="5"/>
  <c r="V81" i="5" s="1"/>
  <c r="X81" i="5"/>
  <c r="W81" i="5"/>
  <c r="Z81" i="5"/>
  <c r="Y81" i="5"/>
  <c r="Y78" i="5"/>
  <c r="Z78" i="5"/>
  <c r="X78" i="5"/>
  <c r="W78" i="5"/>
  <c r="U78" i="5"/>
  <c r="V78" i="5" s="1"/>
  <c r="Z79" i="5"/>
  <c r="Y79" i="5"/>
  <c r="W79" i="5"/>
  <c r="X79" i="5"/>
  <c r="U79" i="5"/>
  <c r="V79" i="5" s="1"/>
  <c r="U55" i="5"/>
  <c r="V55" i="5" s="1"/>
  <c r="Z55" i="5"/>
  <c r="Y55" i="5"/>
  <c r="X55" i="5"/>
  <c r="W55" i="5"/>
  <c r="X56" i="5"/>
  <c r="U56" i="5"/>
  <c r="V56" i="5" s="1"/>
  <c r="W56" i="5"/>
  <c r="Y56" i="5"/>
  <c r="Z56" i="5"/>
  <c r="W77" i="5"/>
  <c r="Z77" i="5"/>
  <c r="U77" i="5"/>
  <c r="V77" i="5" s="1"/>
  <c r="Y77" i="5"/>
  <c r="X77" i="5"/>
  <c r="Y57" i="5"/>
  <c r="Z57" i="5"/>
  <c r="W57" i="5"/>
  <c r="X57" i="5"/>
  <c r="U57" i="5"/>
  <c r="V57" i="5" s="1"/>
  <c r="X76" i="5"/>
  <c r="U76" i="5"/>
  <c r="V76" i="5" s="1"/>
  <c r="W76" i="5"/>
  <c r="Y76" i="5"/>
  <c r="X52" i="5"/>
  <c r="Z52" i="5"/>
  <c r="W52" i="5"/>
  <c r="U52" i="5"/>
  <c r="V52" i="5" s="1"/>
  <c r="Y52" i="5"/>
  <c r="Z54" i="5"/>
  <c r="U54" i="5"/>
  <c r="V54" i="5" s="1"/>
  <c r="W54" i="5"/>
  <c r="Y54" i="5"/>
  <c r="X54" i="5"/>
  <c r="Z71" i="5"/>
  <c r="U71" i="5"/>
  <c r="V71" i="5" s="1"/>
  <c r="X71" i="5"/>
  <c r="Y71" i="5"/>
  <c r="W71" i="5"/>
  <c r="X73" i="5"/>
  <c r="U73" i="5"/>
  <c r="V73" i="5" s="1"/>
  <c r="W73" i="5"/>
  <c r="Z73" i="5"/>
  <c r="Y73" i="5"/>
  <c r="W75" i="5"/>
  <c r="Y75" i="5"/>
  <c r="Z75" i="5"/>
  <c r="U75" i="5"/>
  <c r="V75" i="5" s="1"/>
  <c r="X75" i="5"/>
  <c r="Z50" i="5"/>
  <c r="U50" i="5"/>
  <c r="V50" i="5" s="1"/>
  <c r="X50" i="5"/>
  <c r="Y50" i="5"/>
  <c r="W50" i="5"/>
  <c r="Y51" i="5"/>
  <c r="W51" i="5"/>
  <c r="X51" i="5"/>
  <c r="Z51" i="5"/>
  <c r="U51" i="5"/>
  <c r="V51" i="5" s="1"/>
  <c r="W53" i="5"/>
  <c r="Z53" i="5"/>
  <c r="U53" i="5"/>
  <c r="V53" i="5" s="1"/>
  <c r="Y53" i="5"/>
  <c r="X53" i="5"/>
  <c r="Y72" i="5"/>
  <c r="X72" i="5"/>
  <c r="W72" i="5"/>
  <c r="Z72" i="5"/>
  <c r="U72" i="5"/>
  <c r="V72" i="5" s="1"/>
  <c r="W74" i="5"/>
  <c r="Y74" i="5"/>
  <c r="Z74" i="5"/>
  <c r="U74" i="5"/>
  <c r="V74" i="5" s="1"/>
  <c r="X74" i="5"/>
  <c r="Q15" i="5"/>
  <c r="P15" i="5"/>
  <c r="Q14" i="5"/>
  <c r="P14" i="5"/>
  <c r="Q13" i="5"/>
  <c r="P13" i="5"/>
  <c r="Z13" i="5" s="1"/>
  <c r="Q12" i="5"/>
  <c r="P12" i="5"/>
  <c r="Q11" i="5"/>
  <c r="P11" i="5"/>
  <c r="Q10" i="5"/>
  <c r="P10" i="5"/>
  <c r="Q9" i="5"/>
  <c r="P9" i="5"/>
  <c r="Q8" i="5"/>
  <c r="P8" i="5"/>
  <c r="Z15" i="5" l="1"/>
  <c r="Y15" i="5"/>
  <c r="X15" i="5"/>
  <c r="W15" i="5"/>
  <c r="U15" i="5"/>
  <c r="V15" i="5" s="1"/>
  <c r="W14" i="5"/>
  <c r="Z14" i="5"/>
  <c r="Y14" i="5"/>
  <c r="U14" i="5"/>
  <c r="V14" i="5" s="1"/>
  <c r="X14" i="5"/>
  <c r="Y13" i="5"/>
  <c r="U13" i="5"/>
  <c r="V13" i="5" s="1"/>
  <c r="X13" i="5"/>
  <c r="W13" i="5"/>
  <c r="Y9" i="5"/>
  <c r="X9" i="5"/>
  <c r="W9" i="5"/>
  <c r="Z9" i="5"/>
  <c r="U9" i="5"/>
  <c r="V9" i="5" s="1"/>
  <c r="Z8" i="5"/>
  <c r="U8" i="5"/>
  <c r="V8" i="5" s="1"/>
  <c r="Y8" i="5"/>
  <c r="X8" i="5"/>
  <c r="W8" i="5"/>
  <c r="X10" i="5"/>
  <c r="U10" i="5"/>
  <c r="V10" i="5" s="1"/>
  <c r="W10" i="5"/>
  <c r="Z10" i="5"/>
  <c r="Y10" i="5"/>
  <c r="X12" i="5"/>
  <c r="Z12" i="5"/>
  <c r="Y12" i="5"/>
  <c r="W12" i="5"/>
  <c r="U12" i="5"/>
  <c r="V12" i="5" s="1"/>
  <c r="W11" i="5"/>
  <c r="Y11" i="5"/>
  <c r="Z11" i="5"/>
  <c r="U11" i="5"/>
  <c r="V11" i="5" s="1"/>
  <c r="X11" i="5"/>
  <c r="K189" i="5"/>
  <c r="J189" i="5"/>
  <c r="I189" i="5"/>
  <c r="H189" i="5"/>
  <c r="G189" i="5"/>
  <c r="F189" i="5"/>
  <c r="E189" i="5"/>
  <c r="D189" i="5"/>
  <c r="R184" i="5"/>
  <c r="R181" i="5"/>
  <c r="O168" i="5"/>
  <c r="K168" i="5"/>
  <c r="J168" i="5"/>
  <c r="G168" i="5"/>
  <c r="F168" i="5"/>
  <c r="E168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Q103" i="5"/>
  <c r="P103" i="5"/>
  <c r="O84" i="5"/>
  <c r="N84" i="5"/>
  <c r="M84" i="5"/>
  <c r="L84" i="5"/>
  <c r="K84" i="5"/>
  <c r="J84" i="5"/>
  <c r="I84" i="5"/>
  <c r="H84" i="5"/>
  <c r="G84" i="5"/>
  <c r="F84" i="5"/>
  <c r="E84" i="5"/>
  <c r="D84" i="5"/>
  <c r="Q82" i="5"/>
  <c r="Q84" i="5" s="1"/>
  <c r="P82" i="5"/>
  <c r="O63" i="5"/>
  <c r="N63" i="5"/>
  <c r="M63" i="5"/>
  <c r="L63" i="5"/>
  <c r="K63" i="5"/>
  <c r="J63" i="5"/>
  <c r="I63" i="5"/>
  <c r="H63" i="5"/>
  <c r="G63" i="5"/>
  <c r="F63" i="5"/>
  <c r="E63" i="5"/>
  <c r="D63" i="5"/>
  <c r="Q61" i="5"/>
  <c r="P61" i="5"/>
  <c r="Q60" i="5"/>
  <c r="P60" i="5"/>
  <c r="Q59" i="5"/>
  <c r="P59" i="5"/>
  <c r="Q58" i="5"/>
  <c r="P58" i="5"/>
  <c r="O42" i="5"/>
  <c r="N42" i="5"/>
  <c r="M42" i="5"/>
  <c r="L42" i="5"/>
  <c r="K42" i="5"/>
  <c r="J42" i="5"/>
  <c r="I42" i="5"/>
  <c r="H42" i="5"/>
  <c r="G42" i="5"/>
  <c r="F42" i="5"/>
  <c r="E42" i="5"/>
  <c r="D42" i="5"/>
  <c r="Q40" i="5"/>
  <c r="P40" i="5"/>
  <c r="Q39" i="5"/>
  <c r="P39" i="5"/>
  <c r="Q38" i="5"/>
  <c r="P38" i="5"/>
  <c r="Q37" i="5"/>
  <c r="P37" i="5"/>
  <c r="Q36" i="5"/>
  <c r="P36" i="5"/>
  <c r="Q35" i="5"/>
  <c r="P35" i="5"/>
  <c r="Q34" i="5"/>
  <c r="P34" i="5"/>
  <c r="Q33" i="5"/>
  <c r="P33" i="5"/>
  <c r="Q32" i="5"/>
  <c r="P32" i="5"/>
  <c r="Q31" i="5"/>
  <c r="P31" i="5"/>
  <c r="Q30" i="5"/>
  <c r="P30" i="5"/>
  <c r="Q29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Q19" i="5"/>
  <c r="P19" i="5"/>
  <c r="Q18" i="5"/>
  <c r="P18" i="5"/>
  <c r="Q17" i="5"/>
  <c r="P17" i="5"/>
  <c r="Q16" i="5"/>
  <c r="P16" i="5"/>
  <c r="W39" i="5" l="1"/>
  <c r="X39" i="5"/>
  <c r="U39" i="5"/>
  <c r="V39" i="5" s="1"/>
  <c r="Y39" i="5"/>
  <c r="Z39" i="5"/>
  <c r="Z17" i="5"/>
  <c r="Y17" i="5"/>
  <c r="X17" i="5"/>
  <c r="W17" i="5"/>
  <c r="U17" i="5"/>
  <c r="V17" i="5" s="1"/>
  <c r="Y40" i="5"/>
  <c r="X40" i="5"/>
  <c r="W40" i="5"/>
  <c r="U40" i="5"/>
  <c r="V40" i="5" s="1"/>
  <c r="Z40" i="5"/>
  <c r="Y59" i="5"/>
  <c r="Z59" i="5"/>
  <c r="U59" i="5"/>
  <c r="V59" i="5" s="1"/>
  <c r="X59" i="5"/>
  <c r="W59" i="5"/>
  <c r="P105" i="5"/>
  <c r="Y105" i="5" s="1"/>
  <c r="Y103" i="5"/>
  <c r="X103" i="5"/>
  <c r="U103" i="5"/>
  <c r="V103" i="5" s="1"/>
  <c r="W103" i="5"/>
  <c r="Z103" i="5"/>
  <c r="W18" i="5"/>
  <c r="U18" i="5"/>
  <c r="V18" i="5" s="1"/>
  <c r="Y18" i="5"/>
  <c r="Z18" i="5"/>
  <c r="X18" i="5"/>
  <c r="W60" i="5"/>
  <c r="X60" i="5"/>
  <c r="U60" i="5"/>
  <c r="V60" i="5" s="1"/>
  <c r="Z60" i="5"/>
  <c r="Y60" i="5"/>
  <c r="P84" i="5"/>
  <c r="U84" i="5" s="1"/>
  <c r="V84" i="5" s="1"/>
  <c r="Y82" i="5"/>
  <c r="X82" i="5"/>
  <c r="U82" i="5"/>
  <c r="V82" i="5" s="1"/>
  <c r="W82" i="5"/>
  <c r="Z82" i="5"/>
  <c r="Z19" i="5"/>
  <c r="W19" i="5"/>
  <c r="Y19" i="5"/>
  <c r="X19" i="5"/>
  <c r="U19" i="5"/>
  <c r="V19" i="5" s="1"/>
  <c r="W38" i="5"/>
  <c r="Z38" i="5"/>
  <c r="U38" i="5"/>
  <c r="V38" i="5" s="1"/>
  <c r="Y38" i="5"/>
  <c r="X38" i="5"/>
  <c r="Z61" i="5"/>
  <c r="Y61" i="5"/>
  <c r="X61" i="5"/>
  <c r="W61" i="5"/>
  <c r="U61" i="5"/>
  <c r="V61" i="5" s="1"/>
  <c r="X16" i="5"/>
  <c r="Z16" i="5"/>
  <c r="W16" i="5"/>
  <c r="U16" i="5"/>
  <c r="V16" i="5" s="1"/>
  <c r="Y16" i="5"/>
  <c r="Y58" i="5"/>
  <c r="X58" i="5"/>
  <c r="U58" i="5"/>
  <c r="V58" i="5" s="1"/>
  <c r="Z58" i="5"/>
  <c r="W58" i="5"/>
  <c r="Z35" i="5"/>
  <c r="Y35" i="5"/>
  <c r="X35" i="5"/>
  <c r="U35" i="5"/>
  <c r="V35" i="5" s="1"/>
  <c r="W35" i="5"/>
  <c r="U37" i="5"/>
  <c r="V37" i="5" s="1"/>
  <c r="X37" i="5"/>
  <c r="Z37" i="5"/>
  <c r="W37" i="5"/>
  <c r="Y37" i="5"/>
  <c r="W36" i="5"/>
  <c r="U36" i="5"/>
  <c r="V36" i="5" s="1"/>
  <c r="Z36" i="5"/>
  <c r="Y36" i="5"/>
  <c r="X36" i="5"/>
  <c r="Z34" i="5"/>
  <c r="X34" i="5"/>
  <c r="W34" i="5"/>
  <c r="Y34" i="5"/>
  <c r="U34" i="5"/>
  <c r="V34" i="5" s="1"/>
  <c r="Y30" i="5"/>
  <c r="W30" i="5"/>
  <c r="X30" i="5"/>
  <c r="Z30" i="5"/>
  <c r="U30" i="5"/>
  <c r="V30" i="5" s="1"/>
  <c r="W32" i="5"/>
  <c r="Z32" i="5"/>
  <c r="U32" i="5"/>
  <c r="V32" i="5" s="1"/>
  <c r="Y32" i="5"/>
  <c r="X32" i="5"/>
  <c r="P21" i="5"/>
  <c r="W21" i="5" s="1"/>
  <c r="Z29" i="5"/>
  <c r="U29" i="5"/>
  <c r="V29" i="5" s="1"/>
  <c r="Y29" i="5"/>
  <c r="X29" i="5"/>
  <c r="W29" i="5"/>
  <c r="X31" i="5"/>
  <c r="Z31" i="5"/>
  <c r="W31" i="5"/>
  <c r="U31" i="5"/>
  <c r="V31" i="5" s="1"/>
  <c r="Y31" i="5"/>
  <c r="Y33" i="5"/>
  <c r="W33" i="5"/>
  <c r="X33" i="5"/>
  <c r="Z33" i="5"/>
  <c r="U33" i="5"/>
  <c r="V33" i="5" s="1"/>
  <c r="U105" i="5"/>
  <c r="V105" i="5" s="1"/>
  <c r="X105" i="5"/>
  <c r="Z105" i="5"/>
  <c r="X84" i="5"/>
  <c r="Z84" i="5"/>
  <c r="W84" i="5"/>
  <c r="P63" i="5"/>
  <c r="Q63" i="5"/>
  <c r="Q21" i="5"/>
  <c r="R182" i="5"/>
  <c r="S176" i="5"/>
  <c r="S179" i="5"/>
  <c r="S180" i="5"/>
  <c r="S181" i="5"/>
  <c r="S182" i="5"/>
  <c r="S183" i="5"/>
  <c r="S184" i="5"/>
  <c r="R183" i="5"/>
  <c r="Q42" i="5"/>
  <c r="S178" i="5"/>
  <c r="N189" i="5"/>
  <c r="O189" i="5"/>
  <c r="L168" i="5"/>
  <c r="M168" i="5"/>
  <c r="H168" i="5"/>
  <c r="I168" i="5"/>
  <c r="D168" i="5"/>
  <c r="P42" i="5"/>
  <c r="Y42" i="5" s="1"/>
  <c r="S177" i="5"/>
  <c r="N168" i="5"/>
  <c r="Q105" i="5"/>
  <c r="R185" i="5"/>
  <c r="R186" i="5"/>
  <c r="S185" i="5"/>
  <c r="S186" i="5"/>
  <c r="S187" i="5"/>
  <c r="R187" i="5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05" i="3"/>
  <c r="N105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O84" i="3"/>
  <c r="N84" i="3"/>
  <c r="Q82" i="3"/>
  <c r="P82" i="3"/>
  <c r="Q81" i="3"/>
  <c r="P81" i="3"/>
  <c r="Q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P80" i="3"/>
  <c r="O63" i="3"/>
  <c r="N63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O42" i="3"/>
  <c r="N42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O21" i="3"/>
  <c r="N21" i="3"/>
  <c r="Q19" i="3"/>
  <c r="P19" i="3"/>
  <c r="Q18" i="3"/>
  <c r="P18" i="3"/>
  <c r="Q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P17" i="3"/>
  <c r="W105" i="5" l="1"/>
  <c r="Y84" i="5"/>
  <c r="N126" i="3"/>
  <c r="X21" i="5"/>
  <c r="Y21" i="5"/>
  <c r="R177" i="5"/>
  <c r="W156" i="5"/>
  <c r="Y156" i="5"/>
  <c r="X156" i="5"/>
  <c r="V156" i="5"/>
  <c r="Z156" i="5"/>
  <c r="R179" i="5"/>
  <c r="X158" i="5"/>
  <c r="Y158" i="5"/>
  <c r="W158" i="5"/>
  <c r="Z158" i="5"/>
  <c r="V158" i="5"/>
  <c r="R180" i="5"/>
  <c r="W159" i="5"/>
  <c r="Z159" i="5"/>
  <c r="Y159" i="5"/>
  <c r="X159" i="5"/>
  <c r="Z21" i="5"/>
  <c r="W155" i="5"/>
  <c r="X155" i="5"/>
  <c r="Y155" i="5"/>
  <c r="Z155" i="5"/>
  <c r="V155" i="5"/>
  <c r="U21" i="5"/>
  <c r="V21" i="5" s="1"/>
  <c r="X157" i="5"/>
  <c r="R178" i="5"/>
  <c r="W157" i="5"/>
  <c r="Z157" i="5"/>
  <c r="V157" i="5"/>
  <c r="Y157" i="5"/>
  <c r="S189" i="5"/>
  <c r="X63" i="5"/>
  <c r="Z63" i="5"/>
  <c r="Y63" i="5"/>
  <c r="W63" i="5"/>
  <c r="U63" i="5"/>
  <c r="V63" i="5" s="1"/>
  <c r="X42" i="5"/>
  <c r="Z42" i="5"/>
  <c r="W42" i="5"/>
  <c r="U42" i="5"/>
  <c r="V42" i="5" s="1"/>
  <c r="S168" i="5"/>
  <c r="R168" i="5"/>
  <c r="O126" i="3"/>
  <c r="M124" i="2"/>
  <c r="L124" i="2"/>
  <c r="M123" i="2"/>
  <c r="L123" i="2"/>
  <c r="M122" i="2"/>
  <c r="L122" i="2"/>
  <c r="L121" i="2"/>
  <c r="M121" i="2"/>
  <c r="R189" i="5" l="1"/>
  <c r="X168" i="5"/>
  <c r="W168" i="5"/>
  <c r="Z168" i="5"/>
  <c r="Y168" i="5"/>
  <c r="U168" i="5"/>
  <c r="V168" i="5" s="1"/>
  <c r="M124" i="3"/>
  <c r="L124" i="3"/>
  <c r="K124" i="3"/>
  <c r="J124" i="3"/>
  <c r="I124" i="3"/>
  <c r="H124" i="3"/>
  <c r="G124" i="3"/>
  <c r="F124" i="3"/>
  <c r="E124" i="3"/>
  <c r="D124" i="3"/>
  <c r="M123" i="3"/>
  <c r="L123" i="3"/>
  <c r="K123" i="3"/>
  <c r="J123" i="3"/>
  <c r="I123" i="3"/>
  <c r="H123" i="3"/>
  <c r="G123" i="3"/>
  <c r="F123" i="3"/>
  <c r="E123" i="3"/>
  <c r="D123" i="3"/>
  <c r="M122" i="3"/>
  <c r="L122" i="3"/>
  <c r="K122" i="3"/>
  <c r="J122" i="3"/>
  <c r="I122" i="3"/>
  <c r="H122" i="3"/>
  <c r="G122" i="3"/>
  <c r="F122" i="3"/>
  <c r="E122" i="3"/>
  <c r="D122" i="3"/>
  <c r="M121" i="3"/>
  <c r="L121" i="3"/>
  <c r="K121" i="3"/>
  <c r="J121" i="3"/>
  <c r="I121" i="3"/>
  <c r="H121" i="3"/>
  <c r="G121" i="3"/>
  <c r="F121" i="3"/>
  <c r="E121" i="3"/>
  <c r="D121" i="3"/>
  <c r="M120" i="3"/>
  <c r="L120" i="3"/>
  <c r="K120" i="3"/>
  <c r="J120" i="3"/>
  <c r="I120" i="3"/>
  <c r="H120" i="3"/>
  <c r="G120" i="3"/>
  <c r="F120" i="3"/>
  <c r="E120" i="3"/>
  <c r="D120" i="3"/>
  <c r="M119" i="3"/>
  <c r="L119" i="3"/>
  <c r="K119" i="3"/>
  <c r="J119" i="3"/>
  <c r="I119" i="3"/>
  <c r="H119" i="3"/>
  <c r="G119" i="3"/>
  <c r="F119" i="3"/>
  <c r="E119" i="3"/>
  <c r="D119" i="3"/>
  <c r="M118" i="3"/>
  <c r="L118" i="3"/>
  <c r="K118" i="3"/>
  <c r="J118" i="3"/>
  <c r="I118" i="3"/>
  <c r="H118" i="3"/>
  <c r="G118" i="3"/>
  <c r="F118" i="3"/>
  <c r="E118" i="3"/>
  <c r="D118" i="3"/>
  <c r="M117" i="3"/>
  <c r="L117" i="3"/>
  <c r="K117" i="3"/>
  <c r="J117" i="3"/>
  <c r="I117" i="3"/>
  <c r="H117" i="3"/>
  <c r="G117" i="3"/>
  <c r="F117" i="3"/>
  <c r="E117" i="3"/>
  <c r="D117" i="3"/>
  <c r="M116" i="3"/>
  <c r="L116" i="3"/>
  <c r="K116" i="3"/>
  <c r="J116" i="3"/>
  <c r="I116" i="3"/>
  <c r="H116" i="3"/>
  <c r="G116" i="3"/>
  <c r="F116" i="3"/>
  <c r="E116" i="3"/>
  <c r="D116" i="3"/>
  <c r="M115" i="3"/>
  <c r="L115" i="3"/>
  <c r="K115" i="3"/>
  <c r="J115" i="3"/>
  <c r="I115" i="3"/>
  <c r="H115" i="3"/>
  <c r="G115" i="3"/>
  <c r="F115" i="3"/>
  <c r="E115" i="3"/>
  <c r="D115" i="3"/>
  <c r="M114" i="3"/>
  <c r="L114" i="3"/>
  <c r="K114" i="3"/>
  <c r="J114" i="3"/>
  <c r="I114" i="3"/>
  <c r="H114" i="3"/>
  <c r="G114" i="3"/>
  <c r="F114" i="3"/>
  <c r="E114" i="3"/>
  <c r="D114" i="3"/>
  <c r="M113" i="3"/>
  <c r="L113" i="3"/>
  <c r="K113" i="3"/>
  <c r="J113" i="3"/>
  <c r="I113" i="3"/>
  <c r="H113" i="3"/>
  <c r="G113" i="3"/>
  <c r="F113" i="3"/>
  <c r="E113" i="3"/>
  <c r="D113" i="3"/>
  <c r="M105" i="3"/>
  <c r="L105" i="3"/>
  <c r="K105" i="3"/>
  <c r="J105" i="3"/>
  <c r="I105" i="3"/>
  <c r="H105" i="3"/>
  <c r="G105" i="3"/>
  <c r="F105" i="3"/>
  <c r="E105" i="3"/>
  <c r="D105" i="3"/>
  <c r="P116" i="3" l="1"/>
  <c r="P122" i="3"/>
  <c r="Q114" i="3"/>
  <c r="Q116" i="3"/>
  <c r="Q118" i="3"/>
  <c r="Q120" i="3"/>
  <c r="Q122" i="3"/>
  <c r="P118" i="3"/>
  <c r="P113" i="3"/>
  <c r="P115" i="3"/>
  <c r="P117" i="3"/>
  <c r="P119" i="3"/>
  <c r="P121" i="3"/>
  <c r="P114" i="3"/>
  <c r="P120" i="3"/>
  <c r="Q113" i="3"/>
  <c r="Q115" i="3"/>
  <c r="Q117" i="3"/>
  <c r="Q119" i="3"/>
  <c r="Q121" i="3"/>
  <c r="P124" i="3"/>
  <c r="Q124" i="3"/>
  <c r="Q123" i="3"/>
  <c r="P123" i="3"/>
  <c r="P105" i="3"/>
  <c r="Q105" i="3"/>
  <c r="K122" i="4"/>
  <c r="J122" i="4"/>
  <c r="I122" i="4"/>
  <c r="H122" i="4"/>
  <c r="G122" i="4"/>
  <c r="F122" i="4"/>
  <c r="E122" i="4"/>
  <c r="D122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05" i="4"/>
  <c r="L105" i="4"/>
  <c r="K105" i="4"/>
  <c r="J105" i="4"/>
  <c r="I105" i="4"/>
  <c r="H105" i="4"/>
  <c r="G105" i="4"/>
  <c r="F105" i="4"/>
  <c r="E105" i="4"/>
  <c r="D105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M84" i="4"/>
  <c r="L84" i="4"/>
  <c r="K84" i="4"/>
  <c r="J84" i="4"/>
  <c r="I84" i="4"/>
  <c r="H84" i="4"/>
  <c r="G84" i="4"/>
  <c r="F84" i="4"/>
  <c r="E84" i="4"/>
  <c r="D84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M63" i="4"/>
  <c r="L63" i="4"/>
  <c r="K63" i="4"/>
  <c r="J63" i="4"/>
  <c r="I63" i="4"/>
  <c r="H63" i="4"/>
  <c r="G63" i="4"/>
  <c r="F63" i="4"/>
  <c r="E63" i="4"/>
  <c r="D63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M42" i="4"/>
  <c r="L42" i="4"/>
  <c r="K42" i="4"/>
  <c r="J42" i="4"/>
  <c r="I42" i="4"/>
  <c r="H42" i="4"/>
  <c r="G42" i="4"/>
  <c r="F42" i="4"/>
  <c r="E42" i="4"/>
  <c r="D42" i="4"/>
  <c r="O40" i="4"/>
  <c r="S40" i="4" s="1"/>
  <c r="N40" i="4"/>
  <c r="R40" i="4" s="1"/>
  <c r="O39" i="4"/>
  <c r="S39" i="4" s="1"/>
  <c r="N39" i="4"/>
  <c r="R39" i="4" s="1"/>
  <c r="O38" i="4"/>
  <c r="S38" i="4" s="1"/>
  <c r="N38" i="4"/>
  <c r="R38" i="4" s="1"/>
  <c r="O37" i="4"/>
  <c r="S37" i="4" s="1"/>
  <c r="N37" i="4"/>
  <c r="R37" i="4" s="1"/>
  <c r="O36" i="4"/>
  <c r="S36" i="4" s="1"/>
  <c r="N36" i="4"/>
  <c r="R36" i="4" s="1"/>
  <c r="O35" i="4"/>
  <c r="S35" i="4" s="1"/>
  <c r="N35" i="4"/>
  <c r="R35" i="4" s="1"/>
  <c r="O34" i="4"/>
  <c r="S34" i="4" s="1"/>
  <c r="N34" i="4"/>
  <c r="R34" i="4" s="1"/>
  <c r="O33" i="4"/>
  <c r="S33" i="4" s="1"/>
  <c r="N33" i="4"/>
  <c r="R33" i="4" s="1"/>
  <c r="O32" i="4"/>
  <c r="S32" i="4" s="1"/>
  <c r="N32" i="4"/>
  <c r="R32" i="4" s="1"/>
  <c r="O31" i="4"/>
  <c r="S31" i="4" s="1"/>
  <c r="N31" i="4"/>
  <c r="R31" i="4" s="1"/>
  <c r="O30" i="4"/>
  <c r="S30" i="4" s="1"/>
  <c r="N30" i="4"/>
  <c r="R30" i="4" s="1"/>
  <c r="O29" i="4"/>
  <c r="S29" i="4" s="1"/>
  <c r="N29" i="4"/>
  <c r="M21" i="4"/>
  <c r="L21" i="4"/>
  <c r="K21" i="4"/>
  <c r="J21" i="4"/>
  <c r="I21" i="4"/>
  <c r="H21" i="4"/>
  <c r="G21" i="4"/>
  <c r="F21" i="4"/>
  <c r="E21" i="4"/>
  <c r="D21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N105" i="4" l="1"/>
  <c r="O21" i="4"/>
  <c r="O105" i="4"/>
  <c r="N84" i="4"/>
  <c r="L122" i="4"/>
  <c r="M122" i="4"/>
  <c r="O84" i="4"/>
  <c r="O63" i="4"/>
  <c r="N63" i="4"/>
  <c r="O42" i="4"/>
  <c r="N42" i="4"/>
  <c r="N21" i="4"/>
  <c r="R29" i="4"/>
  <c r="D147" i="3" l="1"/>
  <c r="K147" i="3"/>
  <c r="J147" i="3"/>
  <c r="I147" i="3"/>
  <c r="H147" i="3"/>
  <c r="G147" i="3"/>
  <c r="F147" i="3"/>
  <c r="E147" i="3"/>
  <c r="M126" i="3"/>
  <c r="L126" i="3"/>
  <c r="K126" i="3"/>
  <c r="J126" i="3"/>
  <c r="I126" i="3"/>
  <c r="H126" i="3"/>
  <c r="G126" i="3"/>
  <c r="F126" i="3"/>
  <c r="E126" i="3"/>
  <c r="D126" i="3"/>
  <c r="M84" i="3"/>
  <c r="L84" i="3"/>
  <c r="K84" i="3"/>
  <c r="J84" i="3"/>
  <c r="I84" i="3"/>
  <c r="H84" i="3"/>
  <c r="G84" i="3"/>
  <c r="F84" i="3"/>
  <c r="E84" i="3"/>
  <c r="D84" i="3"/>
  <c r="M63" i="3"/>
  <c r="L63" i="3"/>
  <c r="K63" i="3"/>
  <c r="J63" i="3"/>
  <c r="I63" i="3"/>
  <c r="H63" i="3"/>
  <c r="G63" i="3"/>
  <c r="F63" i="3"/>
  <c r="E63" i="3"/>
  <c r="D63" i="3"/>
  <c r="M42" i="3"/>
  <c r="L42" i="3"/>
  <c r="K42" i="3"/>
  <c r="J42" i="3"/>
  <c r="I42" i="3"/>
  <c r="H42" i="3"/>
  <c r="G42" i="3"/>
  <c r="F42" i="3"/>
  <c r="E42" i="3"/>
  <c r="D42" i="3"/>
  <c r="M21" i="3"/>
  <c r="L21" i="3"/>
  <c r="K21" i="3"/>
  <c r="J21" i="3"/>
  <c r="I21" i="3"/>
  <c r="H21" i="3"/>
  <c r="G21" i="3"/>
  <c r="F21" i="3"/>
  <c r="E21" i="3"/>
  <c r="D21" i="3"/>
  <c r="H127" i="3" l="1"/>
  <c r="I127" i="3"/>
  <c r="F127" i="3"/>
  <c r="G127" i="3"/>
  <c r="N147" i="3"/>
  <c r="P42" i="3"/>
  <c r="Q21" i="3"/>
  <c r="Q84" i="3"/>
  <c r="O147" i="3"/>
  <c r="P126" i="3"/>
  <c r="Q126" i="3"/>
  <c r="P84" i="3"/>
  <c r="P63" i="3"/>
  <c r="Q63" i="3"/>
  <c r="Q42" i="3"/>
  <c r="P21" i="3"/>
  <c r="M105" i="2"/>
  <c r="L105" i="2"/>
  <c r="K105" i="2"/>
  <c r="J105" i="2"/>
  <c r="I105" i="2"/>
  <c r="H105" i="2"/>
  <c r="G105" i="2"/>
  <c r="F105" i="2"/>
  <c r="E105" i="2"/>
  <c r="D105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N105" i="2" l="1"/>
  <c r="O105" i="2"/>
  <c r="O82" i="2"/>
  <c r="N82" i="2"/>
  <c r="O81" i="2"/>
  <c r="N81" i="2"/>
  <c r="O80" i="2"/>
  <c r="N80" i="2"/>
  <c r="O79" i="2"/>
  <c r="N79" i="2"/>
  <c r="O18" i="2" l="1"/>
  <c r="N18" i="2"/>
  <c r="O17" i="2"/>
  <c r="N17" i="2"/>
  <c r="O16" i="2"/>
  <c r="N16" i="2"/>
  <c r="O15" i="2"/>
  <c r="N15" i="2"/>
  <c r="O40" i="2" l="1"/>
  <c r="N40" i="2"/>
  <c r="O39" i="2"/>
  <c r="N39" i="2"/>
  <c r="O38" i="2"/>
  <c r="N38" i="2"/>
  <c r="O37" i="2"/>
  <c r="N37" i="2"/>
  <c r="O61" i="2" l="1"/>
  <c r="N61" i="2"/>
  <c r="O60" i="2"/>
  <c r="N60" i="2"/>
  <c r="O59" i="2"/>
  <c r="N59" i="2"/>
  <c r="O58" i="2"/>
  <c r="N58" i="2"/>
  <c r="M120" i="2" l="1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84" i="2"/>
  <c r="L84" i="2"/>
  <c r="K84" i="2"/>
  <c r="J84" i="2"/>
  <c r="I84" i="2"/>
  <c r="H84" i="2"/>
  <c r="G84" i="2"/>
  <c r="F84" i="2"/>
  <c r="E84" i="2"/>
  <c r="D84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84" i="2" l="1"/>
  <c r="N84" i="2"/>
  <c r="M63" i="2" l="1"/>
  <c r="L63" i="2"/>
  <c r="K63" i="2"/>
  <c r="J63" i="2"/>
  <c r="I63" i="2"/>
  <c r="H63" i="2"/>
  <c r="G63" i="2"/>
  <c r="F63" i="2"/>
  <c r="E63" i="2"/>
  <c r="D63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N63" i="2" l="1"/>
  <c r="O63" i="2"/>
  <c r="M42" i="2"/>
  <c r="L42" i="2"/>
  <c r="K42" i="2"/>
  <c r="J42" i="2"/>
  <c r="I42" i="2"/>
  <c r="H42" i="2"/>
  <c r="G42" i="2"/>
  <c r="F42" i="2"/>
  <c r="E42" i="2"/>
  <c r="D42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42" i="2" l="1"/>
  <c r="N42" i="2"/>
  <c r="M21" i="2"/>
  <c r="L21" i="2"/>
  <c r="K21" i="2"/>
  <c r="J21" i="2"/>
  <c r="I21" i="2"/>
  <c r="H21" i="2"/>
  <c r="G21" i="2"/>
  <c r="F21" i="2"/>
  <c r="E21" i="2"/>
  <c r="D21" i="2"/>
  <c r="O19" i="2"/>
  <c r="N19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N21" i="2" l="1"/>
  <c r="O21" i="2"/>
  <c r="K126" i="2" l="1"/>
  <c r="J126" i="2"/>
  <c r="L126" i="2" l="1"/>
  <c r="M126" i="2"/>
  <c r="I126" i="2"/>
  <c r="H126" i="2"/>
  <c r="G126" i="2"/>
  <c r="F126" i="2"/>
  <c r="E126" i="2"/>
  <c r="D126" i="2"/>
  <c r="L254" i="12"/>
  <c r="L212" i="12"/>
  <c r="L233" i="12"/>
  <c r="L275" i="12"/>
  <c r="L128" i="12"/>
  <c r="L65" i="12"/>
  <c r="L23" i="12"/>
  <c r="L191" i="12"/>
  <c r="L107" i="12"/>
  <c r="L317" i="12"/>
  <c r="L170" i="12"/>
  <c r="L86" i="12"/>
  <c r="L149" i="12"/>
  <c r="L44" i="12"/>
  <c r="M275" i="13" l="1"/>
  <c r="U275" i="13"/>
</calcChain>
</file>

<file path=xl/sharedStrings.xml><?xml version="1.0" encoding="utf-8"?>
<sst xmlns="http://schemas.openxmlformats.org/spreadsheetml/2006/main" count="14364" uniqueCount="140">
  <si>
    <t>FECHA</t>
  </si>
  <si>
    <t>EJERCICIO</t>
  </si>
  <si>
    <t>AFORO</t>
  </si>
  <si>
    <t>INGRESO</t>
  </si>
  <si>
    <t>AGOSTO</t>
  </si>
  <si>
    <t>ENERO</t>
  </si>
  <si>
    <t>FEBRERO</t>
  </si>
  <si>
    <t>MARZO</t>
  </si>
  <si>
    <t>ABRIL</t>
  </si>
  <si>
    <t>MAYO</t>
  </si>
  <si>
    <t>JUNIO</t>
  </si>
  <si>
    <t>JULIO</t>
  </si>
  <si>
    <t>TOTALES</t>
  </si>
  <si>
    <t>PINFRA</t>
  </si>
  <si>
    <t>Operadora Concesionaria Mexiquense, S.A. de C.V.</t>
  </si>
  <si>
    <t>PREPAGO</t>
  </si>
  <si>
    <t xml:space="preserve">DECENAL </t>
  </si>
  <si>
    <t>I+D</t>
  </si>
  <si>
    <t>CAPUFE</t>
  </si>
  <si>
    <t>Aforo e Ingreso - AUNORTE</t>
  </si>
  <si>
    <t>Aforo e Ingreso - VIADUCTO</t>
  </si>
  <si>
    <t>Aforo e Ingreso - SUPERVIA</t>
  </si>
  <si>
    <t>Aforo e Ingreso - CONMEX</t>
  </si>
  <si>
    <t>AUSUR</t>
  </si>
  <si>
    <t>OTRAS I+D</t>
  </si>
  <si>
    <t>OTRAS CAPUFE</t>
  </si>
  <si>
    <t>OTRAS PINFRA</t>
  </si>
  <si>
    <t>Aforo e Ingreso - INTEROPERABILIDAD (Trafico Facturable)</t>
  </si>
  <si>
    <t>SEPTIEMBRE</t>
  </si>
  <si>
    <t>OCTUBRE</t>
  </si>
  <si>
    <t>NOVIEMBRE</t>
  </si>
  <si>
    <t>DICIEMBRE</t>
  </si>
  <si>
    <t>Aforo e Ingreso - LEPSA</t>
  </si>
  <si>
    <t>Aforo e Ingreso - ACUMULADO</t>
  </si>
  <si>
    <t>SITEL</t>
  </si>
  <si>
    <t>Aforo e Ingreso - GANA</t>
  </si>
  <si>
    <t>Aforo e Ingreso - CAMS</t>
  </si>
  <si>
    <t>OTRAS SITEL</t>
  </si>
  <si>
    <t>Mis en Mis</t>
  </si>
  <si>
    <t>Sus en Mis</t>
  </si>
  <si>
    <t>ID</t>
  </si>
  <si>
    <t>SITE</t>
  </si>
  <si>
    <t>PARTICIPACION</t>
  </si>
  <si>
    <t>TOTALES MIS EN SUS</t>
  </si>
  <si>
    <t>TOTALES MIS EN MIS Y SUS EN MIS</t>
  </si>
  <si>
    <t>FACTURACION TOTAL</t>
  </si>
  <si>
    <t>"AUDI"</t>
  </si>
  <si>
    <t>Aforo e Ingreso - INTEROPERABILIDAD (Trafico Total)</t>
  </si>
  <si>
    <t>PINFRA (OSIPASS)</t>
  </si>
  <si>
    <t>Aforo e Ingreso - CALH</t>
  </si>
  <si>
    <t>Aforo e Ingreso - COBI</t>
  </si>
  <si>
    <t>Aforo e Ingreso - ACCSA</t>
  </si>
  <si>
    <t>CEP-SICE</t>
  </si>
  <si>
    <t>AUSUR (PASE)</t>
  </si>
  <si>
    <t>CHAMAPA Y OTRAS  (PASE)</t>
  </si>
  <si>
    <t>Aforo e Ingreso - LERMA</t>
  </si>
  <si>
    <t>AUNORTE</t>
  </si>
  <si>
    <t>VIADUCTO</t>
  </si>
  <si>
    <t>SUPERVIA</t>
  </si>
  <si>
    <t>CONMEX</t>
  </si>
  <si>
    <t>LEP</t>
  </si>
  <si>
    <t>GANA</t>
  </si>
  <si>
    <t>CAMS</t>
  </si>
  <si>
    <t>CALH</t>
  </si>
  <si>
    <t>COBI</t>
  </si>
  <si>
    <t>ACCSA</t>
  </si>
  <si>
    <t>LERMA</t>
  </si>
  <si>
    <t>Aforo e Ingreso - IRAPUATO</t>
  </si>
  <si>
    <t>IRAPUATO</t>
  </si>
  <si>
    <t>TELEVIA</t>
  </si>
  <si>
    <t>TOTAL</t>
  </si>
  <si>
    <t>POST-PAGO</t>
  </si>
  <si>
    <t>POSPAGO</t>
  </si>
  <si>
    <t>EXENTOS</t>
  </si>
  <si>
    <t>Aforo e Ingreso - AUSUR (Trafico Total)</t>
  </si>
  <si>
    <t>Aforo e Ingreso - CHAMAPA Y OTRAS PASE (Trafico Total)</t>
  </si>
  <si>
    <t>Aforo e Ingreso - CAPUFE (Trafico Total)</t>
  </si>
  <si>
    <t>Aforo e Ingreso - CEPSICE (Trafico Total)</t>
  </si>
  <si>
    <t>Aforo e Ingreso - PINFRA (Trafico Total)</t>
  </si>
  <si>
    <t>Aforo e Ingreso - SITEL (Trafico Total)</t>
  </si>
  <si>
    <t>ACUMULADO</t>
  </si>
  <si>
    <t>Aforo e Ingreso - META</t>
  </si>
  <si>
    <t>META</t>
  </si>
  <si>
    <t>Aforo e Ingreso - ACUMULADO (Trafico Total)</t>
  </si>
  <si>
    <t>Cda 1</t>
  </si>
  <si>
    <t>Cda 2</t>
  </si>
  <si>
    <t>Ingreso</t>
  </si>
  <si>
    <t>EASYTRIP</t>
  </si>
  <si>
    <t>Aforo e Ingreso - EASYTRIP (Trafico Total)</t>
  </si>
  <si>
    <t>Aforo e Ingreso - COTESA</t>
  </si>
  <si>
    <t>COTESA</t>
  </si>
  <si>
    <t>CAPUFE-CHAMAPA</t>
  </si>
  <si>
    <t>Aforo e Ingreso - CAPUFE-CHAMAPA (Trafico Total)</t>
  </si>
  <si>
    <t>CONMEX T6</t>
  </si>
  <si>
    <t>Aforo e Ingreso - CONMEX T6</t>
  </si>
  <si>
    <t>ESTIMADO</t>
  </si>
  <si>
    <t>Aforo</t>
  </si>
  <si>
    <t>Ejercicio</t>
  </si>
  <si>
    <t>"MIS EN SUS"</t>
  </si>
  <si>
    <t>Promedio Diario</t>
  </si>
  <si>
    <t>SUS EN MIS</t>
  </si>
  <si>
    <t>Estimado</t>
  </si>
  <si>
    <t>Real</t>
  </si>
  <si>
    <t>"MIS EN MIS"</t>
  </si>
  <si>
    <t>"SUS EN MIS"</t>
  </si>
  <si>
    <t>A Abril 2024</t>
  </si>
  <si>
    <t>Aforo e Ingreso - VET</t>
  </si>
  <si>
    <t>VET</t>
  </si>
  <si>
    <t>MIS EN MIS</t>
  </si>
  <si>
    <t>MIS EN SUS</t>
  </si>
  <si>
    <t>TOTAL DE FACTURACION</t>
  </si>
  <si>
    <t>PROMEDIO</t>
  </si>
  <si>
    <t>TOTAL DE MIS EN MIS Y MIS EN SUS</t>
  </si>
  <si>
    <t>TOTAL DE 
MIS EN MIS Y MIS EN SUS</t>
  </si>
  <si>
    <t>Aforo e Ingreso - ACUMULADO (Trafico Total) (MIS en SUS)</t>
  </si>
  <si>
    <t>Aforo e Ingreso - ACUMULADO (MIS EN MIS, MIS EN SUS Y SUS EN MIS)</t>
  </si>
  <si>
    <t>T-AUNORTE</t>
  </si>
  <si>
    <t>T-VIADUCTO</t>
  </si>
  <si>
    <t>T-SUPERVIA</t>
  </si>
  <si>
    <t>T-CONMEX</t>
  </si>
  <si>
    <t>T-CONMEX T6</t>
  </si>
  <si>
    <t>T-LEP</t>
  </si>
  <si>
    <t>T-GANA</t>
  </si>
  <si>
    <t>T-CAMS</t>
  </si>
  <si>
    <t>T-CALH</t>
  </si>
  <si>
    <t>T-COBI</t>
  </si>
  <si>
    <t>T-ACCSA</t>
  </si>
  <si>
    <t>T-LERMA</t>
  </si>
  <si>
    <t>T-IRAPUATO</t>
  </si>
  <si>
    <t>T-META</t>
  </si>
  <si>
    <t>T-COTESA</t>
  </si>
  <si>
    <t>T-VET</t>
  </si>
  <si>
    <t>Real S/Firmas</t>
  </si>
  <si>
    <t>CAPUFE-BANOBRAS (VET)</t>
  </si>
  <si>
    <t>Aforo e Ingreso - CAPUFE_BANOBRAS (VET) (Trafico Total)</t>
  </si>
  <si>
    <t>SIN VELC</t>
  </si>
  <si>
    <t>CAPUFE-CD VALLES</t>
  </si>
  <si>
    <t>Aforo e Ingreso - CAPUFE_BANOBRAS (CD VALLE) (Trafico Total)</t>
  </si>
  <si>
    <t>Aforo e Ingreso - METLAPIL</t>
  </si>
  <si>
    <t>METLAPIL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</si>
</sst>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&quot;$&quot;* #,##0_-;\-&quot;$&quot;* #,##0_-;_-&quot;$&quot;* &quot;-&quot;??_-;_-@_-"/>
    <numFmt numFmtId="167" formatCode="[$€-2]\ #,##0.00"/>
    <numFmt numFmtId="168" formatCode="0.0000"/>
    <numFmt numFmtId="169" formatCode="0.0%"/>
    <numFmt numFmtId="170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7279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7" fillId="0" borderId="0"/>
  </cellStyleXfs>
  <cellXfs count="96">
    <xf numFmtId="0" fontId="0" fillId="0" borderId="0" xfId="0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Continuous" wrapText="1"/>
    </xf>
    <xf numFmtId="3" fontId="2" fillId="2" borderId="1" xfId="0" applyNumberFormat="1" applyFont="1" applyFill="1" applyBorder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5" fontId="0" fillId="0" borderId="1" xfId="2" applyNumberFormat="1" applyFont="1" applyBorder="1"/>
    <xf numFmtId="44" fontId="0" fillId="0" borderId="0" xfId="1" applyFont="1"/>
    <xf numFmtId="44" fontId="4" fillId="3" borderId="1" xfId="1" applyFont="1" applyFill="1" applyBorder="1" applyAlignment="1">
      <alignment horizontal="center" vertical="center" wrapText="1"/>
    </xf>
    <xf numFmtId="44" fontId="0" fillId="0" borderId="1" xfId="1" applyFont="1" applyBorder="1"/>
    <xf numFmtId="44" fontId="2" fillId="2" borderId="1" xfId="1" applyFont="1" applyFill="1" applyBorder="1"/>
    <xf numFmtId="44" fontId="0" fillId="0" borderId="0" xfId="0" applyNumberFormat="1"/>
    <xf numFmtId="44" fontId="0" fillId="4" borderId="1" xfId="1" applyFont="1" applyFill="1" applyBorder="1"/>
    <xf numFmtId="165" fontId="0" fillId="0" borderId="0" xfId="2" applyNumberFormat="1" applyFont="1"/>
    <xf numFmtId="10" fontId="2" fillId="2" borderId="1" xfId="3" applyNumberFormat="1" applyFont="1" applyFill="1" applyBorder="1"/>
    <xf numFmtId="10" fontId="0" fillId="0" borderId="1" xfId="3" applyNumberFormat="1" applyFont="1" applyBorder="1"/>
    <xf numFmtId="10" fontId="0" fillId="0" borderId="0" xfId="0" applyNumberFormat="1"/>
    <xf numFmtId="10" fontId="0" fillId="0" borderId="0" xfId="1" applyNumberFormat="1" applyFont="1"/>
    <xf numFmtId="165" fontId="0" fillId="3" borderId="1" xfId="2" applyNumberFormat="1" applyFont="1" applyFill="1" applyBorder="1"/>
    <xf numFmtId="44" fontId="0" fillId="3" borderId="1" xfId="1" applyFont="1" applyFill="1" applyBorder="1"/>
    <xf numFmtId="3" fontId="2" fillId="3" borderId="1" xfId="0" applyNumberFormat="1" applyFont="1" applyFill="1" applyBorder="1"/>
    <xf numFmtId="44" fontId="2" fillId="3" borderId="1" xfId="1" applyFont="1" applyFill="1" applyBorder="1"/>
    <xf numFmtId="44" fontId="4" fillId="3" borderId="4" xfId="1" applyFont="1" applyFill="1" applyBorder="1" applyAlignment="1">
      <alignment horizontal="center" vertical="center" wrapText="1"/>
    </xf>
    <xf numFmtId="164" fontId="0" fillId="0" borderId="0" xfId="2" applyFont="1"/>
    <xf numFmtId="10" fontId="0" fillId="0" borderId="0" xfId="3" applyNumberFormat="1" applyFont="1"/>
    <xf numFmtId="165" fontId="0" fillId="4" borderId="1" xfId="2" applyNumberFormat="1" applyFont="1" applyFill="1" applyBorder="1"/>
    <xf numFmtId="166" fontId="0" fillId="0" borderId="0" xfId="1" applyNumberFormat="1" applyFont="1"/>
    <xf numFmtId="9" fontId="0" fillId="0" borderId="0" xfId="3" applyFont="1"/>
    <xf numFmtId="44" fontId="0" fillId="5" borderId="0" xfId="1" applyFont="1" applyFill="1"/>
    <xf numFmtId="164" fontId="0" fillId="5" borderId="0" xfId="2" applyFont="1" applyFill="1"/>
    <xf numFmtId="10" fontId="0" fillId="5" borderId="0" xfId="3" applyNumberFormat="1" applyFont="1" applyFill="1"/>
    <xf numFmtId="0" fontId="5" fillId="3" borderId="1" xfId="1" applyNumberFormat="1" applyFont="1" applyFill="1" applyBorder="1" applyAlignment="1">
      <alignment horizontal="center"/>
    </xf>
    <xf numFmtId="44" fontId="5" fillId="3" borderId="1" xfId="1" applyFont="1" applyFill="1" applyBorder="1"/>
    <xf numFmtId="10" fontId="5" fillId="3" borderId="1" xfId="3" applyNumberFormat="1" applyFont="1" applyFill="1" applyBorder="1"/>
    <xf numFmtId="10" fontId="0" fillId="4" borderId="0" xfId="3" applyNumberFormat="1" applyFont="1" applyFill="1"/>
    <xf numFmtId="165" fontId="0" fillId="0" borderId="0" xfId="0" applyNumberFormat="1"/>
    <xf numFmtId="43" fontId="0" fillId="0" borderId="0" xfId="0" applyNumberFormat="1"/>
    <xf numFmtId="3" fontId="0" fillId="0" borderId="0" xfId="0" applyNumberFormat="1"/>
    <xf numFmtId="167" fontId="0" fillId="0" borderId="0" xfId="0" applyNumberFormat="1"/>
    <xf numFmtId="14" fontId="6" fillId="6" borderId="0" xfId="0" applyNumberFormat="1" applyFont="1" applyFill="1" applyAlignment="1">
      <alignment horizontal="left" vertical="center" wrapText="1"/>
    </xf>
    <xf numFmtId="0" fontId="6" fillId="6" borderId="0" xfId="0" applyFont="1" applyFill="1" applyAlignment="1">
      <alignment horizontal="right" vertical="center" wrapText="1"/>
    </xf>
    <xf numFmtId="168" fontId="6" fillId="6" borderId="0" xfId="0" applyNumberFormat="1" applyFont="1" applyFill="1" applyAlignment="1">
      <alignment horizontal="right" vertical="center" wrapText="1"/>
    </xf>
    <xf numFmtId="169" fontId="0" fillId="0" borderId="0" xfId="3" applyNumberFormat="1" applyFont="1"/>
    <xf numFmtId="164" fontId="0" fillId="0" borderId="1" xfId="2" applyFont="1" applyBorder="1"/>
    <xf numFmtId="165" fontId="0" fillId="0" borderId="0" xfId="2" applyNumberFormat="1" applyFont="1" applyAlignment="1">
      <alignment horizontal="right"/>
    </xf>
    <xf numFmtId="165" fontId="0" fillId="0" borderId="1" xfId="2" applyNumberFormat="1" applyFont="1" applyFill="1" applyBorder="1"/>
    <xf numFmtId="44" fontId="0" fillId="0" borderId="1" xfId="1" applyFont="1" applyFill="1" applyBorder="1"/>
    <xf numFmtId="164" fontId="0" fillId="0" borderId="0" xfId="0" applyNumberFormat="1"/>
    <xf numFmtId="165" fontId="0" fillId="7" borderId="1" xfId="2" applyNumberFormat="1" applyFont="1" applyFill="1" applyBorder="1"/>
    <xf numFmtId="44" fontId="0" fillId="7" borderId="1" xfId="1" applyFont="1" applyFill="1" applyBorder="1"/>
    <xf numFmtId="3" fontId="0" fillId="7" borderId="1" xfId="0" applyNumberFormat="1" applyFill="1" applyBorder="1"/>
    <xf numFmtId="165" fontId="0" fillId="8" borderId="1" xfId="2" applyNumberFormat="1" applyFont="1" applyFill="1" applyBorder="1"/>
    <xf numFmtId="44" fontId="0" fillId="8" borderId="1" xfId="1" applyFont="1" applyFill="1" applyBorder="1"/>
    <xf numFmtId="3" fontId="0" fillId="8" borderId="1" xfId="0" applyNumberFormat="1" applyFill="1" applyBorder="1"/>
    <xf numFmtId="0" fontId="2" fillId="0" borderId="0" xfId="0" applyFont="1" applyAlignment="1">
      <alignment horizontal="centerContinuous" wrapText="1"/>
    </xf>
    <xf numFmtId="3" fontId="2" fillId="0" borderId="0" xfId="0" applyNumberFormat="1" applyFont="1"/>
    <xf numFmtId="44" fontId="2" fillId="0" borderId="0" xfId="1" applyFont="1" applyFill="1" applyBorder="1"/>
    <xf numFmtId="10" fontId="2" fillId="0" borderId="0" xfId="3" applyNumberFormat="1" applyFont="1" applyFill="1" applyBorder="1"/>
    <xf numFmtId="166" fontId="0" fillId="4" borderId="0" xfId="1" applyNumberFormat="1" applyFont="1" applyFill="1"/>
    <xf numFmtId="166" fontId="0" fillId="0" borderId="0" xfId="1" applyNumberFormat="1" applyFont="1" applyFill="1"/>
    <xf numFmtId="10" fontId="0" fillId="0" borderId="0" xfId="3" applyNumberFormat="1" applyFont="1" applyFill="1"/>
    <xf numFmtId="170" fontId="0" fillId="0" borderId="0" xfId="3" applyNumberFormat="1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2"/>
    </xf>
    <xf numFmtId="165" fontId="0" fillId="0" borderId="0" xfId="2" applyNumberFormat="1" applyFont="1" applyAlignment="1"/>
    <xf numFmtId="3" fontId="0" fillId="9" borderId="1" xfId="0" applyNumberFormat="1" applyFill="1" applyBorder="1"/>
    <xf numFmtId="44" fontId="0" fillId="9" borderId="1" xfId="1" applyFont="1" applyFill="1" applyBorder="1"/>
    <xf numFmtId="165" fontId="0" fillId="9" borderId="1" xfId="2" applyNumberFormat="1" applyFont="1" applyFill="1" applyBorder="1"/>
    <xf numFmtId="9" fontId="2" fillId="0" borderId="0" xfId="3" applyFont="1" applyAlignment="1">
      <alignment horizontal="center"/>
    </xf>
    <xf numFmtId="44" fontId="2" fillId="0" borderId="0" xfId="1" applyFont="1"/>
    <xf numFmtId="165" fontId="2" fillId="0" borderId="0" xfId="2" applyNumberFormat="1" applyFont="1"/>
    <xf numFmtId="0" fontId="2" fillId="8" borderId="1" xfId="0" applyFont="1" applyFill="1" applyBorder="1" applyAlignment="1">
      <alignment horizontal="center"/>
    </xf>
    <xf numFmtId="14" fontId="0" fillId="0" borderId="0" xfId="0" quotePrefix="1" applyNumberFormat="1"/>
    <xf numFmtId="0" fontId="2" fillId="4" borderId="1" xfId="0" applyFont="1" applyFill="1" applyBorder="1" applyAlignment="1">
      <alignment horizontal="center"/>
    </xf>
    <xf numFmtId="0" fontId="0" fillId="0" borderId="0" xfId="1" applyNumberFormat="1" applyFont="1"/>
    <xf numFmtId="165" fontId="0" fillId="10" borderId="1" xfId="2" applyNumberFormat="1" applyFont="1" applyFill="1" applyBorder="1"/>
    <xf numFmtId="44" fontId="0" fillId="10" borderId="1" xfId="1" applyFont="1" applyFill="1" applyBorder="1"/>
    <xf numFmtId="3" fontId="0" fillId="10" borderId="1" xfId="0" applyNumberFormat="1" applyFill="1" applyBorder="1"/>
    <xf numFmtId="44" fontId="0" fillId="11" borderId="1" xfId="1" applyFont="1" applyFill="1" applyBorder="1"/>
    <xf numFmtId="3" fontId="0" fillId="4" borderId="1" xfId="0" applyNumberFormat="1" applyFill="1" applyBorder="1"/>
    <xf numFmtId="0" fontId="2" fillId="11" borderId="1" xfId="0" applyFont="1" applyFill="1" applyBorder="1" applyAlignment="1">
      <alignment horizontal="center"/>
    </xf>
    <xf numFmtId="3" fontId="0" fillId="11" borderId="1" xfId="0" applyNumberFormat="1" applyFill="1" applyBorder="1"/>
    <xf numFmtId="164" fontId="0" fillId="0" borderId="1" xfId="2" applyFont="1" applyFill="1" applyBorder="1"/>
    <xf numFmtId="9" fontId="0" fillId="0" borderId="1" xfId="3" applyFont="1" applyBorder="1"/>
    <xf numFmtId="0" fontId="2" fillId="2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8">
    <cellStyle name="Millares" xfId="2" builtinId="3"/>
    <cellStyle name="Millares 2" xfId="4" xr:uid="{00000000-0005-0000-0000-00002F000000}"/>
    <cellStyle name="Moneda" xfId="1" builtinId="4"/>
    <cellStyle name="Moneda 2" xfId="5" xr:uid="{00000000-0005-0000-0000-000030000000}"/>
    <cellStyle name="Normal" xfId="0" builtinId="0"/>
    <cellStyle name="Normal 13" xfId="7" xr:uid="{EEE323ED-321C-4F53-8149-D724CD6DE742}"/>
    <cellStyle name="Normal 2" xfId="6" xr:uid="{00000000-0005-0000-0000-000003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9E820BBA-186C-4D5F-91D0-7EAA17F3C941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BM122"/>
  <sheetViews>
    <sheetView showGridLines="0" zoomScaleNormal="100" workbookViewId="0"/>
  </sheetViews>
  <sheetFormatPr baseColWidth="10" defaultColWidth="11" defaultRowHeight="15" x14ac:dyDescent="0.25"/>
  <cols>
    <col min="1" max="1" width="1.7109375" customWidth="1"/>
    <col min="2" max="2" width="11.85546875" bestFit="1" customWidth="1"/>
    <col min="4" max="4" width="10.140625" customWidth="1"/>
    <col min="5" max="5" width="16.28515625" style="9" customWidth="1"/>
    <col min="6" max="6" width="10.140625" customWidth="1"/>
    <col min="7" max="7" width="16.28515625" style="9" customWidth="1"/>
    <col min="8" max="8" width="10.140625" customWidth="1"/>
    <col min="9" max="9" width="17.85546875" style="9" customWidth="1"/>
    <col min="10" max="10" width="15.140625" customWidth="1"/>
    <col min="11" max="11" width="16.28515625" style="9" customWidth="1"/>
    <col min="12" max="12" width="15.140625" customWidth="1"/>
    <col min="13" max="13" width="16.28515625" style="9" customWidth="1"/>
    <col min="14" max="14" width="15.140625" customWidth="1"/>
    <col min="15" max="15" width="17.85546875" style="9" customWidth="1"/>
    <col min="16" max="16" width="12" customWidth="1"/>
    <col min="17" max="17" width="15.140625" customWidth="1"/>
    <col min="18" max="20" width="12.5703125" customWidth="1"/>
    <col min="21" max="21" width="12.28515625" bestFit="1" customWidth="1"/>
    <col min="22" max="22" width="1.7109375" customWidth="1"/>
    <col min="23" max="23" width="13.140625" customWidth="1"/>
    <col min="24" max="24" width="15.85546875" customWidth="1"/>
    <col min="25" max="28" width="12.5703125" customWidth="1"/>
    <col min="29" max="29" width="1.7109375" customWidth="1"/>
    <col min="30" max="30" width="7.5703125" customWidth="1"/>
    <col min="31" max="31" width="12.570312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1" width="15.7109375" customWidth="1"/>
    <col min="42" max="43" width="12.42578125" customWidth="1"/>
    <col min="44" max="44" width="1.710937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9.140625" customWidth="1"/>
    <col min="52" max="52" width="13.5703125" customWidth="1"/>
    <col min="53" max="53" width="11.7109375" customWidth="1"/>
    <col min="54" max="54" width="18.7109375" customWidth="1"/>
    <col min="55" max="56" width="15.7109375" hidden="1" customWidth="1"/>
    <col min="57" max="58" width="12.42578125" hidden="1" customWidth="1"/>
    <col min="59" max="59" width="1.7109375" hidden="1" customWidth="1"/>
    <col min="60" max="60" width="10.85546875" hidden="1" customWidth="1"/>
    <col min="61" max="61" width="17.42578125" hidden="1" customWidth="1"/>
    <col min="62" max="63" width="14.7109375" hidden="1" customWidth="1"/>
    <col min="64" max="65" width="9.42578125" hidden="1" customWidth="1"/>
    <col min="66" max="66" width="1.7109375" customWidth="1"/>
    <col min="68" max="68" width="15.5703125" bestFit="1" customWidth="1"/>
  </cols>
  <sheetData>
    <row r="2" spans="1:15" x14ac:dyDescent="0.25">
      <c r="B2" s="5" t="s">
        <v>14</v>
      </c>
    </row>
    <row r="3" spans="1:15" x14ac:dyDescent="0.25">
      <c r="B3" s="5" t="s">
        <v>19</v>
      </c>
    </row>
    <row r="4" spans="1:15" x14ac:dyDescent="0.25">
      <c r="B4" s="5"/>
    </row>
    <row r="5" spans="1:15" x14ac:dyDescent="0.25">
      <c r="D5" s="89" t="s">
        <v>15</v>
      </c>
      <c r="E5" s="90"/>
      <c r="F5" s="89" t="s">
        <v>16</v>
      </c>
      <c r="G5" s="90"/>
      <c r="H5" s="89" t="s">
        <v>17</v>
      </c>
      <c r="I5" s="93"/>
      <c r="J5" s="89" t="s">
        <v>18</v>
      </c>
      <c r="K5" s="93"/>
      <c r="L5" s="89" t="s">
        <v>13</v>
      </c>
      <c r="M5" s="93"/>
      <c r="N5" s="89" t="s">
        <v>12</v>
      </c>
      <c r="O5" s="93"/>
    </row>
    <row r="6" spans="1:15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</row>
    <row r="8" spans="1:15" x14ac:dyDescent="0.25">
      <c r="B8" s="2" t="s">
        <v>5</v>
      </c>
      <c r="C8" s="2">
        <v>2015</v>
      </c>
      <c r="D8" s="1"/>
      <c r="E8" s="11"/>
      <c r="F8" s="1"/>
      <c r="G8" s="11"/>
      <c r="H8" s="1"/>
      <c r="I8" s="11"/>
      <c r="J8" s="8"/>
      <c r="K8" s="11"/>
      <c r="L8" s="8"/>
      <c r="M8" s="11"/>
      <c r="N8" s="8">
        <f t="shared" ref="N8:O19" si="0">L8+J8+H8+F8+D8</f>
        <v>0</v>
      </c>
      <c r="O8" s="11">
        <f t="shared" si="0"/>
        <v>0</v>
      </c>
    </row>
    <row r="9" spans="1:15" x14ac:dyDescent="0.25">
      <c r="B9" s="2" t="s">
        <v>6</v>
      </c>
      <c r="C9" s="2">
        <v>2015</v>
      </c>
      <c r="D9" s="1"/>
      <c r="E9" s="11"/>
      <c r="F9" s="1"/>
      <c r="G9" s="11"/>
      <c r="H9" s="1"/>
      <c r="I9" s="11"/>
      <c r="J9" s="8"/>
      <c r="K9" s="11"/>
      <c r="L9" s="8"/>
      <c r="M9" s="11"/>
      <c r="N9" s="8">
        <f t="shared" si="0"/>
        <v>0</v>
      </c>
      <c r="O9" s="11">
        <f t="shared" si="0"/>
        <v>0</v>
      </c>
    </row>
    <row r="10" spans="1:15" x14ac:dyDescent="0.25">
      <c r="B10" s="2" t="s">
        <v>7</v>
      </c>
      <c r="C10" s="2">
        <v>2015</v>
      </c>
      <c r="D10" s="1"/>
      <c r="E10" s="11"/>
      <c r="F10" s="1"/>
      <c r="G10" s="11"/>
      <c r="H10" s="1"/>
      <c r="I10" s="11"/>
      <c r="J10" s="8"/>
      <c r="K10" s="11"/>
      <c r="L10" s="8"/>
      <c r="M10" s="11"/>
      <c r="N10" s="8">
        <f t="shared" si="0"/>
        <v>0</v>
      </c>
      <c r="O10" s="11">
        <f t="shared" si="0"/>
        <v>0</v>
      </c>
    </row>
    <row r="11" spans="1:15" x14ac:dyDescent="0.25">
      <c r="B11" s="2" t="s">
        <v>8</v>
      </c>
      <c r="C11" s="2">
        <v>2015</v>
      </c>
      <c r="D11" s="1"/>
      <c r="E11" s="11"/>
      <c r="F11" s="1"/>
      <c r="G11" s="11"/>
      <c r="H11" s="1"/>
      <c r="I11" s="11"/>
      <c r="J11" s="8"/>
      <c r="K11" s="11"/>
      <c r="L11" s="8"/>
      <c r="M11" s="11"/>
      <c r="N11" s="8">
        <f t="shared" si="0"/>
        <v>0</v>
      </c>
      <c r="O11" s="11">
        <f t="shared" si="0"/>
        <v>0</v>
      </c>
    </row>
    <row r="12" spans="1:15" x14ac:dyDescent="0.25">
      <c r="B12" s="2" t="s">
        <v>9</v>
      </c>
      <c r="C12" s="2">
        <v>2015</v>
      </c>
      <c r="D12" s="1"/>
      <c r="E12" s="11"/>
      <c r="F12" s="1"/>
      <c r="G12" s="11"/>
      <c r="H12" s="1"/>
      <c r="I12" s="11"/>
      <c r="J12" s="8"/>
      <c r="K12" s="11"/>
      <c r="L12" s="8"/>
      <c r="M12" s="11"/>
      <c r="N12" s="8">
        <f t="shared" si="0"/>
        <v>0</v>
      </c>
      <c r="O12" s="11">
        <f t="shared" si="0"/>
        <v>0</v>
      </c>
    </row>
    <row r="13" spans="1:15" x14ac:dyDescent="0.25">
      <c r="B13" s="2" t="s">
        <v>10</v>
      </c>
      <c r="C13" s="2">
        <v>2015</v>
      </c>
      <c r="D13" s="1"/>
      <c r="E13" s="11"/>
      <c r="F13" s="1"/>
      <c r="G13" s="11"/>
      <c r="H13" s="1"/>
      <c r="I13" s="11"/>
      <c r="J13" s="8"/>
      <c r="K13" s="11"/>
      <c r="L13" s="8"/>
      <c r="M13" s="11"/>
      <c r="N13" s="8">
        <f t="shared" si="0"/>
        <v>0</v>
      </c>
      <c r="O13" s="11">
        <f t="shared" si="0"/>
        <v>0</v>
      </c>
    </row>
    <row r="14" spans="1:15" x14ac:dyDescent="0.25">
      <c r="B14" s="2" t="s">
        <v>11</v>
      </c>
      <c r="C14" s="2">
        <v>2015</v>
      </c>
      <c r="D14" s="1"/>
      <c r="E14" s="11"/>
      <c r="F14" s="1"/>
      <c r="G14" s="11"/>
      <c r="H14" s="1"/>
      <c r="I14" s="11"/>
      <c r="J14" s="8"/>
      <c r="K14" s="11"/>
      <c r="L14" s="8"/>
      <c r="M14" s="11"/>
      <c r="N14" s="8">
        <f t="shared" si="0"/>
        <v>0</v>
      </c>
      <c r="O14" s="11">
        <f t="shared" si="0"/>
        <v>0</v>
      </c>
    </row>
    <row r="15" spans="1:15" x14ac:dyDescent="0.25">
      <c r="B15" s="2" t="s">
        <v>4</v>
      </c>
      <c r="C15" s="2">
        <v>2015</v>
      </c>
      <c r="D15" s="1"/>
      <c r="E15" s="11"/>
      <c r="F15" s="1"/>
      <c r="G15" s="11"/>
      <c r="H15" s="1"/>
      <c r="I15" s="11"/>
      <c r="J15" s="8"/>
      <c r="K15" s="11"/>
      <c r="L15" s="8"/>
      <c r="M15" s="11"/>
      <c r="N15" s="8">
        <f t="shared" si="0"/>
        <v>0</v>
      </c>
      <c r="O15" s="11">
        <f t="shared" si="0"/>
        <v>0</v>
      </c>
    </row>
    <row r="16" spans="1:15" x14ac:dyDescent="0.25">
      <c r="B16" s="2" t="s">
        <v>28</v>
      </c>
      <c r="C16" s="2">
        <v>2015</v>
      </c>
      <c r="D16" s="1"/>
      <c r="E16" s="11"/>
      <c r="F16" s="1"/>
      <c r="G16" s="11"/>
      <c r="H16" s="1"/>
      <c r="I16" s="11"/>
      <c r="J16" s="8"/>
      <c r="K16" s="11"/>
      <c r="L16" s="8"/>
      <c r="M16" s="11"/>
      <c r="N16" s="8">
        <f t="shared" si="0"/>
        <v>0</v>
      </c>
      <c r="O16" s="11">
        <f t="shared" si="0"/>
        <v>0</v>
      </c>
    </row>
    <row r="17" spans="1:19" x14ac:dyDescent="0.25">
      <c r="B17" s="2" t="s">
        <v>29</v>
      </c>
      <c r="C17" s="2">
        <v>2015</v>
      </c>
      <c r="D17" s="1"/>
      <c r="E17" s="11"/>
      <c r="F17" s="1"/>
      <c r="G17" s="11"/>
      <c r="H17" s="1"/>
      <c r="I17" s="11"/>
      <c r="J17" s="8"/>
      <c r="K17" s="11"/>
      <c r="L17" s="8"/>
      <c r="M17" s="11"/>
      <c r="N17" s="8">
        <f t="shared" si="0"/>
        <v>0</v>
      </c>
      <c r="O17" s="11">
        <f t="shared" si="0"/>
        <v>0</v>
      </c>
    </row>
    <row r="18" spans="1:19" x14ac:dyDescent="0.25">
      <c r="B18" s="2" t="s">
        <v>30</v>
      </c>
      <c r="C18" s="2">
        <v>2015</v>
      </c>
      <c r="D18" s="1"/>
      <c r="E18" s="11"/>
      <c r="F18" s="1"/>
      <c r="G18" s="11"/>
      <c r="H18" s="1"/>
      <c r="I18" s="11"/>
      <c r="J18" s="8"/>
      <c r="K18" s="11"/>
      <c r="L18" s="8"/>
      <c r="M18" s="11"/>
      <c r="N18" s="8">
        <f t="shared" si="0"/>
        <v>0</v>
      </c>
      <c r="O18" s="11">
        <f t="shared" si="0"/>
        <v>0</v>
      </c>
    </row>
    <row r="19" spans="1:19" x14ac:dyDescent="0.25">
      <c r="B19" s="2" t="s">
        <v>31</v>
      </c>
      <c r="C19" s="2">
        <v>2015</v>
      </c>
      <c r="D19" s="1"/>
      <c r="E19" s="11"/>
      <c r="F19" s="1"/>
      <c r="G19" s="11"/>
      <c r="H19" s="1"/>
      <c r="I19" s="11"/>
      <c r="J19" s="8"/>
      <c r="K19" s="11"/>
      <c r="L19" s="8"/>
      <c r="M19" s="11"/>
      <c r="N19" s="8">
        <f t="shared" si="0"/>
        <v>0</v>
      </c>
      <c r="O19" s="11">
        <f t="shared" si="0"/>
        <v>0</v>
      </c>
    </row>
    <row r="21" spans="1:19" x14ac:dyDescent="0.25">
      <c r="B21" s="3" t="s">
        <v>12</v>
      </c>
      <c r="C21" s="3"/>
      <c r="D21" s="4">
        <f t="shared" ref="D21:O21" si="1">SUM(D8:D20)</f>
        <v>0</v>
      </c>
      <c r="E21" s="12">
        <f t="shared" si="1"/>
        <v>0</v>
      </c>
      <c r="F21" s="4">
        <f t="shared" si="1"/>
        <v>0</v>
      </c>
      <c r="G21" s="12">
        <f t="shared" si="1"/>
        <v>0</v>
      </c>
      <c r="H21" s="4">
        <f t="shared" si="1"/>
        <v>0</v>
      </c>
      <c r="I21" s="12">
        <f t="shared" si="1"/>
        <v>0</v>
      </c>
      <c r="J21" s="4">
        <f t="shared" si="1"/>
        <v>0</v>
      </c>
      <c r="K21" s="12">
        <f t="shared" si="1"/>
        <v>0</v>
      </c>
      <c r="L21" s="4">
        <f t="shared" si="1"/>
        <v>0</v>
      </c>
      <c r="M21" s="12">
        <f t="shared" si="1"/>
        <v>0</v>
      </c>
      <c r="N21" s="4">
        <f t="shared" si="1"/>
        <v>0</v>
      </c>
      <c r="O21" s="12">
        <f t="shared" si="1"/>
        <v>0</v>
      </c>
    </row>
    <row r="23" spans="1:19" x14ac:dyDescent="0.25">
      <c r="B23" s="5" t="s">
        <v>14</v>
      </c>
    </row>
    <row r="24" spans="1:19" x14ac:dyDescent="0.25">
      <c r="B24" s="5" t="s">
        <v>20</v>
      </c>
    </row>
    <row r="25" spans="1:19" x14ac:dyDescent="0.25">
      <c r="B25" s="5"/>
    </row>
    <row r="26" spans="1:19" x14ac:dyDescent="0.25">
      <c r="D26" s="89" t="s">
        <v>15</v>
      </c>
      <c r="E26" s="90"/>
      <c r="F26" s="89" t="s">
        <v>16</v>
      </c>
      <c r="G26" s="90"/>
      <c r="H26" s="89" t="s">
        <v>17</v>
      </c>
      <c r="I26" s="93"/>
      <c r="J26" s="89" t="s">
        <v>18</v>
      </c>
      <c r="K26" s="93"/>
      <c r="L26" s="89" t="s">
        <v>13</v>
      </c>
      <c r="M26" s="93"/>
      <c r="N26" s="89" t="s">
        <v>12</v>
      </c>
      <c r="O26" s="93"/>
    </row>
    <row r="27" spans="1:19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</row>
    <row r="29" spans="1:19" x14ac:dyDescent="0.25">
      <c r="B29" s="2" t="s">
        <v>5</v>
      </c>
      <c r="C29" s="2">
        <v>2015</v>
      </c>
      <c r="D29" s="1"/>
      <c r="E29" s="11"/>
      <c r="F29" s="1"/>
      <c r="G29" s="11"/>
      <c r="H29" s="1"/>
      <c r="I29" s="11"/>
      <c r="J29" s="8"/>
      <c r="K29" s="11"/>
      <c r="L29" s="8"/>
      <c r="M29" s="11"/>
      <c r="N29" s="8">
        <f t="shared" ref="N29:O40" si="2">L29+J29+H29+F29+D29</f>
        <v>0</v>
      </c>
      <c r="O29" s="11">
        <f t="shared" si="2"/>
        <v>0</v>
      </c>
      <c r="P29" s="8">
        <v>2670053</v>
      </c>
      <c r="Q29" s="11">
        <v>63922569.810000002</v>
      </c>
      <c r="R29" s="8">
        <f>+N29-P29</f>
        <v>-2670053</v>
      </c>
      <c r="S29" s="11">
        <f t="shared" ref="S29:S40" si="3">+O29-Q29</f>
        <v>-63922569.810000002</v>
      </c>
    </row>
    <row r="30" spans="1:19" x14ac:dyDescent="0.25">
      <c r="B30" s="2" t="s">
        <v>6</v>
      </c>
      <c r="C30" s="2">
        <v>2015</v>
      </c>
      <c r="D30" s="1"/>
      <c r="E30" s="11"/>
      <c r="F30" s="1"/>
      <c r="G30" s="11"/>
      <c r="H30" s="1"/>
      <c r="I30" s="11"/>
      <c r="J30" s="8"/>
      <c r="K30" s="11"/>
      <c r="L30" s="8"/>
      <c r="M30" s="11"/>
      <c r="N30" s="8">
        <f t="shared" si="2"/>
        <v>0</v>
      </c>
      <c r="O30" s="11">
        <f t="shared" si="2"/>
        <v>0</v>
      </c>
      <c r="P30" s="8">
        <v>2723865</v>
      </c>
      <c r="Q30" s="11">
        <v>64965375.859999985</v>
      </c>
      <c r="R30" s="8">
        <f t="shared" ref="R30:R40" si="4">+N30-P30</f>
        <v>-2723865</v>
      </c>
      <c r="S30" s="11">
        <f t="shared" si="3"/>
        <v>-64965375.859999985</v>
      </c>
    </row>
    <row r="31" spans="1:19" x14ac:dyDescent="0.25">
      <c r="B31" s="2" t="s">
        <v>7</v>
      </c>
      <c r="C31" s="2">
        <v>2015</v>
      </c>
      <c r="D31" s="1"/>
      <c r="E31" s="11"/>
      <c r="F31" s="1"/>
      <c r="G31" s="11"/>
      <c r="H31" s="1"/>
      <c r="I31" s="11"/>
      <c r="J31" s="8"/>
      <c r="K31" s="11"/>
      <c r="L31" s="8"/>
      <c r="M31" s="11"/>
      <c r="N31" s="8">
        <f t="shared" si="2"/>
        <v>0</v>
      </c>
      <c r="O31" s="11">
        <f t="shared" si="2"/>
        <v>0</v>
      </c>
      <c r="P31" s="8">
        <v>2623661</v>
      </c>
      <c r="Q31" s="11">
        <v>62921247.859999985</v>
      </c>
      <c r="R31" s="8">
        <f t="shared" si="4"/>
        <v>-2623661</v>
      </c>
      <c r="S31" s="11">
        <f t="shared" si="3"/>
        <v>-62921247.859999985</v>
      </c>
    </row>
    <row r="32" spans="1:19" x14ac:dyDescent="0.25">
      <c r="B32" s="2" t="s">
        <v>8</v>
      </c>
      <c r="C32" s="2">
        <v>2015</v>
      </c>
      <c r="D32" s="1"/>
      <c r="E32" s="11"/>
      <c r="F32" s="1"/>
      <c r="G32" s="11"/>
      <c r="H32" s="1"/>
      <c r="I32" s="11"/>
      <c r="J32" s="8"/>
      <c r="K32" s="11"/>
      <c r="L32" s="8"/>
      <c r="M32" s="11"/>
      <c r="N32" s="8">
        <f t="shared" si="2"/>
        <v>0</v>
      </c>
      <c r="O32" s="11">
        <f t="shared" si="2"/>
        <v>0</v>
      </c>
      <c r="P32" s="8">
        <v>2578792</v>
      </c>
      <c r="Q32" s="11">
        <v>60544268.43</v>
      </c>
      <c r="R32" s="8">
        <f t="shared" si="4"/>
        <v>-2578792</v>
      </c>
      <c r="S32" s="11">
        <f t="shared" si="3"/>
        <v>-60544268.43</v>
      </c>
    </row>
    <row r="33" spans="1:19" x14ac:dyDescent="0.25">
      <c r="B33" s="2" t="s">
        <v>9</v>
      </c>
      <c r="C33" s="2">
        <v>2015</v>
      </c>
      <c r="D33" s="1"/>
      <c r="E33" s="11"/>
      <c r="F33" s="1"/>
      <c r="G33" s="11"/>
      <c r="H33" s="1"/>
      <c r="I33" s="11"/>
      <c r="J33" s="8"/>
      <c r="K33" s="11"/>
      <c r="L33" s="8"/>
      <c r="M33" s="11"/>
      <c r="N33" s="8">
        <f t="shared" si="2"/>
        <v>0</v>
      </c>
      <c r="O33" s="11">
        <f t="shared" si="2"/>
        <v>0</v>
      </c>
      <c r="P33" s="8">
        <v>2586287</v>
      </c>
      <c r="Q33" s="11">
        <v>61148611.079999991</v>
      </c>
      <c r="R33" s="8">
        <f t="shared" si="4"/>
        <v>-2586287</v>
      </c>
      <c r="S33" s="11">
        <f t="shared" si="3"/>
        <v>-61148611.079999991</v>
      </c>
    </row>
    <row r="34" spans="1:19" x14ac:dyDescent="0.25">
      <c r="B34" s="2" t="s">
        <v>10</v>
      </c>
      <c r="C34" s="2">
        <v>2015</v>
      </c>
      <c r="D34" s="1"/>
      <c r="E34" s="11"/>
      <c r="F34" s="1"/>
      <c r="G34" s="11"/>
      <c r="H34" s="1"/>
      <c r="I34" s="11"/>
      <c r="J34" s="8"/>
      <c r="K34" s="11"/>
      <c r="L34" s="8"/>
      <c r="M34" s="11"/>
      <c r="N34" s="8">
        <f t="shared" si="2"/>
        <v>0</v>
      </c>
      <c r="O34" s="11">
        <f t="shared" si="2"/>
        <v>0</v>
      </c>
      <c r="P34" s="8">
        <v>2672336</v>
      </c>
      <c r="Q34" s="11">
        <v>63530926.629999995</v>
      </c>
      <c r="R34" s="8">
        <f t="shared" si="4"/>
        <v>-2672336</v>
      </c>
      <c r="S34" s="11">
        <f t="shared" si="3"/>
        <v>-63530926.629999995</v>
      </c>
    </row>
    <row r="35" spans="1:19" x14ac:dyDescent="0.25">
      <c r="B35" s="2" t="s">
        <v>11</v>
      </c>
      <c r="C35" s="2">
        <v>2015</v>
      </c>
      <c r="D35" s="1"/>
      <c r="E35" s="11"/>
      <c r="F35" s="1"/>
      <c r="G35" s="11"/>
      <c r="H35" s="1"/>
      <c r="I35" s="11"/>
      <c r="J35" s="8"/>
      <c r="K35" s="11"/>
      <c r="L35" s="8"/>
      <c r="M35" s="11"/>
      <c r="N35" s="8">
        <f t="shared" si="2"/>
        <v>0</v>
      </c>
      <c r="O35" s="11">
        <f t="shared" si="2"/>
        <v>0</v>
      </c>
      <c r="P35" s="8">
        <v>2845001</v>
      </c>
      <c r="Q35" s="11">
        <v>72823680.00999999</v>
      </c>
      <c r="R35" s="8">
        <f t="shared" si="4"/>
        <v>-2845001</v>
      </c>
      <c r="S35" s="11">
        <f t="shared" si="3"/>
        <v>-72823680.00999999</v>
      </c>
    </row>
    <row r="36" spans="1:19" x14ac:dyDescent="0.25">
      <c r="B36" s="2" t="s">
        <v>4</v>
      </c>
      <c r="C36" s="2">
        <v>2015</v>
      </c>
      <c r="D36" s="1"/>
      <c r="E36" s="11"/>
      <c r="F36" s="1"/>
      <c r="G36" s="11"/>
      <c r="H36" s="1"/>
      <c r="I36" s="11"/>
      <c r="J36" s="8"/>
      <c r="K36" s="11"/>
      <c r="L36" s="8"/>
      <c r="M36" s="11"/>
      <c r="N36" s="8">
        <f t="shared" si="2"/>
        <v>0</v>
      </c>
      <c r="O36" s="11">
        <f t="shared" si="2"/>
        <v>0</v>
      </c>
      <c r="P36" s="8">
        <v>3125467</v>
      </c>
      <c r="Q36" s="11">
        <v>80533766.270000026</v>
      </c>
      <c r="R36" s="8">
        <f t="shared" si="4"/>
        <v>-3125467</v>
      </c>
      <c r="S36" s="11">
        <f t="shared" si="3"/>
        <v>-80533766.270000026</v>
      </c>
    </row>
    <row r="37" spans="1:19" x14ac:dyDescent="0.25">
      <c r="B37" s="2" t="s">
        <v>28</v>
      </c>
      <c r="C37" s="2">
        <v>2015</v>
      </c>
      <c r="D37" s="1"/>
      <c r="E37" s="11"/>
      <c r="F37" s="1"/>
      <c r="G37" s="11"/>
      <c r="H37" s="1"/>
      <c r="I37" s="11"/>
      <c r="J37" s="8"/>
      <c r="K37" s="11"/>
      <c r="L37" s="8"/>
      <c r="M37" s="11"/>
      <c r="N37" s="8">
        <f t="shared" si="2"/>
        <v>0</v>
      </c>
      <c r="O37" s="11">
        <f t="shared" si="2"/>
        <v>0</v>
      </c>
      <c r="P37" s="8">
        <v>2954516</v>
      </c>
      <c r="Q37" s="11">
        <v>75982555.74000001</v>
      </c>
      <c r="R37" s="8">
        <f t="shared" si="4"/>
        <v>-2954516</v>
      </c>
      <c r="S37" s="11">
        <f t="shared" si="3"/>
        <v>-75982555.74000001</v>
      </c>
    </row>
    <row r="38" spans="1:19" x14ac:dyDescent="0.25">
      <c r="B38" s="2" t="s">
        <v>29</v>
      </c>
      <c r="C38" s="2">
        <v>2015</v>
      </c>
      <c r="D38" s="1"/>
      <c r="E38" s="11"/>
      <c r="F38" s="1"/>
      <c r="G38" s="11"/>
      <c r="H38" s="1"/>
      <c r="I38" s="11"/>
      <c r="J38" s="8"/>
      <c r="K38" s="11"/>
      <c r="L38" s="8"/>
      <c r="M38" s="11"/>
      <c r="N38" s="8">
        <f t="shared" si="2"/>
        <v>0</v>
      </c>
      <c r="O38" s="11">
        <f t="shared" si="2"/>
        <v>0</v>
      </c>
      <c r="P38" s="8">
        <v>3049218</v>
      </c>
      <c r="Q38" s="11">
        <v>78456017.209999979</v>
      </c>
      <c r="R38" s="8">
        <f t="shared" si="4"/>
        <v>-3049218</v>
      </c>
      <c r="S38" s="11">
        <f t="shared" si="3"/>
        <v>-78456017.209999979</v>
      </c>
    </row>
    <row r="39" spans="1:19" x14ac:dyDescent="0.25">
      <c r="B39" s="2" t="s">
        <v>30</v>
      </c>
      <c r="C39" s="2">
        <v>2015</v>
      </c>
      <c r="D39" s="1"/>
      <c r="E39" s="11"/>
      <c r="F39" s="1"/>
      <c r="G39" s="11"/>
      <c r="H39" s="1"/>
      <c r="I39" s="11"/>
      <c r="J39" s="8"/>
      <c r="K39" s="11"/>
      <c r="L39" s="8"/>
      <c r="M39" s="11"/>
      <c r="N39" s="8">
        <f t="shared" si="2"/>
        <v>0</v>
      </c>
      <c r="O39" s="11">
        <f t="shared" si="2"/>
        <v>0</v>
      </c>
      <c r="P39" s="8">
        <v>2924011</v>
      </c>
      <c r="Q39" s="11">
        <v>75680640.570000008</v>
      </c>
      <c r="R39" s="8">
        <f t="shared" si="4"/>
        <v>-2924011</v>
      </c>
      <c r="S39" s="11">
        <f t="shared" si="3"/>
        <v>-75680640.570000008</v>
      </c>
    </row>
    <row r="40" spans="1:19" x14ac:dyDescent="0.25">
      <c r="B40" s="2" t="s">
        <v>31</v>
      </c>
      <c r="C40" s="2">
        <v>2015</v>
      </c>
      <c r="D40" s="1"/>
      <c r="E40" s="11"/>
      <c r="F40" s="1"/>
      <c r="G40" s="11"/>
      <c r="H40" s="1"/>
      <c r="I40" s="11"/>
      <c r="J40" s="8"/>
      <c r="K40" s="11"/>
      <c r="L40" s="8"/>
      <c r="M40" s="11"/>
      <c r="N40" s="8">
        <f t="shared" si="2"/>
        <v>0</v>
      </c>
      <c r="O40" s="11">
        <f t="shared" si="2"/>
        <v>0</v>
      </c>
      <c r="P40" s="8">
        <v>2889874</v>
      </c>
      <c r="Q40" s="11">
        <v>75426356.700000003</v>
      </c>
      <c r="R40" s="8">
        <f t="shared" si="4"/>
        <v>-2889874</v>
      </c>
      <c r="S40" s="11">
        <f t="shared" si="3"/>
        <v>-75426356.700000003</v>
      </c>
    </row>
    <row r="42" spans="1:19" x14ac:dyDescent="0.25">
      <c r="B42" s="3" t="s">
        <v>12</v>
      </c>
      <c r="C42" s="3"/>
      <c r="D42" s="4">
        <f t="shared" ref="D42:O42" si="5">SUM(D29:D41)</f>
        <v>0</v>
      </c>
      <c r="E42" s="12">
        <f t="shared" si="5"/>
        <v>0</v>
      </c>
      <c r="F42" s="4">
        <f t="shared" si="5"/>
        <v>0</v>
      </c>
      <c r="G42" s="12">
        <f t="shared" si="5"/>
        <v>0</v>
      </c>
      <c r="H42" s="4">
        <f t="shared" si="5"/>
        <v>0</v>
      </c>
      <c r="I42" s="12">
        <f t="shared" si="5"/>
        <v>0</v>
      </c>
      <c r="J42" s="4">
        <f t="shared" si="5"/>
        <v>0</v>
      </c>
      <c r="K42" s="12">
        <f t="shared" si="5"/>
        <v>0</v>
      </c>
      <c r="L42" s="4">
        <f t="shared" si="5"/>
        <v>0</v>
      </c>
      <c r="M42" s="12">
        <f t="shared" si="5"/>
        <v>0</v>
      </c>
      <c r="N42" s="4">
        <f t="shared" si="5"/>
        <v>0</v>
      </c>
      <c r="O42" s="12">
        <f t="shared" si="5"/>
        <v>0</v>
      </c>
    </row>
    <row r="44" spans="1:19" x14ac:dyDescent="0.25">
      <c r="B44" s="5" t="s">
        <v>14</v>
      </c>
    </row>
    <row r="45" spans="1:19" x14ac:dyDescent="0.25">
      <c r="B45" s="5" t="s">
        <v>21</v>
      </c>
    </row>
    <row r="46" spans="1:19" x14ac:dyDescent="0.25">
      <c r="B46" s="5"/>
    </row>
    <row r="47" spans="1:19" x14ac:dyDescent="0.25">
      <c r="D47" s="89" t="s">
        <v>15</v>
      </c>
      <c r="E47" s="90"/>
      <c r="F47" s="89" t="s">
        <v>16</v>
      </c>
      <c r="G47" s="90"/>
      <c r="H47" s="89" t="s">
        <v>17</v>
      </c>
      <c r="I47" s="93"/>
      <c r="J47" s="89" t="s">
        <v>18</v>
      </c>
      <c r="K47" s="93"/>
      <c r="L47" s="89" t="s">
        <v>13</v>
      </c>
      <c r="M47" s="93"/>
      <c r="N47" s="89" t="s">
        <v>12</v>
      </c>
      <c r="O47" s="93"/>
    </row>
    <row r="48" spans="1:19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</row>
    <row r="50" spans="2:19" x14ac:dyDescent="0.25">
      <c r="B50" s="2" t="s">
        <v>5</v>
      </c>
      <c r="C50" s="2">
        <v>2015</v>
      </c>
      <c r="D50" s="1"/>
      <c r="E50" s="11"/>
      <c r="F50" s="1"/>
      <c r="G50" s="11"/>
      <c r="H50" s="1"/>
      <c r="I50" s="11"/>
      <c r="J50" s="8"/>
      <c r="K50" s="11"/>
      <c r="L50" s="8"/>
      <c r="M50" s="11"/>
      <c r="N50" s="8">
        <f t="shared" ref="N50:O61" si="6">L50+J50+H50+F50+D50</f>
        <v>0</v>
      </c>
      <c r="O50" s="11">
        <f t="shared" si="6"/>
        <v>0</v>
      </c>
      <c r="S50" s="13"/>
    </row>
    <row r="51" spans="2:19" x14ac:dyDescent="0.25">
      <c r="B51" s="2" t="s">
        <v>6</v>
      </c>
      <c r="C51" s="2">
        <v>2015</v>
      </c>
      <c r="D51" s="1"/>
      <c r="E51" s="11"/>
      <c r="F51" s="1"/>
      <c r="G51" s="11"/>
      <c r="H51" s="1"/>
      <c r="I51" s="11"/>
      <c r="J51" s="8"/>
      <c r="K51" s="11"/>
      <c r="L51" s="8"/>
      <c r="M51" s="11"/>
      <c r="N51" s="8">
        <f t="shared" si="6"/>
        <v>0</v>
      </c>
      <c r="O51" s="11">
        <f t="shared" si="6"/>
        <v>0</v>
      </c>
      <c r="S51" s="13"/>
    </row>
    <row r="52" spans="2:19" x14ac:dyDescent="0.25">
      <c r="B52" s="2" t="s">
        <v>7</v>
      </c>
      <c r="C52" s="2">
        <v>2015</v>
      </c>
      <c r="D52" s="1"/>
      <c r="E52" s="11"/>
      <c r="F52" s="1"/>
      <c r="G52" s="11"/>
      <c r="H52" s="1"/>
      <c r="I52" s="11"/>
      <c r="J52" s="8"/>
      <c r="K52" s="11"/>
      <c r="L52" s="8"/>
      <c r="M52" s="11"/>
      <c r="N52" s="8">
        <f t="shared" si="6"/>
        <v>0</v>
      </c>
      <c r="O52" s="11">
        <f t="shared" si="6"/>
        <v>0</v>
      </c>
      <c r="S52" s="13"/>
    </row>
    <row r="53" spans="2:19" x14ac:dyDescent="0.25">
      <c r="B53" s="2" t="s">
        <v>8</v>
      </c>
      <c r="C53" s="2">
        <v>2015</v>
      </c>
      <c r="D53" s="1"/>
      <c r="E53" s="11"/>
      <c r="F53" s="1"/>
      <c r="G53" s="11"/>
      <c r="H53" s="1"/>
      <c r="I53" s="11"/>
      <c r="J53" s="8"/>
      <c r="K53" s="11"/>
      <c r="L53" s="8"/>
      <c r="M53" s="11"/>
      <c r="N53" s="8">
        <f t="shared" si="6"/>
        <v>0</v>
      </c>
      <c r="O53" s="11">
        <f t="shared" si="6"/>
        <v>0</v>
      </c>
      <c r="S53" s="13"/>
    </row>
    <row r="54" spans="2:19" x14ac:dyDescent="0.25">
      <c r="B54" s="2" t="s">
        <v>9</v>
      </c>
      <c r="C54" s="2">
        <v>2015</v>
      </c>
      <c r="D54" s="1"/>
      <c r="E54" s="11"/>
      <c r="F54" s="1"/>
      <c r="G54" s="11"/>
      <c r="H54" s="1"/>
      <c r="I54" s="11"/>
      <c r="J54" s="8"/>
      <c r="K54" s="11"/>
      <c r="L54" s="8"/>
      <c r="M54" s="11"/>
      <c r="N54" s="8">
        <f t="shared" si="6"/>
        <v>0</v>
      </c>
      <c r="O54" s="11">
        <f t="shared" si="6"/>
        <v>0</v>
      </c>
      <c r="S54" s="13"/>
    </row>
    <row r="55" spans="2:19" x14ac:dyDescent="0.25">
      <c r="B55" s="2" t="s">
        <v>10</v>
      </c>
      <c r="C55" s="2">
        <v>2015</v>
      </c>
      <c r="D55" s="1"/>
      <c r="E55" s="11"/>
      <c r="F55" s="1"/>
      <c r="G55" s="11"/>
      <c r="H55" s="1"/>
      <c r="I55" s="11"/>
      <c r="J55" s="8"/>
      <c r="K55" s="11"/>
      <c r="L55" s="8"/>
      <c r="M55" s="11"/>
      <c r="N55" s="8">
        <f t="shared" si="6"/>
        <v>0</v>
      </c>
      <c r="O55" s="11">
        <f t="shared" si="6"/>
        <v>0</v>
      </c>
      <c r="S55" s="13"/>
    </row>
    <row r="56" spans="2:19" x14ac:dyDescent="0.25">
      <c r="B56" s="2" t="s">
        <v>11</v>
      </c>
      <c r="C56" s="2">
        <v>2015</v>
      </c>
      <c r="D56" s="1"/>
      <c r="E56" s="11"/>
      <c r="F56" s="1"/>
      <c r="G56" s="11"/>
      <c r="H56" s="1"/>
      <c r="I56" s="11"/>
      <c r="J56" s="8"/>
      <c r="K56" s="11"/>
      <c r="L56" s="8"/>
      <c r="M56" s="11"/>
      <c r="N56" s="8">
        <f t="shared" si="6"/>
        <v>0</v>
      </c>
      <c r="O56" s="11">
        <f t="shared" si="6"/>
        <v>0</v>
      </c>
      <c r="S56" s="13"/>
    </row>
    <row r="57" spans="2:19" x14ac:dyDescent="0.25">
      <c r="B57" s="2" t="s">
        <v>4</v>
      </c>
      <c r="C57" s="2">
        <v>2015</v>
      </c>
      <c r="D57" s="1"/>
      <c r="E57" s="11"/>
      <c r="F57" s="1"/>
      <c r="G57" s="11"/>
      <c r="H57" s="1"/>
      <c r="I57" s="11"/>
      <c r="J57" s="8"/>
      <c r="K57" s="11"/>
      <c r="L57" s="8"/>
      <c r="M57" s="11"/>
      <c r="N57" s="8">
        <f t="shared" si="6"/>
        <v>0</v>
      </c>
      <c r="O57" s="11">
        <f t="shared" si="6"/>
        <v>0</v>
      </c>
      <c r="S57" s="13"/>
    </row>
    <row r="58" spans="2:19" x14ac:dyDescent="0.25">
      <c r="B58" s="2" t="s">
        <v>28</v>
      </c>
      <c r="C58" s="2">
        <v>2015</v>
      </c>
      <c r="D58" s="1"/>
      <c r="E58" s="11"/>
      <c r="F58" s="1"/>
      <c r="G58" s="11"/>
      <c r="H58" s="1"/>
      <c r="I58" s="11"/>
      <c r="J58" s="8"/>
      <c r="K58" s="11"/>
      <c r="L58" s="8"/>
      <c r="M58" s="11"/>
      <c r="N58" s="8">
        <f t="shared" si="6"/>
        <v>0</v>
      </c>
      <c r="O58" s="11">
        <f t="shared" si="6"/>
        <v>0</v>
      </c>
      <c r="S58" s="13"/>
    </row>
    <row r="59" spans="2:19" x14ac:dyDescent="0.25">
      <c r="B59" s="2" t="s">
        <v>29</v>
      </c>
      <c r="C59" s="2">
        <v>2015</v>
      </c>
      <c r="D59" s="1"/>
      <c r="E59" s="11"/>
      <c r="F59" s="1"/>
      <c r="G59" s="11"/>
      <c r="H59" s="1"/>
      <c r="I59" s="11"/>
      <c r="J59" s="8"/>
      <c r="K59" s="11"/>
      <c r="L59" s="8"/>
      <c r="M59" s="11"/>
      <c r="N59" s="8">
        <f t="shared" si="6"/>
        <v>0</v>
      </c>
      <c r="O59" s="11">
        <f t="shared" si="6"/>
        <v>0</v>
      </c>
      <c r="S59" s="13"/>
    </row>
    <row r="60" spans="2:19" x14ac:dyDescent="0.25">
      <c r="B60" s="2" t="s">
        <v>30</v>
      </c>
      <c r="C60" s="2">
        <v>2015</v>
      </c>
      <c r="D60" s="1"/>
      <c r="E60" s="11"/>
      <c r="F60" s="1"/>
      <c r="G60" s="11"/>
      <c r="H60" s="1"/>
      <c r="I60" s="11"/>
      <c r="J60" s="8"/>
      <c r="K60" s="11"/>
      <c r="L60" s="8"/>
      <c r="M60" s="11"/>
      <c r="N60" s="8">
        <f t="shared" si="6"/>
        <v>0</v>
      </c>
      <c r="O60" s="11">
        <f t="shared" si="6"/>
        <v>0</v>
      </c>
      <c r="S60" s="13"/>
    </row>
    <row r="61" spans="2:19" x14ac:dyDescent="0.25">
      <c r="B61" s="2" t="s">
        <v>31</v>
      </c>
      <c r="C61" s="2">
        <v>2015</v>
      </c>
      <c r="D61" s="1"/>
      <c r="E61" s="11"/>
      <c r="F61" s="1"/>
      <c r="G61" s="11"/>
      <c r="H61" s="1"/>
      <c r="I61" s="11"/>
      <c r="J61" s="8"/>
      <c r="K61" s="11"/>
      <c r="L61" s="8"/>
      <c r="M61" s="11"/>
      <c r="N61" s="8">
        <f t="shared" si="6"/>
        <v>0</v>
      </c>
      <c r="O61" s="11">
        <f t="shared" si="6"/>
        <v>0</v>
      </c>
      <c r="S61" s="13"/>
    </row>
    <row r="63" spans="2:19" x14ac:dyDescent="0.25">
      <c r="B63" s="3" t="s">
        <v>12</v>
      </c>
      <c r="C63" s="3"/>
      <c r="D63" s="4">
        <f t="shared" ref="D63:O63" si="7">SUM(D50:D62)</f>
        <v>0</v>
      </c>
      <c r="E63" s="12">
        <f t="shared" si="7"/>
        <v>0</v>
      </c>
      <c r="F63" s="4">
        <f t="shared" si="7"/>
        <v>0</v>
      </c>
      <c r="G63" s="12">
        <f t="shared" si="7"/>
        <v>0</v>
      </c>
      <c r="H63" s="4">
        <f t="shared" si="7"/>
        <v>0</v>
      </c>
      <c r="I63" s="12">
        <f t="shared" si="7"/>
        <v>0</v>
      </c>
      <c r="J63" s="4">
        <f t="shared" si="7"/>
        <v>0</v>
      </c>
      <c r="K63" s="12">
        <f t="shared" si="7"/>
        <v>0</v>
      </c>
      <c r="L63" s="4">
        <f t="shared" si="7"/>
        <v>0</v>
      </c>
      <c r="M63" s="12">
        <f t="shared" si="7"/>
        <v>0</v>
      </c>
      <c r="N63" s="4">
        <f t="shared" si="7"/>
        <v>0</v>
      </c>
      <c r="O63" s="12">
        <f t="shared" si="7"/>
        <v>0</v>
      </c>
    </row>
    <row r="65" spans="1:15" x14ac:dyDescent="0.25">
      <c r="B65" s="5" t="s">
        <v>14</v>
      </c>
    </row>
    <row r="66" spans="1:15" x14ac:dyDescent="0.25">
      <c r="B66" s="5" t="s">
        <v>22</v>
      </c>
    </row>
    <row r="67" spans="1:15" x14ac:dyDescent="0.25">
      <c r="B67" s="5"/>
    </row>
    <row r="68" spans="1:15" x14ac:dyDescent="0.25">
      <c r="D68" s="89" t="s">
        <v>15</v>
      </c>
      <c r="E68" s="90"/>
      <c r="F68" s="89" t="s">
        <v>16</v>
      </c>
      <c r="G68" s="90"/>
      <c r="H68" s="89" t="s">
        <v>17</v>
      </c>
      <c r="I68" s="93"/>
      <c r="J68" s="89" t="s">
        <v>18</v>
      </c>
      <c r="K68" s="93"/>
      <c r="L68" s="89" t="s">
        <v>13</v>
      </c>
      <c r="M68" s="93"/>
      <c r="N68" s="89" t="s">
        <v>12</v>
      </c>
      <c r="O68" s="93"/>
    </row>
    <row r="69" spans="1:1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</row>
    <row r="71" spans="1:15" x14ac:dyDescent="0.25">
      <c r="B71" s="2" t="s">
        <v>5</v>
      </c>
      <c r="C71" s="2">
        <v>2015</v>
      </c>
      <c r="D71" s="1"/>
      <c r="E71" s="11"/>
      <c r="F71" s="1"/>
      <c r="G71" s="11"/>
      <c r="H71" s="1"/>
      <c r="I71" s="11"/>
      <c r="J71" s="8"/>
      <c r="K71" s="11"/>
      <c r="L71" s="8"/>
      <c r="M71" s="11"/>
      <c r="N71" s="8">
        <f t="shared" ref="N71:O82" si="8">L71+J71+H71+F71+D71</f>
        <v>0</v>
      </c>
      <c r="O71" s="11">
        <f t="shared" si="8"/>
        <v>0</v>
      </c>
    </row>
    <row r="72" spans="1:15" x14ac:dyDescent="0.25">
      <c r="B72" s="2" t="s">
        <v>6</v>
      </c>
      <c r="C72" s="2">
        <v>2015</v>
      </c>
      <c r="D72" s="1"/>
      <c r="E72" s="11"/>
      <c r="F72" s="1"/>
      <c r="G72" s="11"/>
      <c r="H72" s="1"/>
      <c r="I72" s="11"/>
      <c r="J72" s="8"/>
      <c r="K72" s="11"/>
      <c r="L72" s="8"/>
      <c r="M72" s="11"/>
      <c r="N72" s="8">
        <f t="shared" si="8"/>
        <v>0</v>
      </c>
      <c r="O72" s="11">
        <f t="shared" si="8"/>
        <v>0</v>
      </c>
    </row>
    <row r="73" spans="1:15" x14ac:dyDescent="0.25">
      <c r="B73" s="2" t="s">
        <v>7</v>
      </c>
      <c r="C73" s="2">
        <v>2015</v>
      </c>
      <c r="D73" s="1"/>
      <c r="E73" s="11"/>
      <c r="F73" s="1"/>
      <c r="G73" s="11"/>
      <c r="H73" s="1"/>
      <c r="I73" s="11"/>
      <c r="J73" s="8"/>
      <c r="K73" s="11"/>
      <c r="L73" s="8"/>
      <c r="M73" s="11"/>
      <c r="N73" s="8">
        <f t="shared" si="8"/>
        <v>0</v>
      </c>
      <c r="O73" s="11">
        <f t="shared" si="8"/>
        <v>0</v>
      </c>
    </row>
    <row r="74" spans="1:15" x14ac:dyDescent="0.25">
      <c r="B74" s="2" t="s">
        <v>8</v>
      </c>
      <c r="C74" s="2">
        <v>2015</v>
      </c>
      <c r="D74" s="1"/>
      <c r="E74" s="11"/>
      <c r="F74" s="1"/>
      <c r="G74" s="11"/>
      <c r="H74" s="1"/>
      <c r="I74" s="11"/>
      <c r="J74" s="8"/>
      <c r="K74" s="11"/>
      <c r="L74" s="8"/>
      <c r="M74" s="11"/>
      <c r="N74" s="8">
        <f t="shared" si="8"/>
        <v>0</v>
      </c>
      <c r="O74" s="11">
        <f t="shared" si="8"/>
        <v>0</v>
      </c>
    </row>
    <row r="75" spans="1:15" x14ac:dyDescent="0.25">
      <c r="B75" s="2" t="s">
        <v>9</v>
      </c>
      <c r="C75" s="2">
        <v>2015</v>
      </c>
      <c r="D75" s="1"/>
      <c r="E75" s="11"/>
      <c r="F75" s="1"/>
      <c r="G75" s="11"/>
      <c r="H75" s="1"/>
      <c r="I75" s="11"/>
      <c r="J75" s="8"/>
      <c r="K75" s="11"/>
      <c r="L75" s="8"/>
      <c r="M75" s="11"/>
      <c r="N75" s="8">
        <f t="shared" si="8"/>
        <v>0</v>
      </c>
      <c r="O75" s="11">
        <f t="shared" si="8"/>
        <v>0</v>
      </c>
    </row>
    <row r="76" spans="1:15" x14ac:dyDescent="0.25">
      <c r="B76" s="2" t="s">
        <v>10</v>
      </c>
      <c r="C76" s="2">
        <v>2015</v>
      </c>
      <c r="D76" s="1"/>
      <c r="E76" s="11"/>
      <c r="F76" s="1"/>
      <c r="G76" s="11"/>
      <c r="H76" s="1"/>
      <c r="I76" s="11"/>
      <c r="J76" s="8"/>
      <c r="K76" s="11"/>
      <c r="L76" s="8"/>
      <c r="M76" s="11"/>
      <c r="N76" s="8">
        <f t="shared" si="8"/>
        <v>0</v>
      </c>
      <c r="O76" s="11">
        <f t="shared" si="8"/>
        <v>0</v>
      </c>
    </row>
    <row r="77" spans="1:15" x14ac:dyDescent="0.25">
      <c r="B77" s="2" t="s">
        <v>11</v>
      </c>
      <c r="C77" s="2">
        <v>2015</v>
      </c>
      <c r="D77" s="1"/>
      <c r="E77" s="11"/>
      <c r="F77" s="1"/>
      <c r="G77" s="11"/>
      <c r="H77" s="1"/>
      <c r="I77" s="11"/>
      <c r="J77" s="8"/>
      <c r="K77" s="11"/>
      <c r="L77" s="8"/>
      <c r="M77" s="11"/>
      <c r="N77" s="8">
        <f t="shared" si="8"/>
        <v>0</v>
      </c>
      <c r="O77" s="11">
        <f t="shared" si="8"/>
        <v>0</v>
      </c>
    </row>
    <row r="78" spans="1:15" x14ac:dyDescent="0.25">
      <c r="B78" s="2" t="s">
        <v>4</v>
      </c>
      <c r="C78" s="2">
        <v>2015</v>
      </c>
      <c r="D78" s="1"/>
      <c r="E78" s="11"/>
      <c r="F78" s="1"/>
      <c r="G78" s="11"/>
      <c r="H78" s="1"/>
      <c r="I78" s="11"/>
      <c r="J78" s="8"/>
      <c r="K78" s="11"/>
      <c r="L78" s="8"/>
      <c r="M78" s="11"/>
      <c r="N78" s="8">
        <f t="shared" si="8"/>
        <v>0</v>
      </c>
      <c r="O78" s="11">
        <f t="shared" si="8"/>
        <v>0</v>
      </c>
    </row>
    <row r="79" spans="1:15" x14ac:dyDescent="0.25">
      <c r="B79" s="2" t="s">
        <v>28</v>
      </c>
      <c r="C79" s="2">
        <v>2015</v>
      </c>
      <c r="D79" s="1"/>
      <c r="E79" s="11"/>
      <c r="F79" s="1"/>
      <c r="G79" s="11"/>
      <c r="H79" s="1"/>
      <c r="I79" s="11"/>
      <c r="J79" s="8"/>
      <c r="K79" s="11"/>
      <c r="L79" s="8"/>
      <c r="M79" s="11"/>
      <c r="N79" s="8">
        <f t="shared" si="8"/>
        <v>0</v>
      </c>
      <c r="O79" s="11">
        <f t="shared" si="8"/>
        <v>0</v>
      </c>
    </row>
    <row r="80" spans="1:15" x14ac:dyDescent="0.25">
      <c r="B80" s="2" t="s">
        <v>29</v>
      </c>
      <c r="C80" s="2">
        <v>2015</v>
      </c>
      <c r="D80" s="1"/>
      <c r="E80" s="11"/>
      <c r="F80" s="1"/>
      <c r="G80" s="11"/>
      <c r="H80" s="1"/>
      <c r="I80" s="11"/>
      <c r="J80" s="8"/>
      <c r="K80" s="11"/>
      <c r="L80" s="8"/>
      <c r="M80" s="11"/>
      <c r="N80" s="8">
        <f t="shared" si="8"/>
        <v>0</v>
      </c>
      <c r="O80" s="11">
        <f t="shared" si="8"/>
        <v>0</v>
      </c>
    </row>
    <row r="81" spans="1:15" x14ac:dyDescent="0.25">
      <c r="B81" s="2" t="s">
        <v>30</v>
      </c>
      <c r="C81" s="2">
        <v>2015</v>
      </c>
      <c r="D81" s="1"/>
      <c r="E81" s="11"/>
      <c r="F81" s="1"/>
      <c r="G81" s="11"/>
      <c r="H81" s="1"/>
      <c r="I81" s="11"/>
      <c r="J81" s="8"/>
      <c r="K81" s="11"/>
      <c r="L81" s="8"/>
      <c r="M81" s="11"/>
      <c r="N81" s="8">
        <f t="shared" si="8"/>
        <v>0</v>
      </c>
      <c r="O81" s="11">
        <f t="shared" si="8"/>
        <v>0</v>
      </c>
    </row>
    <row r="82" spans="1:15" x14ac:dyDescent="0.25">
      <c r="B82" s="2" t="s">
        <v>31</v>
      </c>
      <c r="C82" s="2">
        <v>2015</v>
      </c>
      <c r="D82" s="1"/>
      <c r="E82" s="11"/>
      <c r="F82" s="1"/>
      <c r="G82" s="11"/>
      <c r="H82" s="1"/>
      <c r="I82" s="11"/>
      <c r="J82" s="8"/>
      <c r="K82" s="11"/>
      <c r="L82" s="8"/>
      <c r="M82" s="11"/>
      <c r="N82" s="8">
        <f t="shared" si="8"/>
        <v>0</v>
      </c>
      <c r="O82" s="11">
        <f t="shared" si="8"/>
        <v>0</v>
      </c>
    </row>
    <row r="84" spans="1:15" x14ac:dyDescent="0.25">
      <c r="B84" s="3" t="s">
        <v>12</v>
      </c>
      <c r="C84" s="3"/>
      <c r="D84" s="4">
        <f t="shared" ref="D84:N84" si="9">SUM(D71:D83)</f>
        <v>0</v>
      </c>
      <c r="E84" s="12">
        <f t="shared" si="9"/>
        <v>0</v>
      </c>
      <c r="F84" s="4">
        <f t="shared" si="9"/>
        <v>0</v>
      </c>
      <c r="G84" s="12">
        <f t="shared" si="9"/>
        <v>0</v>
      </c>
      <c r="H84" s="4">
        <f t="shared" si="9"/>
        <v>0</v>
      </c>
      <c r="I84" s="12">
        <f t="shared" si="9"/>
        <v>0</v>
      </c>
      <c r="J84" s="4">
        <f t="shared" si="9"/>
        <v>0</v>
      </c>
      <c r="K84" s="12">
        <f t="shared" si="9"/>
        <v>0</v>
      </c>
      <c r="L84" s="4">
        <f t="shared" si="9"/>
        <v>0</v>
      </c>
      <c r="M84" s="12">
        <f t="shared" si="9"/>
        <v>0</v>
      </c>
      <c r="N84" s="4">
        <f t="shared" si="9"/>
        <v>0</v>
      </c>
      <c r="O84" s="12">
        <f>SUM(O71:O83)</f>
        <v>0</v>
      </c>
    </row>
    <row r="86" spans="1:15" x14ac:dyDescent="0.25">
      <c r="B86" s="5" t="s">
        <v>14</v>
      </c>
    </row>
    <row r="87" spans="1:15" x14ac:dyDescent="0.25">
      <c r="B87" s="5" t="s">
        <v>32</v>
      </c>
    </row>
    <row r="88" spans="1:15" x14ac:dyDescent="0.25">
      <c r="B88" s="5"/>
    </row>
    <row r="89" spans="1:15" x14ac:dyDescent="0.25">
      <c r="D89" s="89" t="s">
        <v>15</v>
      </c>
      <c r="E89" s="90"/>
      <c r="F89" s="89" t="s">
        <v>16</v>
      </c>
      <c r="G89" s="90"/>
      <c r="H89" s="89" t="s">
        <v>17</v>
      </c>
      <c r="I89" s="93"/>
      <c r="J89" s="89" t="s">
        <v>18</v>
      </c>
      <c r="K89" s="93"/>
      <c r="L89" s="89" t="s">
        <v>13</v>
      </c>
      <c r="M89" s="93"/>
      <c r="N89" s="89" t="s">
        <v>12</v>
      </c>
      <c r="O89" s="93"/>
    </row>
    <row r="90" spans="1:1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</row>
    <row r="92" spans="1:15" x14ac:dyDescent="0.25">
      <c r="B92" s="2" t="s">
        <v>5</v>
      </c>
      <c r="C92" s="2">
        <v>2015</v>
      </c>
      <c r="D92" s="1"/>
      <c r="E92" s="11"/>
      <c r="F92" s="1"/>
      <c r="G92" s="11"/>
      <c r="H92" s="1"/>
      <c r="I92" s="11"/>
      <c r="J92" s="8"/>
      <c r="K92" s="11"/>
      <c r="L92" s="8"/>
      <c r="M92" s="11"/>
      <c r="N92" s="8">
        <f t="shared" ref="N92:O103" si="10">L92+J92+H92+F92+D92</f>
        <v>0</v>
      </c>
      <c r="O92" s="11">
        <f t="shared" si="10"/>
        <v>0</v>
      </c>
    </row>
    <row r="93" spans="1:15" x14ac:dyDescent="0.25">
      <c r="B93" s="2" t="s">
        <v>6</v>
      </c>
      <c r="C93" s="2">
        <v>2015</v>
      </c>
      <c r="D93" s="1"/>
      <c r="E93" s="11"/>
      <c r="F93" s="1"/>
      <c r="G93" s="11"/>
      <c r="H93" s="1"/>
      <c r="I93" s="11"/>
      <c r="J93" s="8"/>
      <c r="K93" s="11"/>
      <c r="L93" s="8"/>
      <c r="M93" s="11"/>
      <c r="N93" s="8">
        <f t="shared" si="10"/>
        <v>0</v>
      </c>
      <c r="O93" s="11">
        <f t="shared" si="10"/>
        <v>0</v>
      </c>
    </row>
    <row r="94" spans="1:15" x14ac:dyDescent="0.25">
      <c r="B94" s="2" t="s">
        <v>7</v>
      </c>
      <c r="C94" s="2">
        <v>2015</v>
      </c>
      <c r="D94" s="1"/>
      <c r="E94" s="11"/>
      <c r="F94" s="1"/>
      <c r="G94" s="11"/>
      <c r="H94" s="1"/>
      <c r="I94" s="11"/>
      <c r="J94" s="8"/>
      <c r="K94" s="11"/>
      <c r="L94" s="8"/>
      <c r="M94" s="11"/>
      <c r="N94" s="8">
        <f t="shared" si="10"/>
        <v>0</v>
      </c>
      <c r="O94" s="11">
        <f t="shared" si="10"/>
        <v>0</v>
      </c>
    </row>
    <row r="95" spans="1:15" x14ac:dyDescent="0.25">
      <c r="B95" s="2" t="s">
        <v>8</v>
      </c>
      <c r="C95" s="2">
        <v>2015</v>
      </c>
      <c r="D95" s="1"/>
      <c r="E95" s="11"/>
      <c r="F95" s="1"/>
      <c r="G95" s="11"/>
      <c r="H95" s="1"/>
      <c r="I95" s="11"/>
      <c r="J95" s="8"/>
      <c r="K95" s="11"/>
      <c r="L95" s="8"/>
      <c r="M95" s="11"/>
      <c r="N95" s="8">
        <f t="shared" si="10"/>
        <v>0</v>
      </c>
      <c r="O95" s="11">
        <f t="shared" si="10"/>
        <v>0</v>
      </c>
    </row>
    <row r="96" spans="1:15" x14ac:dyDescent="0.25">
      <c r="B96" s="2" t="s">
        <v>9</v>
      </c>
      <c r="C96" s="2">
        <v>2015</v>
      </c>
      <c r="D96" s="1"/>
      <c r="E96" s="11"/>
      <c r="F96" s="1"/>
      <c r="G96" s="11"/>
      <c r="H96" s="1"/>
      <c r="I96" s="11"/>
      <c r="J96" s="8"/>
      <c r="K96" s="11"/>
      <c r="L96" s="8"/>
      <c r="M96" s="11"/>
      <c r="N96" s="8">
        <f t="shared" si="10"/>
        <v>0</v>
      </c>
      <c r="O96" s="11">
        <f t="shared" si="10"/>
        <v>0</v>
      </c>
    </row>
    <row r="97" spans="1:15" x14ac:dyDescent="0.25">
      <c r="B97" s="2" t="s">
        <v>10</v>
      </c>
      <c r="C97" s="2">
        <v>2015</v>
      </c>
      <c r="D97" s="1"/>
      <c r="E97" s="11"/>
      <c r="F97" s="1"/>
      <c r="G97" s="11"/>
      <c r="H97" s="1"/>
      <c r="I97" s="11"/>
      <c r="J97" s="8"/>
      <c r="K97" s="11"/>
      <c r="L97" s="8"/>
      <c r="M97" s="11"/>
      <c r="N97" s="8">
        <f t="shared" si="10"/>
        <v>0</v>
      </c>
      <c r="O97" s="11">
        <f t="shared" si="10"/>
        <v>0</v>
      </c>
    </row>
    <row r="98" spans="1:15" x14ac:dyDescent="0.25">
      <c r="B98" s="2" t="s">
        <v>11</v>
      </c>
      <c r="C98" s="2">
        <v>2015</v>
      </c>
      <c r="D98" s="1"/>
      <c r="E98" s="11"/>
      <c r="F98" s="1"/>
      <c r="G98" s="11"/>
      <c r="H98" s="1"/>
      <c r="I98" s="11"/>
      <c r="J98" s="8"/>
      <c r="K98" s="11"/>
      <c r="L98" s="8"/>
      <c r="M98" s="11"/>
      <c r="N98" s="8">
        <f t="shared" si="10"/>
        <v>0</v>
      </c>
      <c r="O98" s="11">
        <f t="shared" si="10"/>
        <v>0</v>
      </c>
    </row>
    <row r="99" spans="1:15" x14ac:dyDescent="0.25">
      <c r="B99" s="2" t="s">
        <v>4</v>
      </c>
      <c r="C99" s="2">
        <v>2015</v>
      </c>
      <c r="D99" s="1"/>
      <c r="E99" s="11"/>
      <c r="F99" s="1"/>
      <c r="G99" s="11"/>
      <c r="H99" s="1"/>
      <c r="I99" s="11"/>
      <c r="J99" s="8"/>
      <c r="K99" s="11"/>
      <c r="L99" s="8"/>
      <c r="M99" s="11"/>
      <c r="N99" s="8">
        <f t="shared" si="10"/>
        <v>0</v>
      </c>
      <c r="O99" s="11">
        <f t="shared" si="10"/>
        <v>0</v>
      </c>
    </row>
    <row r="100" spans="1:15" x14ac:dyDescent="0.25">
      <c r="B100" s="2" t="s">
        <v>28</v>
      </c>
      <c r="C100" s="2">
        <v>2015</v>
      </c>
      <c r="D100" s="1"/>
      <c r="E100" s="11"/>
      <c r="F100" s="1"/>
      <c r="G100" s="11"/>
      <c r="H100" s="1"/>
      <c r="I100" s="11"/>
      <c r="J100" s="8"/>
      <c r="K100" s="11"/>
      <c r="L100" s="8"/>
      <c r="M100" s="11"/>
      <c r="N100" s="8">
        <f t="shared" si="10"/>
        <v>0</v>
      </c>
      <c r="O100" s="11">
        <f t="shared" si="10"/>
        <v>0</v>
      </c>
    </row>
    <row r="101" spans="1:15" x14ac:dyDescent="0.25">
      <c r="B101" s="2" t="s">
        <v>29</v>
      </c>
      <c r="C101" s="2">
        <v>2015</v>
      </c>
      <c r="D101" s="1"/>
      <c r="E101" s="11"/>
      <c r="F101" s="1"/>
      <c r="G101" s="11"/>
      <c r="H101" s="1"/>
      <c r="I101" s="11"/>
      <c r="J101" s="8"/>
      <c r="K101" s="11"/>
      <c r="L101" s="8"/>
      <c r="M101" s="11"/>
      <c r="N101" s="8">
        <f t="shared" si="10"/>
        <v>0</v>
      </c>
      <c r="O101" s="11">
        <f t="shared" si="10"/>
        <v>0</v>
      </c>
    </row>
    <row r="102" spans="1:15" x14ac:dyDescent="0.25">
      <c r="B102" s="2" t="s">
        <v>30</v>
      </c>
      <c r="C102" s="2">
        <v>2015</v>
      </c>
      <c r="D102" s="1"/>
      <c r="E102" s="11"/>
      <c r="F102" s="1"/>
      <c r="G102" s="11"/>
      <c r="H102" s="1"/>
      <c r="I102" s="11"/>
      <c r="J102" s="8"/>
      <c r="K102" s="11"/>
      <c r="L102" s="8"/>
      <c r="M102" s="11"/>
      <c r="N102" s="8">
        <f t="shared" si="10"/>
        <v>0</v>
      </c>
      <c r="O102" s="11">
        <f t="shared" si="10"/>
        <v>0</v>
      </c>
    </row>
    <row r="103" spans="1:15" x14ac:dyDescent="0.25">
      <c r="B103" s="2" t="s">
        <v>31</v>
      </c>
      <c r="C103" s="2">
        <v>2015</v>
      </c>
      <c r="D103" s="1"/>
      <c r="E103" s="11"/>
      <c r="F103" s="1"/>
      <c r="G103" s="11"/>
      <c r="H103" s="1"/>
      <c r="I103" s="11"/>
      <c r="J103" s="8"/>
      <c r="K103" s="11"/>
      <c r="L103" s="8"/>
      <c r="M103" s="11"/>
      <c r="N103" s="8">
        <f t="shared" si="10"/>
        <v>0</v>
      </c>
      <c r="O103" s="11">
        <f t="shared" si="10"/>
        <v>0</v>
      </c>
    </row>
    <row r="105" spans="1:15" x14ac:dyDescent="0.25">
      <c r="B105" s="3" t="s">
        <v>12</v>
      </c>
      <c r="C105" s="3"/>
      <c r="D105" s="4">
        <f t="shared" ref="D105:O105" si="11">SUM(D92:D104)</f>
        <v>0</v>
      </c>
      <c r="E105" s="12">
        <f t="shared" si="11"/>
        <v>0</v>
      </c>
      <c r="F105" s="4">
        <f t="shared" si="11"/>
        <v>0</v>
      </c>
      <c r="G105" s="12">
        <f t="shared" si="11"/>
        <v>0</v>
      </c>
      <c r="H105" s="4">
        <f t="shared" si="11"/>
        <v>0</v>
      </c>
      <c r="I105" s="12">
        <f t="shared" si="11"/>
        <v>0</v>
      </c>
      <c r="J105" s="4">
        <f t="shared" si="11"/>
        <v>0</v>
      </c>
      <c r="K105" s="12">
        <f t="shared" si="11"/>
        <v>0</v>
      </c>
      <c r="L105" s="4">
        <f t="shared" si="11"/>
        <v>0</v>
      </c>
      <c r="M105" s="12">
        <f t="shared" si="11"/>
        <v>0</v>
      </c>
      <c r="N105" s="4">
        <f t="shared" si="11"/>
        <v>0</v>
      </c>
      <c r="O105" s="12">
        <f t="shared" si="11"/>
        <v>0</v>
      </c>
    </row>
    <row r="107" spans="1:15" x14ac:dyDescent="0.25">
      <c r="B107" s="5" t="s">
        <v>14</v>
      </c>
    </row>
    <row r="108" spans="1:15" x14ac:dyDescent="0.25">
      <c r="B108" s="5" t="s">
        <v>27</v>
      </c>
    </row>
    <row r="109" spans="1:15" x14ac:dyDescent="0.25">
      <c r="B109" s="5"/>
    </row>
    <row r="110" spans="1:15" x14ac:dyDescent="0.25">
      <c r="D110" s="89" t="s">
        <v>23</v>
      </c>
      <c r="E110" s="90"/>
      <c r="F110" s="89" t="s">
        <v>24</v>
      </c>
      <c r="G110" s="90"/>
      <c r="H110" s="89" t="s">
        <v>25</v>
      </c>
      <c r="I110" s="90"/>
      <c r="J110" s="89" t="s">
        <v>26</v>
      </c>
      <c r="K110" s="90"/>
      <c r="L110" s="89" t="s">
        <v>12</v>
      </c>
      <c r="M110" s="93"/>
      <c r="O110"/>
    </row>
    <row r="111" spans="1:1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O111"/>
    </row>
    <row r="112" spans="1:15" x14ac:dyDescent="0.25">
      <c r="O112"/>
    </row>
    <row r="113" spans="2:15" x14ac:dyDescent="0.25">
      <c r="B113" s="2" t="s">
        <v>5</v>
      </c>
      <c r="C113" s="2">
        <v>2015</v>
      </c>
      <c r="D113" s="1"/>
      <c r="E113" s="11"/>
      <c r="F113" s="1"/>
      <c r="G113" s="11"/>
      <c r="H113" s="1"/>
      <c r="I113" s="11"/>
      <c r="J113" s="8"/>
      <c r="K113" s="11"/>
      <c r="L113" s="8">
        <f>+J113+H113+F113+D113</f>
        <v>0</v>
      </c>
      <c r="M113" s="11">
        <f t="shared" ref="M113:M120" si="12">+K113+I113+G113+E113</f>
        <v>0</v>
      </c>
      <c r="O113"/>
    </row>
    <row r="114" spans="2:15" x14ac:dyDescent="0.25">
      <c r="B114" s="2" t="s">
        <v>6</v>
      </c>
      <c r="C114" s="2">
        <v>2015</v>
      </c>
      <c r="D114" s="1"/>
      <c r="E114" s="11"/>
      <c r="F114" s="1"/>
      <c r="G114" s="11"/>
      <c r="H114" s="1"/>
      <c r="I114" s="11"/>
      <c r="J114" s="8"/>
      <c r="K114" s="11"/>
      <c r="L114" s="8">
        <f t="shared" ref="L114:L120" si="13">+J114+H114+F114+D114</f>
        <v>0</v>
      </c>
      <c r="M114" s="11">
        <f t="shared" si="12"/>
        <v>0</v>
      </c>
      <c r="O114"/>
    </row>
    <row r="115" spans="2:15" x14ac:dyDescent="0.25">
      <c r="B115" s="2" t="s">
        <v>7</v>
      </c>
      <c r="C115" s="2">
        <v>2015</v>
      </c>
      <c r="D115" s="1"/>
      <c r="E115" s="11"/>
      <c r="F115" s="1"/>
      <c r="G115" s="11"/>
      <c r="H115" s="1"/>
      <c r="I115" s="11"/>
      <c r="J115" s="8"/>
      <c r="K115" s="11"/>
      <c r="L115" s="8">
        <f t="shared" si="13"/>
        <v>0</v>
      </c>
      <c r="M115" s="11">
        <f t="shared" si="12"/>
        <v>0</v>
      </c>
      <c r="O115"/>
    </row>
    <row r="116" spans="2:15" x14ac:dyDescent="0.25">
      <c r="B116" s="2" t="s">
        <v>8</v>
      </c>
      <c r="C116" s="2">
        <v>2015</v>
      </c>
      <c r="D116" s="1"/>
      <c r="E116" s="11"/>
      <c r="F116" s="1"/>
      <c r="G116" s="11"/>
      <c r="H116" s="1"/>
      <c r="I116" s="11"/>
      <c r="J116" s="8"/>
      <c r="K116" s="11"/>
      <c r="L116" s="8">
        <f t="shared" si="13"/>
        <v>0</v>
      </c>
      <c r="M116" s="11">
        <f t="shared" si="12"/>
        <v>0</v>
      </c>
      <c r="O116"/>
    </row>
    <row r="117" spans="2:15" x14ac:dyDescent="0.25">
      <c r="B117" s="2" t="s">
        <v>9</v>
      </c>
      <c r="C117" s="2">
        <v>2015</v>
      </c>
      <c r="D117" s="1"/>
      <c r="E117" s="11"/>
      <c r="F117" s="1"/>
      <c r="G117" s="11"/>
      <c r="H117" s="1"/>
      <c r="I117" s="11"/>
      <c r="J117" s="8"/>
      <c r="K117" s="11"/>
      <c r="L117" s="8">
        <f t="shared" si="13"/>
        <v>0</v>
      </c>
      <c r="M117" s="11">
        <f t="shared" si="12"/>
        <v>0</v>
      </c>
      <c r="O117"/>
    </row>
    <row r="118" spans="2:15" x14ac:dyDescent="0.25">
      <c r="B118" s="2" t="s">
        <v>10</v>
      </c>
      <c r="C118" s="2">
        <v>2015</v>
      </c>
      <c r="D118" s="1"/>
      <c r="E118" s="11"/>
      <c r="F118" s="1"/>
      <c r="G118" s="11"/>
      <c r="H118" s="1"/>
      <c r="I118" s="11"/>
      <c r="J118" s="8"/>
      <c r="K118" s="11"/>
      <c r="L118" s="8">
        <f t="shared" si="13"/>
        <v>0</v>
      </c>
      <c r="M118" s="11">
        <f t="shared" si="12"/>
        <v>0</v>
      </c>
      <c r="O118"/>
    </row>
    <row r="119" spans="2:15" x14ac:dyDescent="0.25">
      <c r="B119" s="2" t="s">
        <v>11</v>
      </c>
      <c r="C119" s="2">
        <v>2015</v>
      </c>
      <c r="D119" s="1"/>
      <c r="E119" s="11"/>
      <c r="F119" s="1"/>
      <c r="G119" s="11"/>
      <c r="H119" s="1"/>
      <c r="I119" s="11"/>
      <c r="J119" s="8"/>
      <c r="K119" s="11"/>
      <c r="L119" s="8">
        <f t="shared" si="13"/>
        <v>0</v>
      </c>
      <c r="M119" s="11">
        <f t="shared" si="12"/>
        <v>0</v>
      </c>
      <c r="O119"/>
    </row>
    <row r="120" spans="2:15" x14ac:dyDescent="0.25">
      <c r="B120" s="2" t="s">
        <v>4</v>
      </c>
      <c r="C120" s="2">
        <v>2015</v>
      </c>
      <c r="D120" s="1"/>
      <c r="E120" s="11"/>
      <c r="F120" s="1"/>
      <c r="G120" s="11"/>
      <c r="H120" s="1"/>
      <c r="I120" s="11"/>
      <c r="J120" s="8"/>
      <c r="K120" s="11"/>
      <c r="L120" s="8">
        <f t="shared" si="13"/>
        <v>0</v>
      </c>
      <c r="M120" s="11">
        <f t="shared" si="12"/>
        <v>0</v>
      </c>
      <c r="O120"/>
    </row>
    <row r="121" spans="2:15" x14ac:dyDescent="0.25">
      <c r="O121"/>
    </row>
    <row r="122" spans="2:15" x14ac:dyDescent="0.25">
      <c r="B122" s="3" t="s">
        <v>12</v>
      </c>
      <c r="C122" s="3"/>
      <c r="D122" s="4">
        <f t="shared" ref="D122:I122" si="14">SUM(D113:D121)</f>
        <v>0</v>
      </c>
      <c r="E122" s="12">
        <f t="shared" si="14"/>
        <v>0</v>
      </c>
      <c r="F122" s="4">
        <f t="shared" si="14"/>
        <v>0</v>
      </c>
      <c r="G122" s="12">
        <f t="shared" si="14"/>
        <v>0</v>
      </c>
      <c r="H122" s="4">
        <f t="shared" si="14"/>
        <v>0</v>
      </c>
      <c r="I122" s="12">
        <f t="shared" si="14"/>
        <v>0</v>
      </c>
      <c r="J122" s="4">
        <f>SUM(J113:J121)</f>
        <v>0</v>
      </c>
      <c r="K122" s="12">
        <f>SUM(K113:K121)</f>
        <v>0</v>
      </c>
      <c r="L122" s="4">
        <f>SUM(L113:L121)</f>
        <v>0</v>
      </c>
      <c r="M122" s="12">
        <f>SUM(M113:M121)</f>
        <v>0</v>
      </c>
      <c r="O122"/>
    </row>
  </sheetData>
  <mergeCells count="35">
    <mergeCell ref="D110:E110"/>
    <mergeCell ref="F110:G110"/>
    <mergeCell ref="H110:I110"/>
    <mergeCell ref="J110:K110"/>
    <mergeCell ref="L110:M110"/>
    <mergeCell ref="N89:O89"/>
    <mergeCell ref="D68:E68"/>
    <mergeCell ref="F68:G68"/>
    <mergeCell ref="H68:I68"/>
    <mergeCell ref="J68:K68"/>
    <mergeCell ref="L68:M68"/>
    <mergeCell ref="N68:O68"/>
    <mergeCell ref="D89:E89"/>
    <mergeCell ref="F89:G89"/>
    <mergeCell ref="H89:I89"/>
    <mergeCell ref="J89:K89"/>
    <mergeCell ref="L89:M89"/>
    <mergeCell ref="N47:O47"/>
    <mergeCell ref="D26:E26"/>
    <mergeCell ref="F26:G26"/>
    <mergeCell ref="H26:I26"/>
    <mergeCell ref="J26:K26"/>
    <mergeCell ref="L26:M26"/>
    <mergeCell ref="N26:O26"/>
    <mergeCell ref="D47:E47"/>
    <mergeCell ref="F47:G47"/>
    <mergeCell ref="H47:I47"/>
    <mergeCell ref="J47:K47"/>
    <mergeCell ref="L47:M47"/>
    <mergeCell ref="N5:O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BM126"/>
  <sheetViews>
    <sheetView showGridLines="0" zoomScaleNormal="100" workbookViewId="0"/>
  </sheetViews>
  <sheetFormatPr baseColWidth="10" defaultColWidth="11" defaultRowHeight="15" x14ac:dyDescent="0.25"/>
  <cols>
    <col min="1" max="1" width="1.7109375" customWidth="1"/>
    <col min="2" max="2" width="11.85546875" bestFit="1" customWidth="1"/>
    <col min="4" max="4" width="10.140625" customWidth="1"/>
    <col min="5" max="5" width="16.28515625" style="9" customWidth="1"/>
    <col min="6" max="6" width="10.140625" customWidth="1"/>
    <col min="7" max="7" width="16.28515625" style="9" customWidth="1"/>
    <col min="8" max="8" width="10.140625" customWidth="1"/>
    <col min="9" max="9" width="17.85546875" style="9" customWidth="1"/>
    <col min="10" max="10" width="15.140625" customWidth="1"/>
    <col min="11" max="11" width="16.28515625" style="9" customWidth="1"/>
    <col min="12" max="12" width="15.140625" customWidth="1"/>
    <col min="13" max="13" width="16.28515625" style="9" customWidth="1"/>
    <col min="14" max="14" width="15.140625" customWidth="1"/>
    <col min="15" max="15" width="17.85546875" style="9" customWidth="1"/>
    <col min="16" max="16" width="12" customWidth="1"/>
    <col min="17" max="17" width="15.140625" customWidth="1"/>
    <col min="18" max="20" width="12.5703125" customWidth="1"/>
    <col min="21" max="21" width="12.28515625" bestFit="1" customWidth="1"/>
    <col min="22" max="22" width="1.7109375" customWidth="1"/>
    <col min="23" max="23" width="13.140625" customWidth="1"/>
    <col min="24" max="24" width="15.85546875" customWidth="1"/>
    <col min="25" max="28" width="12.5703125" customWidth="1"/>
    <col min="29" max="29" width="1.7109375" customWidth="1"/>
    <col min="30" max="30" width="7.5703125" customWidth="1"/>
    <col min="31" max="31" width="12.570312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1" width="15.7109375" customWidth="1"/>
    <col min="42" max="43" width="12.42578125" customWidth="1"/>
    <col min="44" max="44" width="1.710937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9.140625" customWidth="1"/>
    <col min="52" max="52" width="13.5703125" customWidth="1"/>
    <col min="53" max="53" width="11.7109375" customWidth="1"/>
    <col min="54" max="54" width="18.7109375" customWidth="1"/>
    <col min="55" max="56" width="15.7109375" hidden="1" customWidth="1"/>
    <col min="57" max="58" width="12.42578125" hidden="1" customWidth="1"/>
    <col min="59" max="59" width="1.7109375" hidden="1" customWidth="1"/>
    <col min="60" max="60" width="10.85546875" hidden="1" customWidth="1"/>
    <col min="61" max="61" width="17.42578125" hidden="1" customWidth="1"/>
    <col min="62" max="63" width="14.7109375" hidden="1" customWidth="1"/>
    <col min="64" max="65" width="9.42578125" hidden="1" customWidth="1"/>
    <col min="66" max="66" width="1.7109375" customWidth="1"/>
    <col min="68" max="68" width="15.5703125" bestFit="1" customWidth="1"/>
  </cols>
  <sheetData>
    <row r="2" spans="1:15" x14ac:dyDescent="0.25">
      <c r="B2" s="5" t="s">
        <v>14</v>
      </c>
    </row>
    <row r="3" spans="1:15" x14ac:dyDescent="0.25">
      <c r="B3" s="5" t="s">
        <v>19</v>
      </c>
    </row>
    <row r="4" spans="1:15" x14ac:dyDescent="0.25">
      <c r="B4" s="5"/>
    </row>
    <row r="5" spans="1:15" x14ac:dyDescent="0.25">
      <c r="D5" s="89" t="s">
        <v>15</v>
      </c>
      <c r="E5" s="90"/>
      <c r="F5" s="89" t="s">
        <v>16</v>
      </c>
      <c r="G5" s="90"/>
      <c r="H5" s="89" t="s">
        <v>17</v>
      </c>
      <c r="I5" s="93"/>
      <c r="J5" s="89" t="s">
        <v>18</v>
      </c>
      <c r="K5" s="93"/>
      <c r="L5" s="89" t="s">
        <v>13</v>
      </c>
      <c r="M5" s="93"/>
      <c r="N5" s="89" t="s">
        <v>12</v>
      </c>
      <c r="O5" s="93"/>
    </row>
    <row r="6" spans="1:15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</row>
    <row r="8" spans="1:15" x14ac:dyDescent="0.25">
      <c r="B8" s="2" t="s">
        <v>5</v>
      </c>
      <c r="C8" s="2">
        <v>2016</v>
      </c>
      <c r="D8" s="1">
        <v>1180952</v>
      </c>
      <c r="E8" s="11">
        <v>22578622.049999993</v>
      </c>
      <c r="F8" s="1">
        <v>1553</v>
      </c>
      <c r="G8" s="11">
        <v>30365.680000000004</v>
      </c>
      <c r="H8" s="1">
        <v>1569641</v>
      </c>
      <c r="I8" s="11">
        <v>31478350.849999994</v>
      </c>
      <c r="J8" s="8">
        <v>48453</v>
      </c>
      <c r="K8" s="11">
        <v>943385.13</v>
      </c>
      <c r="L8" s="8">
        <v>6219</v>
      </c>
      <c r="M8" s="11">
        <v>110457.69999999997</v>
      </c>
      <c r="N8" s="8">
        <f t="shared" ref="N8:O19" si="0">L8+J8+H8+F8+D8</f>
        <v>2806818</v>
      </c>
      <c r="O8" s="11">
        <f t="shared" si="0"/>
        <v>55141181.409999982</v>
      </c>
    </row>
    <row r="9" spans="1:15" x14ac:dyDescent="0.25">
      <c r="B9" s="2" t="s">
        <v>6</v>
      </c>
      <c r="C9" s="2">
        <v>2016</v>
      </c>
      <c r="D9" s="1">
        <v>1176058</v>
      </c>
      <c r="E9" s="11">
        <v>23460286.429999992</v>
      </c>
      <c r="F9" s="1">
        <v>1562</v>
      </c>
      <c r="G9" s="11">
        <v>32524.090000000004</v>
      </c>
      <c r="H9" s="1">
        <v>1604154</v>
      </c>
      <c r="I9" s="11">
        <v>33450486.190000001</v>
      </c>
      <c r="J9" s="8">
        <v>49019</v>
      </c>
      <c r="K9" s="11">
        <v>985074.19000000018</v>
      </c>
      <c r="L9" s="8">
        <v>6264</v>
      </c>
      <c r="M9" s="11">
        <v>115231.87999999999</v>
      </c>
      <c r="N9" s="8">
        <f t="shared" si="0"/>
        <v>2837057</v>
      </c>
      <c r="O9" s="11">
        <f t="shared" si="0"/>
        <v>58043602.779999994</v>
      </c>
    </row>
    <row r="10" spans="1:15" x14ac:dyDescent="0.25">
      <c r="B10" s="2" t="s">
        <v>7</v>
      </c>
      <c r="C10" s="2">
        <v>2016</v>
      </c>
      <c r="D10" s="1">
        <v>1093761</v>
      </c>
      <c r="E10" s="11">
        <v>22004239.210000005</v>
      </c>
      <c r="F10" s="1">
        <v>1636</v>
      </c>
      <c r="G10" s="11">
        <v>34952.030000000006</v>
      </c>
      <c r="H10" s="1">
        <v>1507769</v>
      </c>
      <c r="I10" s="11">
        <v>31730016.760000002</v>
      </c>
      <c r="J10" s="8">
        <v>46833</v>
      </c>
      <c r="K10" s="11">
        <v>953647.98000000021</v>
      </c>
      <c r="L10" s="8">
        <v>5878</v>
      </c>
      <c r="M10" s="11">
        <v>107311.56</v>
      </c>
      <c r="N10" s="8">
        <f t="shared" si="0"/>
        <v>2655877</v>
      </c>
      <c r="O10" s="11">
        <f t="shared" si="0"/>
        <v>54830167.540000007</v>
      </c>
    </row>
    <row r="11" spans="1:15" x14ac:dyDescent="0.25">
      <c r="B11" s="2" t="s">
        <v>8</v>
      </c>
      <c r="C11" s="2">
        <v>2016</v>
      </c>
      <c r="D11" s="1">
        <v>1085068</v>
      </c>
      <c r="E11" s="11">
        <v>21752583.68</v>
      </c>
      <c r="F11" s="1">
        <v>1845</v>
      </c>
      <c r="G11" s="11">
        <v>38586.129999999997</v>
      </c>
      <c r="H11" s="1">
        <v>1552382</v>
      </c>
      <c r="I11" s="11">
        <v>32649495.280000005</v>
      </c>
      <c r="J11" s="8">
        <v>48398</v>
      </c>
      <c r="K11" s="11">
        <v>986753.38</v>
      </c>
      <c r="L11" s="8">
        <v>6066</v>
      </c>
      <c r="M11" s="11">
        <v>111781.15000000002</v>
      </c>
      <c r="N11" s="8">
        <f t="shared" si="0"/>
        <v>2693759</v>
      </c>
      <c r="O11" s="11">
        <f t="shared" si="0"/>
        <v>55539199.620000005</v>
      </c>
    </row>
    <row r="12" spans="1:15" x14ac:dyDescent="0.25">
      <c r="B12" s="2" t="s">
        <v>9</v>
      </c>
      <c r="C12" s="2">
        <v>2016</v>
      </c>
      <c r="D12" s="1">
        <v>1068243</v>
      </c>
      <c r="E12" s="11">
        <v>21582323.039999999</v>
      </c>
      <c r="F12" s="1">
        <v>2002</v>
      </c>
      <c r="G12" s="11">
        <v>41544.9</v>
      </c>
      <c r="H12" s="1">
        <v>1573381</v>
      </c>
      <c r="I12" s="11">
        <v>33330857.699999999</v>
      </c>
      <c r="J12" s="8">
        <v>48697</v>
      </c>
      <c r="K12" s="11">
        <v>996607.41</v>
      </c>
      <c r="L12" s="8">
        <v>6335</v>
      </c>
      <c r="M12" s="11">
        <v>117113.44000000003</v>
      </c>
      <c r="N12" s="8">
        <f t="shared" si="0"/>
        <v>2698658</v>
      </c>
      <c r="O12" s="11">
        <f t="shared" si="0"/>
        <v>56068446.489999995</v>
      </c>
    </row>
    <row r="13" spans="1:15" x14ac:dyDescent="0.25">
      <c r="B13" s="2" t="s">
        <v>10</v>
      </c>
      <c r="C13" s="2">
        <v>2016</v>
      </c>
      <c r="D13" s="1">
        <v>1081656</v>
      </c>
      <c r="E13" s="11">
        <v>23072969.449999999</v>
      </c>
      <c r="F13" s="1">
        <v>2201</v>
      </c>
      <c r="G13" s="11">
        <v>48496.349999999984</v>
      </c>
      <c r="H13" s="1">
        <v>1635015</v>
      </c>
      <c r="I13" s="11">
        <v>36762452.659999996</v>
      </c>
      <c r="J13" s="8">
        <v>48877</v>
      </c>
      <c r="K13" s="11">
        <v>1064599.5599999998</v>
      </c>
      <c r="L13" s="8">
        <v>6250</v>
      </c>
      <c r="M13" s="11">
        <v>124905.59999999999</v>
      </c>
      <c r="N13" s="8">
        <f t="shared" si="0"/>
        <v>2773999</v>
      </c>
      <c r="O13" s="11">
        <f t="shared" si="0"/>
        <v>61073423.61999999</v>
      </c>
    </row>
    <row r="14" spans="1:15" x14ac:dyDescent="0.25">
      <c r="B14" s="2" t="s">
        <v>11</v>
      </c>
      <c r="C14" s="2">
        <v>2016</v>
      </c>
      <c r="D14" s="1">
        <v>1122537</v>
      </c>
      <c r="E14" s="11">
        <v>25724204.199999999</v>
      </c>
      <c r="F14" s="1">
        <v>2342</v>
      </c>
      <c r="G14" s="11">
        <v>57278.45</v>
      </c>
      <c r="H14" s="1">
        <v>1714472</v>
      </c>
      <c r="I14" s="11">
        <v>41561583.629999995</v>
      </c>
      <c r="J14" s="8">
        <v>49378</v>
      </c>
      <c r="K14" s="11">
        <v>1163710.6399999997</v>
      </c>
      <c r="L14" s="8">
        <v>5975</v>
      </c>
      <c r="M14" s="11">
        <v>128293.56999999999</v>
      </c>
      <c r="N14" s="8">
        <f t="shared" si="0"/>
        <v>2894704</v>
      </c>
      <c r="O14" s="11">
        <f t="shared" si="0"/>
        <v>68635070.489999995</v>
      </c>
    </row>
    <row r="15" spans="1:15" x14ac:dyDescent="0.25">
      <c r="B15" s="2" t="s">
        <v>4</v>
      </c>
      <c r="C15" s="2">
        <v>2016</v>
      </c>
      <c r="D15" s="1">
        <v>1226587</v>
      </c>
      <c r="E15" s="11">
        <v>29186335.820000004</v>
      </c>
      <c r="F15" s="1">
        <v>2587</v>
      </c>
      <c r="G15" s="11">
        <v>65420.80999999999</v>
      </c>
      <c r="H15" s="1">
        <v>1887788</v>
      </c>
      <c r="I15" s="11">
        <v>46942645.319999985</v>
      </c>
      <c r="J15" s="8">
        <v>57121</v>
      </c>
      <c r="K15" s="11">
        <v>1381250.23</v>
      </c>
      <c r="L15" s="8">
        <v>6802</v>
      </c>
      <c r="M15" s="11">
        <v>152164.99000000005</v>
      </c>
      <c r="N15" s="8">
        <f t="shared" ref="N15:O18" si="1">L15+J15+H15+F15+D15</f>
        <v>3180885</v>
      </c>
      <c r="O15" s="11">
        <f t="shared" si="1"/>
        <v>77727817.169999987</v>
      </c>
    </row>
    <row r="16" spans="1:15" x14ac:dyDescent="0.25">
      <c r="B16" s="2" t="s">
        <v>28</v>
      </c>
      <c r="C16" s="2">
        <v>2016</v>
      </c>
      <c r="D16" s="1">
        <v>1140978</v>
      </c>
      <c r="E16" s="11">
        <v>28578561.990000002</v>
      </c>
      <c r="F16" s="1">
        <v>2377</v>
      </c>
      <c r="G16" s="11">
        <v>63674.330000000009</v>
      </c>
      <c r="H16" s="1">
        <v>1825962</v>
      </c>
      <c r="I16" s="11">
        <v>47544805.959999993</v>
      </c>
      <c r="J16" s="8">
        <v>56455</v>
      </c>
      <c r="K16" s="11">
        <v>1422912.6400000001</v>
      </c>
      <c r="L16" s="8">
        <v>6858</v>
      </c>
      <c r="M16" s="11">
        <v>159663.05999999997</v>
      </c>
      <c r="N16" s="8">
        <f t="shared" si="1"/>
        <v>3032630</v>
      </c>
      <c r="O16" s="11">
        <f t="shared" si="1"/>
        <v>77769617.979999989</v>
      </c>
    </row>
    <row r="17" spans="1:15" x14ac:dyDescent="0.25">
      <c r="B17" s="2" t="s">
        <v>29</v>
      </c>
      <c r="C17" s="2">
        <v>2016</v>
      </c>
      <c r="D17" s="1">
        <v>1171654</v>
      </c>
      <c r="E17" s="11">
        <v>29613017.019999996</v>
      </c>
      <c r="F17" s="1">
        <v>2466</v>
      </c>
      <c r="G17" s="11">
        <v>67377.3</v>
      </c>
      <c r="H17" s="1">
        <v>1917497</v>
      </c>
      <c r="I17" s="11">
        <v>50551338.850000001</v>
      </c>
      <c r="J17" s="8">
        <v>59917</v>
      </c>
      <c r="K17" s="11">
        <v>1529342.3800000004</v>
      </c>
      <c r="L17" s="8">
        <v>7299</v>
      </c>
      <c r="M17" s="11">
        <v>177424.63999999998</v>
      </c>
      <c r="N17" s="8">
        <f t="shared" si="1"/>
        <v>3158833</v>
      </c>
      <c r="O17" s="11">
        <f t="shared" si="1"/>
        <v>81938500.189999998</v>
      </c>
    </row>
    <row r="18" spans="1:15" x14ac:dyDescent="0.25">
      <c r="B18" s="2" t="s">
        <v>30</v>
      </c>
      <c r="C18" s="2">
        <v>2016</v>
      </c>
      <c r="D18" s="1">
        <v>1122065</v>
      </c>
      <c r="E18" s="11">
        <v>28349437.480000012</v>
      </c>
      <c r="F18" s="1">
        <v>2304</v>
      </c>
      <c r="G18" s="11">
        <v>63966.140000000007</v>
      </c>
      <c r="H18" s="1">
        <v>1853739</v>
      </c>
      <c r="I18" s="11">
        <v>48780041.539999984</v>
      </c>
      <c r="J18" s="8">
        <v>59413</v>
      </c>
      <c r="K18" s="11">
        <v>1511706.7899999998</v>
      </c>
      <c r="L18" s="8">
        <v>7263</v>
      </c>
      <c r="M18" s="11">
        <v>174795.75000000003</v>
      </c>
      <c r="N18" s="8">
        <f t="shared" si="1"/>
        <v>3044784</v>
      </c>
      <c r="O18" s="11">
        <f t="shared" si="1"/>
        <v>78879947.699999988</v>
      </c>
    </row>
    <row r="19" spans="1:15" x14ac:dyDescent="0.25">
      <c r="B19" s="2" t="s">
        <v>31</v>
      </c>
      <c r="C19" s="2">
        <v>2016</v>
      </c>
      <c r="D19" s="1">
        <v>1049598</v>
      </c>
      <c r="E19" s="11">
        <v>26736905.419999991</v>
      </c>
      <c r="F19" s="1">
        <v>2211</v>
      </c>
      <c r="G19" s="11">
        <v>58268.85</v>
      </c>
      <c r="H19" s="1">
        <v>1787597</v>
      </c>
      <c r="I19" s="11">
        <v>47436176.199999996</v>
      </c>
      <c r="J19" s="8">
        <v>56355</v>
      </c>
      <c r="K19" s="11">
        <v>1453228.4100000001</v>
      </c>
      <c r="L19" s="8">
        <v>6756</v>
      </c>
      <c r="M19" s="11">
        <v>162926.41999999998</v>
      </c>
      <c r="N19" s="8">
        <f t="shared" si="0"/>
        <v>2902517</v>
      </c>
      <c r="O19" s="11">
        <f t="shared" si="0"/>
        <v>75847505.299999982</v>
      </c>
    </row>
    <row r="21" spans="1:15" x14ac:dyDescent="0.25">
      <c r="B21" s="3" t="s">
        <v>12</v>
      </c>
      <c r="C21" s="3"/>
      <c r="D21" s="4">
        <f t="shared" ref="D21:I21" si="2">SUM(D8:D20)</f>
        <v>13519157</v>
      </c>
      <c r="E21" s="12">
        <f t="shared" si="2"/>
        <v>302639485.79000002</v>
      </c>
      <c r="F21" s="4">
        <f t="shared" si="2"/>
        <v>25086</v>
      </c>
      <c r="G21" s="12">
        <f t="shared" si="2"/>
        <v>602455.05999999994</v>
      </c>
      <c r="H21" s="4">
        <f t="shared" si="2"/>
        <v>20429397</v>
      </c>
      <c r="I21" s="12">
        <f t="shared" si="2"/>
        <v>482218250.93999994</v>
      </c>
      <c r="J21" s="4">
        <f t="shared" ref="J21:O21" si="3">SUM(J8:J20)</f>
        <v>628916</v>
      </c>
      <c r="K21" s="12">
        <f t="shared" si="3"/>
        <v>14392218.74</v>
      </c>
      <c r="L21" s="4">
        <f t="shared" si="3"/>
        <v>77965</v>
      </c>
      <c r="M21" s="12">
        <f t="shared" si="3"/>
        <v>1642069.7599999998</v>
      </c>
      <c r="N21" s="4">
        <f t="shared" si="3"/>
        <v>34680521</v>
      </c>
      <c r="O21" s="12">
        <f t="shared" si="3"/>
        <v>801494480.28999996</v>
      </c>
    </row>
    <row r="23" spans="1:15" x14ac:dyDescent="0.25">
      <c r="B23" s="5" t="s">
        <v>14</v>
      </c>
    </row>
    <row r="24" spans="1:15" x14ac:dyDescent="0.25">
      <c r="B24" s="5" t="s">
        <v>20</v>
      </c>
    </row>
    <row r="25" spans="1:15" x14ac:dyDescent="0.25">
      <c r="B25" s="5"/>
    </row>
    <row r="26" spans="1:15" x14ac:dyDescent="0.25">
      <c r="D26" s="89" t="s">
        <v>15</v>
      </c>
      <c r="E26" s="90"/>
      <c r="F26" s="89" t="s">
        <v>16</v>
      </c>
      <c r="G26" s="90"/>
      <c r="H26" s="89" t="s">
        <v>17</v>
      </c>
      <c r="I26" s="93"/>
      <c r="J26" s="89" t="s">
        <v>18</v>
      </c>
      <c r="K26" s="93"/>
      <c r="L26" s="89" t="s">
        <v>13</v>
      </c>
      <c r="M26" s="93"/>
      <c r="N26" s="89" t="s">
        <v>12</v>
      </c>
      <c r="O26" s="93"/>
    </row>
    <row r="27" spans="1:15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</row>
    <row r="29" spans="1:15" x14ac:dyDescent="0.25">
      <c r="B29" s="2" t="s">
        <v>5</v>
      </c>
      <c r="C29" s="2">
        <v>2016</v>
      </c>
      <c r="D29" s="1">
        <v>1529975</v>
      </c>
      <c r="E29" s="11">
        <v>38384233.839999996</v>
      </c>
      <c r="F29" s="1">
        <v>1139</v>
      </c>
      <c r="G29" s="11">
        <v>31869</v>
      </c>
      <c r="H29" s="1">
        <v>1099904</v>
      </c>
      <c r="I29" s="11">
        <v>24589022.750000004</v>
      </c>
      <c r="J29" s="8">
        <v>35128</v>
      </c>
      <c r="K29" s="11">
        <v>823057.32000000007</v>
      </c>
      <c r="L29" s="8">
        <v>3907</v>
      </c>
      <c r="M29" s="11">
        <v>94386.900000000009</v>
      </c>
      <c r="N29" s="8">
        <f t="shared" ref="N29:O40" si="4">L29+J29+H29+F29+D29</f>
        <v>2670053</v>
      </c>
      <c r="O29" s="11">
        <f t="shared" si="4"/>
        <v>63922569.810000002</v>
      </c>
    </row>
    <row r="30" spans="1:15" x14ac:dyDescent="0.25">
      <c r="B30" s="2" t="s">
        <v>6</v>
      </c>
      <c r="C30" s="2">
        <v>2016</v>
      </c>
      <c r="D30" s="1">
        <v>1539622</v>
      </c>
      <c r="E30" s="11">
        <v>38496227.780000001</v>
      </c>
      <c r="F30" s="1">
        <v>1143</v>
      </c>
      <c r="G30" s="11">
        <v>33985.440000000002</v>
      </c>
      <c r="H30" s="1">
        <v>1142852</v>
      </c>
      <c r="I30" s="11">
        <v>25494663.349999998</v>
      </c>
      <c r="J30" s="8">
        <v>36290</v>
      </c>
      <c r="K30" s="11">
        <v>847331.04999999993</v>
      </c>
      <c r="L30" s="8">
        <v>3958</v>
      </c>
      <c r="M30" s="11">
        <v>93168.239999999991</v>
      </c>
      <c r="N30" s="8">
        <f t="shared" si="4"/>
        <v>2723865</v>
      </c>
      <c r="O30" s="11">
        <f t="shared" si="4"/>
        <v>64965375.859999999</v>
      </c>
    </row>
    <row r="31" spans="1:15" x14ac:dyDescent="0.25">
      <c r="B31" s="2" t="s">
        <v>7</v>
      </c>
      <c r="C31" s="2">
        <v>2016</v>
      </c>
      <c r="D31" s="1">
        <v>1465624</v>
      </c>
      <c r="E31" s="11">
        <v>36687946.670000009</v>
      </c>
      <c r="F31" s="1">
        <v>1374</v>
      </c>
      <c r="G31" s="11">
        <v>41457.08</v>
      </c>
      <c r="H31" s="1">
        <v>1116373</v>
      </c>
      <c r="I31" s="11">
        <v>25232969.800000004</v>
      </c>
      <c r="J31" s="8">
        <v>36593</v>
      </c>
      <c r="K31" s="11">
        <v>871556.48</v>
      </c>
      <c r="L31" s="8">
        <v>3697</v>
      </c>
      <c r="M31" s="11">
        <v>87317.83</v>
      </c>
      <c r="N31" s="8">
        <f t="shared" si="4"/>
        <v>2623661</v>
      </c>
      <c r="O31" s="11">
        <f t="shared" si="4"/>
        <v>62921247.860000014</v>
      </c>
    </row>
    <row r="32" spans="1:15" x14ac:dyDescent="0.25">
      <c r="B32" s="2" t="s">
        <v>8</v>
      </c>
      <c r="C32" s="2">
        <v>2016</v>
      </c>
      <c r="D32" s="1">
        <v>1410918</v>
      </c>
      <c r="E32" s="11">
        <v>34620413.659999996</v>
      </c>
      <c r="F32" s="1">
        <v>1569</v>
      </c>
      <c r="G32" s="11">
        <v>48096.259999999995</v>
      </c>
      <c r="H32" s="1">
        <v>1125848</v>
      </c>
      <c r="I32" s="11">
        <v>24941458.890000004</v>
      </c>
      <c r="J32" s="8">
        <v>36740</v>
      </c>
      <c r="K32" s="11">
        <v>847694.37</v>
      </c>
      <c r="L32" s="8">
        <v>3717</v>
      </c>
      <c r="M32" s="11">
        <v>86605.249999999985</v>
      </c>
      <c r="N32" s="8">
        <f t="shared" si="4"/>
        <v>2578792</v>
      </c>
      <c r="O32" s="11">
        <f t="shared" si="4"/>
        <v>60544268.430000007</v>
      </c>
    </row>
    <row r="33" spans="1:15" x14ac:dyDescent="0.25">
      <c r="B33" s="2" t="s">
        <v>9</v>
      </c>
      <c r="C33" s="2">
        <v>2016</v>
      </c>
      <c r="D33" s="1">
        <v>1383644</v>
      </c>
      <c r="E33" s="11">
        <v>34188706.960000001</v>
      </c>
      <c r="F33" s="1">
        <v>1749</v>
      </c>
      <c r="G33" s="11">
        <v>53714.479999999989</v>
      </c>
      <c r="H33" s="1">
        <v>1160014</v>
      </c>
      <c r="I33" s="11">
        <v>25953748.710000001</v>
      </c>
      <c r="J33" s="8">
        <v>37038</v>
      </c>
      <c r="K33" s="11">
        <v>861459.27</v>
      </c>
      <c r="L33" s="8">
        <v>3842</v>
      </c>
      <c r="M33" s="11">
        <v>90981.66</v>
      </c>
      <c r="N33" s="8">
        <f t="shared" si="4"/>
        <v>2586287</v>
      </c>
      <c r="O33" s="11">
        <f t="shared" si="4"/>
        <v>61148611.079999998</v>
      </c>
    </row>
    <row r="34" spans="1:15" x14ac:dyDescent="0.25">
      <c r="B34" s="2" t="s">
        <v>10</v>
      </c>
      <c r="C34" s="2">
        <v>2016</v>
      </c>
      <c r="D34" s="1">
        <v>1420831</v>
      </c>
      <c r="E34" s="11">
        <v>35323173.509999998</v>
      </c>
      <c r="F34" s="1">
        <v>1959</v>
      </c>
      <c r="G34" s="11">
        <v>60325.58</v>
      </c>
      <c r="H34" s="1">
        <v>1208869</v>
      </c>
      <c r="I34" s="11">
        <v>27197669.100000005</v>
      </c>
      <c r="J34" s="8">
        <v>36802</v>
      </c>
      <c r="K34" s="11">
        <v>855898.27999999991</v>
      </c>
      <c r="L34" s="8">
        <v>3875</v>
      </c>
      <c r="M34" s="11">
        <v>93860.160000000003</v>
      </c>
      <c r="N34" s="8">
        <f t="shared" si="4"/>
        <v>2672336</v>
      </c>
      <c r="O34" s="11">
        <f t="shared" si="4"/>
        <v>63530926.630000003</v>
      </c>
    </row>
    <row r="35" spans="1:15" x14ac:dyDescent="0.25">
      <c r="B35" s="2" t="s">
        <v>11</v>
      </c>
      <c r="C35" s="2">
        <v>2016</v>
      </c>
      <c r="D35" s="1">
        <v>1496431</v>
      </c>
      <c r="E35" s="11">
        <v>39971696.88000001</v>
      </c>
      <c r="F35" s="1">
        <v>2157</v>
      </c>
      <c r="G35" s="11">
        <v>68401.310000000012</v>
      </c>
      <c r="H35" s="1">
        <v>1304276</v>
      </c>
      <c r="I35" s="11">
        <v>31723412.020000003</v>
      </c>
      <c r="J35" s="8">
        <v>38261</v>
      </c>
      <c r="K35" s="11">
        <v>961043.20000000019</v>
      </c>
      <c r="L35" s="8">
        <v>3876</v>
      </c>
      <c r="M35" s="11">
        <v>99126.6</v>
      </c>
      <c r="N35" s="8">
        <f t="shared" si="4"/>
        <v>2845001</v>
      </c>
      <c r="O35" s="11">
        <f t="shared" si="4"/>
        <v>72823680.01000002</v>
      </c>
    </row>
    <row r="36" spans="1:15" x14ac:dyDescent="0.25">
      <c r="B36" s="2" t="s">
        <v>4</v>
      </c>
      <c r="C36" s="2">
        <v>2016</v>
      </c>
      <c r="D36" s="1">
        <v>1618217</v>
      </c>
      <c r="E36" s="11">
        <v>43477592.669999994</v>
      </c>
      <c r="F36" s="1">
        <v>2327</v>
      </c>
      <c r="G36" s="11">
        <v>77222.39999999998</v>
      </c>
      <c r="H36" s="1">
        <v>1455393</v>
      </c>
      <c r="I36" s="11">
        <v>35710634.749999993</v>
      </c>
      <c r="J36" s="8">
        <v>45155</v>
      </c>
      <c r="K36" s="11">
        <v>1156441.06</v>
      </c>
      <c r="L36" s="8">
        <v>4375</v>
      </c>
      <c r="M36" s="11">
        <v>111875.39000000001</v>
      </c>
      <c r="N36" s="8">
        <f t="shared" si="4"/>
        <v>3125467</v>
      </c>
      <c r="O36" s="11">
        <f t="shared" si="4"/>
        <v>80533766.269999981</v>
      </c>
    </row>
    <row r="37" spans="1:15" x14ac:dyDescent="0.25">
      <c r="B37" s="2" t="s">
        <v>28</v>
      </c>
      <c r="C37" s="2">
        <v>2016</v>
      </c>
      <c r="D37" s="1">
        <v>1502950</v>
      </c>
      <c r="E37" s="11">
        <v>40386855.399999999</v>
      </c>
      <c r="F37" s="1">
        <v>2119</v>
      </c>
      <c r="G37" s="11">
        <v>68698.75</v>
      </c>
      <c r="H37" s="1">
        <v>1401461</v>
      </c>
      <c r="I37" s="11">
        <v>34317113.45000001</v>
      </c>
      <c r="J37" s="8">
        <v>43684</v>
      </c>
      <c r="K37" s="11">
        <v>1093397.4300000004</v>
      </c>
      <c r="L37" s="8">
        <v>4302</v>
      </c>
      <c r="M37" s="11">
        <v>116490.70999999999</v>
      </c>
      <c r="N37" s="8">
        <f t="shared" si="4"/>
        <v>2954516</v>
      </c>
      <c r="O37" s="11">
        <f t="shared" si="4"/>
        <v>75982555.74000001</v>
      </c>
    </row>
    <row r="38" spans="1:15" x14ac:dyDescent="0.25">
      <c r="B38" s="2" t="s">
        <v>29</v>
      </c>
      <c r="C38" s="2">
        <v>2016</v>
      </c>
      <c r="D38" s="1">
        <v>1530922</v>
      </c>
      <c r="E38" s="11">
        <v>41141180.869999997</v>
      </c>
      <c r="F38" s="1">
        <v>2196</v>
      </c>
      <c r="G38" s="11">
        <v>69369.01999999999</v>
      </c>
      <c r="H38" s="1">
        <v>1465393</v>
      </c>
      <c r="I38" s="11">
        <v>35952665.559999987</v>
      </c>
      <c r="J38" s="8">
        <v>46155</v>
      </c>
      <c r="K38" s="11">
        <v>1172022.4699999997</v>
      </c>
      <c r="L38" s="8">
        <v>4552</v>
      </c>
      <c r="M38" s="11">
        <v>120779.29000000001</v>
      </c>
      <c r="N38" s="8">
        <f t="shared" si="4"/>
        <v>3049218</v>
      </c>
      <c r="O38" s="11">
        <f t="shared" si="4"/>
        <v>78456017.209999979</v>
      </c>
    </row>
    <row r="39" spans="1:15" x14ac:dyDescent="0.25">
      <c r="B39" s="2" t="s">
        <v>30</v>
      </c>
      <c r="C39" s="2">
        <v>2016</v>
      </c>
      <c r="D39" s="1">
        <v>1460174</v>
      </c>
      <c r="E39" s="11">
        <v>39480896.88000001</v>
      </c>
      <c r="F39" s="1">
        <v>1952</v>
      </c>
      <c r="G39" s="11">
        <v>62160.220000000008</v>
      </c>
      <c r="H39" s="1">
        <v>1412576</v>
      </c>
      <c r="I39" s="11">
        <v>34869042.089999996</v>
      </c>
      <c r="J39" s="8">
        <v>44953</v>
      </c>
      <c r="K39" s="11">
        <v>1153015.9800000002</v>
      </c>
      <c r="L39" s="8">
        <v>4356</v>
      </c>
      <c r="M39" s="11">
        <v>115525.40000000001</v>
      </c>
      <c r="N39" s="8">
        <f t="shared" si="4"/>
        <v>2924011</v>
      </c>
      <c r="O39" s="11">
        <f t="shared" si="4"/>
        <v>75680640.570000008</v>
      </c>
    </row>
    <row r="40" spans="1:15" x14ac:dyDescent="0.25">
      <c r="B40" s="2" t="s">
        <v>31</v>
      </c>
      <c r="C40" s="2">
        <v>2016</v>
      </c>
      <c r="D40" s="1">
        <v>1406671</v>
      </c>
      <c r="E40" s="11">
        <v>38231501.840000004</v>
      </c>
      <c r="F40" s="1">
        <v>1995</v>
      </c>
      <c r="G40" s="11">
        <v>63196.469999999979</v>
      </c>
      <c r="H40" s="1">
        <v>1432095</v>
      </c>
      <c r="I40" s="11">
        <v>35855993.210000001</v>
      </c>
      <c r="J40" s="8">
        <v>44807</v>
      </c>
      <c r="K40" s="11">
        <v>1157665.3400000001</v>
      </c>
      <c r="L40" s="8">
        <v>4306</v>
      </c>
      <c r="M40" s="11">
        <v>117999.83999999998</v>
      </c>
      <c r="N40" s="8">
        <f t="shared" si="4"/>
        <v>2889874</v>
      </c>
      <c r="O40" s="11">
        <f t="shared" si="4"/>
        <v>75426356.700000003</v>
      </c>
    </row>
    <row r="42" spans="1:15" x14ac:dyDescent="0.25">
      <c r="B42" s="3" t="s">
        <v>12</v>
      </c>
      <c r="C42" s="3"/>
      <c r="D42" s="4">
        <f t="shared" ref="D42:I42" si="5">SUM(D29:D41)</f>
        <v>17765979</v>
      </c>
      <c r="E42" s="12">
        <f t="shared" si="5"/>
        <v>460390426.96000004</v>
      </c>
      <c r="F42" s="4">
        <f t="shared" si="5"/>
        <v>21679</v>
      </c>
      <c r="G42" s="12">
        <f t="shared" si="5"/>
        <v>678496.00999999989</v>
      </c>
      <c r="H42" s="4">
        <f t="shared" si="5"/>
        <v>15325054</v>
      </c>
      <c r="I42" s="12">
        <f t="shared" si="5"/>
        <v>361838393.67999995</v>
      </c>
      <c r="J42" s="4">
        <f t="shared" ref="J42:O42" si="6">SUM(J29:J41)</f>
        <v>481606</v>
      </c>
      <c r="K42" s="12">
        <f t="shared" si="6"/>
        <v>11800582.250000002</v>
      </c>
      <c r="L42" s="4">
        <f t="shared" si="6"/>
        <v>48763</v>
      </c>
      <c r="M42" s="12">
        <f t="shared" si="6"/>
        <v>1228117.27</v>
      </c>
      <c r="N42" s="4">
        <f t="shared" si="6"/>
        <v>33643081</v>
      </c>
      <c r="O42" s="12">
        <f t="shared" si="6"/>
        <v>835936016.1700002</v>
      </c>
    </row>
    <row r="44" spans="1:15" x14ac:dyDescent="0.25">
      <c r="B44" s="5" t="s">
        <v>14</v>
      </c>
    </row>
    <row r="45" spans="1:15" x14ac:dyDescent="0.25">
      <c r="B45" s="5" t="s">
        <v>21</v>
      </c>
    </row>
    <row r="46" spans="1:15" x14ac:dyDescent="0.25">
      <c r="B46" s="5"/>
    </row>
    <row r="47" spans="1:15" x14ac:dyDescent="0.25">
      <c r="D47" s="89" t="s">
        <v>15</v>
      </c>
      <c r="E47" s="90"/>
      <c r="F47" s="89" t="s">
        <v>16</v>
      </c>
      <c r="G47" s="90"/>
      <c r="H47" s="89" t="s">
        <v>17</v>
      </c>
      <c r="I47" s="93"/>
      <c r="J47" s="89" t="s">
        <v>18</v>
      </c>
      <c r="K47" s="93"/>
      <c r="L47" s="89" t="s">
        <v>13</v>
      </c>
      <c r="M47" s="93"/>
      <c r="N47" s="89" t="s">
        <v>12</v>
      </c>
      <c r="O47" s="93"/>
    </row>
    <row r="48" spans="1:15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</row>
    <row r="50" spans="2:19" x14ac:dyDescent="0.25">
      <c r="B50" s="2" t="s">
        <v>5</v>
      </c>
      <c r="C50" s="2">
        <v>2016</v>
      </c>
      <c r="D50" s="1">
        <v>573660</v>
      </c>
      <c r="E50" s="11">
        <v>17935930</v>
      </c>
      <c r="F50" s="1">
        <v>870</v>
      </c>
      <c r="G50" s="11">
        <v>28105</v>
      </c>
      <c r="H50" s="1">
        <v>1539860</v>
      </c>
      <c r="I50" s="11">
        <v>47201555</v>
      </c>
      <c r="J50" s="8">
        <v>43723</v>
      </c>
      <c r="K50" s="11">
        <v>1338475</v>
      </c>
      <c r="L50" s="8">
        <v>16082</v>
      </c>
      <c r="M50" s="11">
        <v>491740</v>
      </c>
      <c r="N50" s="8">
        <f t="shared" ref="N50:O57" si="7">L50+J50+H50+F50+D50</f>
        <v>2174195</v>
      </c>
      <c r="O50" s="11">
        <f t="shared" si="7"/>
        <v>66995805</v>
      </c>
      <c r="S50" s="13"/>
    </row>
    <row r="51" spans="2:19" x14ac:dyDescent="0.25">
      <c r="B51" s="2" t="s">
        <v>6</v>
      </c>
      <c r="C51" s="2">
        <v>2016</v>
      </c>
      <c r="D51" s="1">
        <v>586859</v>
      </c>
      <c r="E51" s="11">
        <v>18930059</v>
      </c>
      <c r="F51" s="1">
        <v>900</v>
      </c>
      <c r="G51" s="11">
        <v>29975</v>
      </c>
      <c r="H51" s="1">
        <v>1631123</v>
      </c>
      <c r="I51" s="11">
        <v>51651463</v>
      </c>
      <c r="J51" s="8">
        <v>45570</v>
      </c>
      <c r="K51" s="11">
        <v>1440270</v>
      </c>
      <c r="L51" s="8">
        <v>16860</v>
      </c>
      <c r="M51" s="11">
        <v>530460</v>
      </c>
      <c r="N51" s="8">
        <f t="shared" si="7"/>
        <v>2281312</v>
      </c>
      <c r="O51" s="11">
        <f t="shared" si="7"/>
        <v>72582227</v>
      </c>
      <c r="S51" s="13"/>
    </row>
    <row r="52" spans="2:19" x14ac:dyDescent="0.25">
      <c r="B52" s="2" t="s">
        <v>7</v>
      </c>
      <c r="C52" s="2">
        <v>2016</v>
      </c>
      <c r="D52" s="1">
        <v>526784</v>
      </c>
      <c r="E52" s="11">
        <v>17060679</v>
      </c>
      <c r="F52" s="1">
        <v>901</v>
      </c>
      <c r="G52" s="11">
        <v>29856</v>
      </c>
      <c r="H52" s="1">
        <v>1464570</v>
      </c>
      <c r="I52" s="11">
        <v>46530395</v>
      </c>
      <c r="J52" s="8">
        <v>42493</v>
      </c>
      <c r="K52" s="11">
        <v>1345688</v>
      </c>
      <c r="L52" s="8">
        <v>16834</v>
      </c>
      <c r="M52" s="11">
        <v>531309</v>
      </c>
      <c r="N52" s="8">
        <f t="shared" si="7"/>
        <v>2051582</v>
      </c>
      <c r="O52" s="11">
        <f t="shared" si="7"/>
        <v>65497927</v>
      </c>
      <c r="S52" s="13"/>
    </row>
    <row r="53" spans="2:19" x14ac:dyDescent="0.25">
      <c r="B53" s="2" t="s">
        <v>8</v>
      </c>
      <c r="C53" s="2">
        <v>2016</v>
      </c>
      <c r="D53" s="1">
        <v>548991</v>
      </c>
      <c r="E53" s="11">
        <v>17805611</v>
      </c>
      <c r="F53" s="1">
        <v>856</v>
      </c>
      <c r="G53" s="11">
        <v>28186</v>
      </c>
      <c r="H53" s="1">
        <v>1578846</v>
      </c>
      <c r="I53" s="11">
        <v>50327131</v>
      </c>
      <c r="J53" s="8">
        <v>43436</v>
      </c>
      <c r="K53" s="11">
        <v>1376066</v>
      </c>
      <c r="L53" s="8">
        <v>17430</v>
      </c>
      <c r="M53" s="11">
        <v>550960</v>
      </c>
      <c r="N53" s="8">
        <f t="shared" si="7"/>
        <v>2189559</v>
      </c>
      <c r="O53" s="11">
        <f t="shared" si="7"/>
        <v>70087954</v>
      </c>
      <c r="S53" s="13"/>
    </row>
    <row r="54" spans="2:19" x14ac:dyDescent="0.25">
      <c r="B54" s="2" t="s">
        <v>9</v>
      </c>
      <c r="C54" s="2">
        <v>2016</v>
      </c>
      <c r="D54" s="1">
        <v>532304</v>
      </c>
      <c r="E54" s="11">
        <v>17271589</v>
      </c>
      <c r="F54" s="1">
        <v>893</v>
      </c>
      <c r="G54" s="11">
        <v>30103</v>
      </c>
      <c r="H54" s="1">
        <v>1564171</v>
      </c>
      <c r="I54" s="11">
        <v>49894741</v>
      </c>
      <c r="J54" s="8">
        <v>42648</v>
      </c>
      <c r="K54" s="11">
        <v>1353308</v>
      </c>
      <c r="L54" s="8">
        <v>16578</v>
      </c>
      <c r="M54" s="11">
        <v>524648</v>
      </c>
      <c r="N54" s="8">
        <f t="shared" si="7"/>
        <v>2156594</v>
      </c>
      <c r="O54" s="11">
        <f t="shared" si="7"/>
        <v>69074389</v>
      </c>
      <c r="S54" s="13"/>
    </row>
    <row r="55" spans="2:19" x14ac:dyDescent="0.25">
      <c r="B55" s="2" t="s">
        <v>10</v>
      </c>
      <c r="C55" s="2">
        <v>2016</v>
      </c>
      <c r="D55" s="1">
        <v>528384</v>
      </c>
      <c r="E55" s="11">
        <v>17110919</v>
      </c>
      <c r="F55" s="1">
        <v>1119</v>
      </c>
      <c r="G55" s="11">
        <v>37499</v>
      </c>
      <c r="H55" s="1">
        <v>1577574</v>
      </c>
      <c r="I55" s="11">
        <v>50265444</v>
      </c>
      <c r="J55" s="8">
        <v>43077</v>
      </c>
      <c r="K55" s="11">
        <v>1365857</v>
      </c>
      <c r="L55" s="8">
        <v>16715</v>
      </c>
      <c r="M55" s="11">
        <v>527175</v>
      </c>
      <c r="N55" s="8">
        <f t="shared" si="7"/>
        <v>2166869</v>
      </c>
      <c r="O55" s="11">
        <f t="shared" si="7"/>
        <v>69306894</v>
      </c>
      <c r="S55" s="13"/>
    </row>
    <row r="56" spans="2:19" x14ac:dyDescent="0.25">
      <c r="B56" s="2" t="s">
        <v>11</v>
      </c>
      <c r="C56" s="2">
        <v>2016</v>
      </c>
      <c r="D56" s="1">
        <v>497421</v>
      </c>
      <c r="E56" s="11">
        <v>16424086</v>
      </c>
      <c r="F56" s="1">
        <v>1284</v>
      </c>
      <c r="G56" s="11">
        <v>41864</v>
      </c>
      <c r="H56" s="1">
        <v>1464765</v>
      </c>
      <c r="I56" s="11">
        <v>47325140</v>
      </c>
      <c r="J56" s="8">
        <v>39643</v>
      </c>
      <c r="K56" s="11">
        <v>1274138</v>
      </c>
      <c r="L56" s="8">
        <v>17034</v>
      </c>
      <c r="M56" s="11">
        <v>546684</v>
      </c>
      <c r="N56" s="8">
        <f t="shared" si="7"/>
        <v>2020147</v>
      </c>
      <c r="O56" s="11">
        <f t="shared" si="7"/>
        <v>65611912</v>
      </c>
      <c r="S56" s="13"/>
    </row>
    <row r="57" spans="2:19" x14ac:dyDescent="0.25">
      <c r="B57" s="2" t="s">
        <v>4</v>
      </c>
      <c r="C57" s="2">
        <v>2016</v>
      </c>
      <c r="D57" s="1">
        <v>576059</v>
      </c>
      <c r="E57" s="11">
        <v>19080151</v>
      </c>
      <c r="F57" s="1">
        <v>1281</v>
      </c>
      <c r="G57" s="11">
        <v>41892</v>
      </c>
      <c r="H57" s="1">
        <v>1730721</v>
      </c>
      <c r="I57" s="11">
        <v>56051942</v>
      </c>
      <c r="J57" s="8">
        <v>49989</v>
      </c>
      <c r="K57" s="11">
        <v>1610914</v>
      </c>
      <c r="L57" s="8">
        <v>20115</v>
      </c>
      <c r="M57" s="11">
        <v>646534</v>
      </c>
      <c r="N57" s="8">
        <f t="shared" si="7"/>
        <v>2378165</v>
      </c>
      <c r="O57" s="11">
        <f t="shared" si="7"/>
        <v>77431433</v>
      </c>
      <c r="S57" s="13"/>
    </row>
    <row r="58" spans="2:19" x14ac:dyDescent="0.25">
      <c r="B58" s="2" t="s">
        <v>28</v>
      </c>
      <c r="C58" s="2">
        <v>2016</v>
      </c>
      <c r="D58" s="1">
        <v>573065</v>
      </c>
      <c r="E58" s="11">
        <v>18954770</v>
      </c>
      <c r="F58" s="1">
        <v>1158</v>
      </c>
      <c r="G58" s="11">
        <v>38370</v>
      </c>
      <c r="H58" s="1">
        <v>1734327</v>
      </c>
      <c r="I58" s="11">
        <v>56096100</v>
      </c>
      <c r="J58" s="8">
        <v>51418</v>
      </c>
      <c r="K58" s="11">
        <v>1660750</v>
      </c>
      <c r="L58" s="8">
        <v>19931</v>
      </c>
      <c r="M58" s="11">
        <v>641720</v>
      </c>
      <c r="N58" s="8">
        <f t="shared" ref="N58:O61" si="8">L58+J58+H58+F58+D58</f>
        <v>2379899</v>
      </c>
      <c r="O58" s="11">
        <f t="shared" si="8"/>
        <v>77391710</v>
      </c>
      <c r="S58" s="13"/>
    </row>
    <row r="59" spans="2:19" x14ac:dyDescent="0.25">
      <c r="B59" s="2" t="s">
        <v>29</v>
      </c>
      <c r="C59" s="2">
        <v>2016</v>
      </c>
      <c r="D59" s="1">
        <v>599425</v>
      </c>
      <c r="E59" s="11">
        <v>19895263</v>
      </c>
      <c r="F59" s="1">
        <v>1219</v>
      </c>
      <c r="G59" s="11">
        <v>41053</v>
      </c>
      <c r="H59" s="1">
        <v>1836452</v>
      </c>
      <c r="I59" s="11">
        <v>59614731</v>
      </c>
      <c r="J59" s="8">
        <v>54202</v>
      </c>
      <c r="K59" s="11">
        <v>1756887</v>
      </c>
      <c r="L59" s="8">
        <v>21996</v>
      </c>
      <c r="M59" s="11">
        <v>709488</v>
      </c>
      <c r="N59" s="8">
        <f t="shared" si="8"/>
        <v>2513294</v>
      </c>
      <c r="O59" s="11">
        <f t="shared" si="8"/>
        <v>82017422</v>
      </c>
      <c r="S59" s="13"/>
    </row>
    <row r="60" spans="2:19" x14ac:dyDescent="0.25">
      <c r="B60" s="2" t="s">
        <v>30</v>
      </c>
      <c r="C60" s="2">
        <v>2016</v>
      </c>
      <c r="D60" s="1">
        <v>552242</v>
      </c>
      <c r="E60" s="11">
        <v>18445250</v>
      </c>
      <c r="F60" s="1">
        <v>1247</v>
      </c>
      <c r="G60" s="11">
        <v>42122</v>
      </c>
      <c r="H60" s="1">
        <v>1728106</v>
      </c>
      <c r="I60" s="11">
        <v>56323310</v>
      </c>
      <c r="J60" s="8">
        <v>53697</v>
      </c>
      <c r="K60" s="11">
        <v>1741090</v>
      </c>
      <c r="L60" s="8">
        <v>20695</v>
      </c>
      <c r="M60" s="11">
        <v>671418</v>
      </c>
      <c r="N60" s="8">
        <f t="shared" si="8"/>
        <v>2355987</v>
      </c>
      <c r="O60" s="11">
        <f t="shared" si="8"/>
        <v>77223190</v>
      </c>
      <c r="S60" s="13"/>
    </row>
    <row r="61" spans="2:19" x14ac:dyDescent="0.25">
      <c r="B61" s="2" t="s">
        <v>31</v>
      </c>
      <c r="C61" s="2">
        <v>2016</v>
      </c>
      <c r="D61" s="1">
        <v>494081</v>
      </c>
      <c r="E61" s="11">
        <v>16466380</v>
      </c>
      <c r="F61" s="1">
        <v>1255</v>
      </c>
      <c r="G61" s="11">
        <v>41942</v>
      </c>
      <c r="H61" s="1">
        <v>1578390</v>
      </c>
      <c r="I61" s="11">
        <v>51373788</v>
      </c>
      <c r="J61" s="8">
        <v>48735</v>
      </c>
      <c r="K61" s="11">
        <v>1578392</v>
      </c>
      <c r="L61" s="8">
        <v>18858</v>
      </c>
      <c r="M61" s="11">
        <v>610586</v>
      </c>
      <c r="N61" s="8">
        <f t="shared" si="8"/>
        <v>2141319</v>
      </c>
      <c r="O61" s="11">
        <f t="shared" si="8"/>
        <v>70071088</v>
      </c>
      <c r="S61" s="13"/>
    </row>
    <row r="63" spans="2:19" x14ac:dyDescent="0.25">
      <c r="B63" s="3" t="s">
        <v>12</v>
      </c>
      <c r="C63" s="3"/>
      <c r="D63" s="4">
        <f t="shared" ref="D63:I63" si="9">SUM(D50:D62)</f>
        <v>6589275</v>
      </c>
      <c r="E63" s="12">
        <f t="shared" si="9"/>
        <v>215380687</v>
      </c>
      <c r="F63" s="4">
        <f t="shared" si="9"/>
        <v>12983</v>
      </c>
      <c r="G63" s="12">
        <f t="shared" si="9"/>
        <v>430967</v>
      </c>
      <c r="H63" s="4">
        <f t="shared" si="9"/>
        <v>19428905</v>
      </c>
      <c r="I63" s="12">
        <f t="shared" si="9"/>
        <v>622655740</v>
      </c>
      <c r="J63" s="4">
        <f t="shared" ref="J63:O63" si="10">SUM(J50:J62)</f>
        <v>558631</v>
      </c>
      <c r="K63" s="12">
        <f t="shared" si="10"/>
        <v>17841835</v>
      </c>
      <c r="L63" s="4">
        <f t="shared" si="10"/>
        <v>219128</v>
      </c>
      <c r="M63" s="12">
        <f t="shared" si="10"/>
        <v>6982722</v>
      </c>
      <c r="N63" s="4">
        <f t="shared" si="10"/>
        <v>26808922</v>
      </c>
      <c r="O63" s="12">
        <f t="shared" si="10"/>
        <v>863291951</v>
      </c>
    </row>
    <row r="65" spans="1:15" x14ac:dyDescent="0.25">
      <c r="B65" s="5" t="s">
        <v>14</v>
      </c>
    </row>
    <row r="66" spans="1:15" x14ac:dyDescent="0.25">
      <c r="B66" s="5" t="s">
        <v>22</v>
      </c>
    </row>
    <row r="67" spans="1:15" x14ac:dyDescent="0.25">
      <c r="B67" s="5"/>
    </row>
    <row r="68" spans="1:15" x14ac:dyDescent="0.25">
      <c r="D68" s="89" t="s">
        <v>15</v>
      </c>
      <c r="E68" s="90"/>
      <c r="F68" s="89" t="s">
        <v>16</v>
      </c>
      <c r="G68" s="90"/>
      <c r="H68" s="89" t="s">
        <v>17</v>
      </c>
      <c r="I68" s="93"/>
      <c r="J68" s="89" t="s">
        <v>18</v>
      </c>
      <c r="K68" s="93"/>
      <c r="L68" s="89" t="s">
        <v>13</v>
      </c>
      <c r="M68" s="93"/>
      <c r="N68" s="89" t="s">
        <v>12</v>
      </c>
      <c r="O68" s="93"/>
    </row>
    <row r="69" spans="1:1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</row>
    <row r="71" spans="1:15" x14ac:dyDescent="0.25">
      <c r="B71" s="2" t="s">
        <v>5</v>
      </c>
      <c r="C71" s="2">
        <v>2016</v>
      </c>
      <c r="D71" s="1">
        <v>868176</v>
      </c>
      <c r="E71" s="11">
        <v>26366873</v>
      </c>
      <c r="F71" s="1">
        <v>19967</v>
      </c>
      <c r="G71" s="11">
        <v>1886088</v>
      </c>
      <c r="H71" s="1">
        <v>1229875</v>
      </c>
      <c r="I71" s="11">
        <v>76558083</v>
      </c>
      <c r="J71" s="8">
        <v>152848</v>
      </c>
      <c r="K71" s="11">
        <v>11576249</v>
      </c>
      <c r="L71" s="8">
        <v>33926</v>
      </c>
      <c r="M71" s="11">
        <v>2311452</v>
      </c>
      <c r="N71" s="8">
        <f t="shared" ref="N71:O82" si="11">L71+J71+H71+F71+D71</f>
        <v>2304792</v>
      </c>
      <c r="O71" s="11">
        <f t="shared" si="11"/>
        <v>118698745</v>
      </c>
    </row>
    <row r="72" spans="1:15" x14ac:dyDescent="0.25">
      <c r="B72" s="2" t="s">
        <v>6</v>
      </c>
      <c r="C72" s="2">
        <v>2016</v>
      </c>
      <c r="D72" s="1">
        <v>798234</v>
      </c>
      <c r="E72" s="11">
        <v>25592987</v>
      </c>
      <c r="F72" s="1">
        <v>21059</v>
      </c>
      <c r="G72" s="11">
        <v>2101151</v>
      </c>
      <c r="H72" s="1">
        <v>1255592</v>
      </c>
      <c r="I72" s="11">
        <v>83163842</v>
      </c>
      <c r="J72" s="8">
        <v>151995</v>
      </c>
      <c r="K72" s="11">
        <v>11999130</v>
      </c>
      <c r="L72" s="8">
        <v>34328</v>
      </c>
      <c r="M72" s="11">
        <v>2336901</v>
      </c>
      <c r="N72" s="8">
        <f t="shared" si="11"/>
        <v>2261208</v>
      </c>
      <c r="O72" s="11">
        <f t="shared" si="11"/>
        <v>125194011</v>
      </c>
    </row>
    <row r="73" spans="1:15" x14ac:dyDescent="0.25">
      <c r="B73" s="2" t="s">
        <v>7</v>
      </c>
      <c r="C73" s="2">
        <v>2016</v>
      </c>
      <c r="D73" s="1">
        <v>819291</v>
      </c>
      <c r="E73" s="11">
        <v>27232567</v>
      </c>
      <c r="F73" s="1">
        <v>19358</v>
      </c>
      <c r="G73" s="11">
        <v>1833574</v>
      </c>
      <c r="H73" s="1">
        <v>1309461</v>
      </c>
      <c r="I73" s="11">
        <v>87894848</v>
      </c>
      <c r="J73" s="8">
        <v>165493</v>
      </c>
      <c r="K73" s="11">
        <v>13530761</v>
      </c>
      <c r="L73" s="8">
        <v>35178</v>
      </c>
      <c r="M73" s="11">
        <v>2546697</v>
      </c>
      <c r="N73" s="8">
        <f t="shared" si="11"/>
        <v>2348781</v>
      </c>
      <c r="O73" s="11">
        <f t="shared" si="11"/>
        <v>133038447</v>
      </c>
    </row>
    <row r="74" spans="1:15" x14ac:dyDescent="0.25">
      <c r="B74" s="2" t="s">
        <v>8</v>
      </c>
      <c r="C74" s="2">
        <v>2016</v>
      </c>
      <c r="D74" s="1">
        <v>754921</v>
      </c>
      <c r="E74" s="11">
        <v>25141997</v>
      </c>
      <c r="F74" s="1">
        <v>20740</v>
      </c>
      <c r="G74" s="11">
        <v>2027279</v>
      </c>
      <c r="H74" s="1">
        <v>1305211</v>
      </c>
      <c r="I74" s="11">
        <v>88459520</v>
      </c>
      <c r="J74" s="8">
        <v>162581</v>
      </c>
      <c r="K74" s="11">
        <v>13033297</v>
      </c>
      <c r="L74" s="8">
        <v>34080</v>
      </c>
      <c r="M74" s="11">
        <v>2346946</v>
      </c>
      <c r="N74" s="8">
        <f t="shared" si="11"/>
        <v>2277533</v>
      </c>
      <c r="O74" s="11">
        <f t="shared" si="11"/>
        <v>131009039</v>
      </c>
    </row>
    <row r="75" spans="1:15" x14ac:dyDescent="0.25">
      <c r="B75" s="2" t="s">
        <v>9</v>
      </c>
      <c r="C75" s="2">
        <v>2016</v>
      </c>
      <c r="D75" s="1">
        <v>746363</v>
      </c>
      <c r="E75" s="11">
        <v>24847940</v>
      </c>
      <c r="F75" s="1">
        <v>20216</v>
      </c>
      <c r="G75" s="11">
        <v>1897902</v>
      </c>
      <c r="H75" s="1">
        <v>1358775</v>
      </c>
      <c r="I75" s="11">
        <v>91625935</v>
      </c>
      <c r="J75" s="8">
        <v>166173</v>
      </c>
      <c r="K75" s="11">
        <v>13299906</v>
      </c>
      <c r="L75" s="8">
        <v>35376</v>
      </c>
      <c r="M75" s="11">
        <v>2419427</v>
      </c>
      <c r="N75" s="8">
        <f t="shared" si="11"/>
        <v>2326903</v>
      </c>
      <c r="O75" s="11">
        <f t="shared" si="11"/>
        <v>134091110</v>
      </c>
    </row>
    <row r="76" spans="1:15" x14ac:dyDescent="0.25">
      <c r="B76" s="2" t="s">
        <v>10</v>
      </c>
      <c r="C76" s="2">
        <v>2016</v>
      </c>
      <c r="D76" s="1">
        <v>739614</v>
      </c>
      <c r="E76" s="11">
        <v>24527823</v>
      </c>
      <c r="F76" s="1">
        <v>19565</v>
      </c>
      <c r="G76" s="11">
        <v>1804405</v>
      </c>
      <c r="H76" s="1">
        <v>1400428</v>
      </c>
      <c r="I76" s="11">
        <v>93861029</v>
      </c>
      <c r="J76" s="8">
        <v>170961</v>
      </c>
      <c r="K76" s="11">
        <v>13470982</v>
      </c>
      <c r="L76" s="8">
        <v>35253</v>
      </c>
      <c r="M76" s="11">
        <v>2439054</v>
      </c>
      <c r="N76" s="8">
        <f t="shared" si="11"/>
        <v>2365821</v>
      </c>
      <c r="O76" s="11">
        <f t="shared" si="11"/>
        <v>136103293</v>
      </c>
    </row>
    <row r="77" spans="1:15" x14ac:dyDescent="0.25">
      <c r="B77" s="2" t="s">
        <v>11</v>
      </c>
      <c r="C77" s="2">
        <v>2016</v>
      </c>
      <c r="D77" s="1">
        <v>796280</v>
      </c>
      <c r="E77" s="11">
        <v>26789576</v>
      </c>
      <c r="F77" s="1">
        <v>20170</v>
      </c>
      <c r="G77" s="11">
        <v>1822509</v>
      </c>
      <c r="H77" s="1">
        <v>1497414</v>
      </c>
      <c r="I77" s="11">
        <v>98768461</v>
      </c>
      <c r="J77" s="8">
        <v>181970</v>
      </c>
      <c r="K77" s="11">
        <v>14598161</v>
      </c>
      <c r="L77" s="8">
        <v>37618</v>
      </c>
      <c r="M77" s="11">
        <v>2636488</v>
      </c>
      <c r="N77" s="8">
        <f t="shared" si="11"/>
        <v>2533452</v>
      </c>
      <c r="O77" s="11">
        <f t="shared" si="11"/>
        <v>144615195</v>
      </c>
    </row>
    <row r="78" spans="1:15" x14ac:dyDescent="0.25">
      <c r="B78" s="2" t="s">
        <v>4</v>
      </c>
      <c r="C78" s="2">
        <v>2016</v>
      </c>
      <c r="D78" s="1">
        <v>806205</v>
      </c>
      <c r="E78" s="11">
        <v>27012058</v>
      </c>
      <c r="F78" s="1">
        <v>19748</v>
      </c>
      <c r="G78" s="11">
        <v>1790048</v>
      </c>
      <c r="H78" s="1">
        <v>1586472</v>
      </c>
      <c r="I78" s="11">
        <v>104386244</v>
      </c>
      <c r="J78" s="8">
        <v>184434</v>
      </c>
      <c r="K78" s="11">
        <v>14836369</v>
      </c>
      <c r="L78" s="8">
        <v>38542</v>
      </c>
      <c r="M78" s="11">
        <v>2596119</v>
      </c>
      <c r="N78" s="8">
        <f t="shared" si="11"/>
        <v>2635401</v>
      </c>
      <c r="O78" s="11">
        <f t="shared" si="11"/>
        <v>150620838</v>
      </c>
    </row>
    <row r="79" spans="1:15" x14ac:dyDescent="0.25">
      <c r="B79" s="2" t="s">
        <v>28</v>
      </c>
      <c r="C79" s="2">
        <v>2016</v>
      </c>
      <c r="D79" s="1">
        <v>787389</v>
      </c>
      <c r="E79" s="11">
        <v>26466605</v>
      </c>
      <c r="F79" s="1">
        <v>18449</v>
      </c>
      <c r="G79" s="11">
        <v>1624570</v>
      </c>
      <c r="H79" s="1">
        <v>1558910</v>
      </c>
      <c r="I79" s="11">
        <v>102184342</v>
      </c>
      <c r="J79" s="8">
        <v>183622</v>
      </c>
      <c r="K79" s="11">
        <v>15068723</v>
      </c>
      <c r="L79" s="8">
        <v>37487</v>
      </c>
      <c r="M79" s="11">
        <v>2526239</v>
      </c>
      <c r="N79" s="8">
        <f t="shared" si="11"/>
        <v>2585857</v>
      </c>
      <c r="O79" s="11">
        <f t="shared" si="11"/>
        <v>147870479</v>
      </c>
    </row>
    <row r="80" spans="1:15" x14ac:dyDescent="0.25">
      <c r="B80" s="2" t="s">
        <v>29</v>
      </c>
      <c r="C80" s="2">
        <v>2016</v>
      </c>
      <c r="D80" s="1">
        <v>817105</v>
      </c>
      <c r="E80" s="11">
        <v>27492641</v>
      </c>
      <c r="F80" s="1">
        <v>19451</v>
      </c>
      <c r="G80" s="11">
        <v>1781663</v>
      </c>
      <c r="H80" s="1">
        <v>1660147</v>
      </c>
      <c r="I80" s="11">
        <v>109475127</v>
      </c>
      <c r="J80" s="8">
        <v>197245</v>
      </c>
      <c r="K80" s="11">
        <v>16342246</v>
      </c>
      <c r="L80" s="8">
        <v>41909</v>
      </c>
      <c r="M80" s="11">
        <v>2821863</v>
      </c>
      <c r="N80" s="8">
        <f t="shared" si="11"/>
        <v>2735857</v>
      </c>
      <c r="O80" s="11">
        <f t="shared" si="11"/>
        <v>157913540</v>
      </c>
    </row>
    <row r="81" spans="1:15" x14ac:dyDescent="0.25">
      <c r="B81" s="2" t="s">
        <v>30</v>
      </c>
      <c r="C81" s="2">
        <v>2016</v>
      </c>
      <c r="D81" s="1">
        <v>795620</v>
      </c>
      <c r="E81" s="11">
        <v>26990997</v>
      </c>
      <c r="F81" s="1">
        <v>19067</v>
      </c>
      <c r="G81" s="11">
        <v>1719610</v>
      </c>
      <c r="H81" s="1">
        <v>1662459</v>
      </c>
      <c r="I81" s="11">
        <v>109217744</v>
      </c>
      <c r="J81" s="8">
        <v>196978</v>
      </c>
      <c r="K81" s="11">
        <v>16350434</v>
      </c>
      <c r="L81" s="8">
        <v>41984</v>
      </c>
      <c r="M81" s="11">
        <v>2801631</v>
      </c>
      <c r="N81" s="8">
        <f t="shared" si="11"/>
        <v>2716108</v>
      </c>
      <c r="O81" s="11">
        <f t="shared" si="11"/>
        <v>157080416</v>
      </c>
    </row>
    <row r="82" spans="1:15" x14ac:dyDescent="0.25">
      <c r="B82" s="2" t="s">
        <v>31</v>
      </c>
      <c r="C82" s="2">
        <v>2016</v>
      </c>
      <c r="D82" s="1">
        <v>857020</v>
      </c>
      <c r="E82" s="11">
        <v>29337223</v>
      </c>
      <c r="F82" s="1">
        <v>18812</v>
      </c>
      <c r="G82" s="11">
        <v>1696487</v>
      </c>
      <c r="H82" s="1">
        <v>1776226</v>
      </c>
      <c r="I82" s="11">
        <v>115750228</v>
      </c>
      <c r="J82" s="8">
        <v>214616</v>
      </c>
      <c r="K82" s="11">
        <v>18187978</v>
      </c>
      <c r="L82" s="8">
        <v>44014</v>
      </c>
      <c r="M82" s="11">
        <v>2961967</v>
      </c>
      <c r="N82" s="8">
        <f t="shared" si="11"/>
        <v>2910688</v>
      </c>
      <c r="O82" s="11">
        <f t="shared" si="11"/>
        <v>167933883</v>
      </c>
    </row>
    <row r="84" spans="1:15" x14ac:dyDescent="0.25">
      <c r="B84" s="3" t="s">
        <v>12</v>
      </c>
      <c r="C84" s="3"/>
      <c r="D84" s="4">
        <f t="shared" ref="D84:I84" si="12">SUM(D71:D83)</f>
        <v>9586218</v>
      </c>
      <c r="E84" s="12">
        <f t="shared" si="12"/>
        <v>317799287</v>
      </c>
      <c r="F84" s="4">
        <f t="shared" si="12"/>
        <v>236602</v>
      </c>
      <c r="G84" s="12">
        <f t="shared" si="12"/>
        <v>21985286</v>
      </c>
      <c r="H84" s="4">
        <f t="shared" si="12"/>
        <v>17600970</v>
      </c>
      <c r="I84" s="12">
        <f t="shared" si="12"/>
        <v>1161345403</v>
      </c>
      <c r="J84" s="4">
        <f t="shared" ref="J84:O84" si="13">SUM(J71:J83)</f>
        <v>2128916</v>
      </c>
      <c r="K84" s="12">
        <f t="shared" si="13"/>
        <v>172294236</v>
      </c>
      <c r="L84" s="4">
        <f t="shared" si="13"/>
        <v>449695</v>
      </c>
      <c r="M84" s="12">
        <f t="shared" si="13"/>
        <v>30744784</v>
      </c>
      <c r="N84" s="4">
        <f t="shared" si="13"/>
        <v>30002401</v>
      </c>
      <c r="O84" s="12">
        <f t="shared" si="13"/>
        <v>1704168996</v>
      </c>
    </row>
    <row r="86" spans="1:15" x14ac:dyDescent="0.25">
      <c r="B86" s="5" t="s">
        <v>14</v>
      </c>
    </row>
    <row r="87" spans="1:15" x14ac:dyDescent="0.25">
      <c r="B87" s="5" t="s">
        <v>32</v>
      </c>
    </row>
    <row r="88" spans="1:15" x14ac:dyDescent="0.25">
      <c r="B88" s="5"/>
    </row>
    <row r="89" spans="1:15" x14ac:dyDescent="0.25">
      <c r="D89" s="89" t="s">
        <v>15</v>
      </c>
      <c r="E89" s="90"/>
      <c r="F89" s="89" t="s">
        <v>16</v>
      </c>
      <c r="G89" s="90"/>
      <c r="H89" s="89" t="s">
        <v>17</v>
      </c>
      <c r="I89" s="93"/>
      <c r="J89" s="89" t="s">
        <v>18</v>
      </c>
      <c r="K89" s="93"/>
      <c r="L89" s="89" t="s">
        <v>13</v>
      </c>
      <c r="M89" s="93"/>
      <c r="N89" s="89" t="s">
        <v>12</v>
      </c>
      <c r="O89" s="93"/>
    </row>
    <row r="90" spans="1:1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</row>
    <row r="92" spans="1:15" x14ac:dyDescent="0.25">
      <c r="B92" s="2" t="s">
        <v>5</v>
      </c>
      <c r="C92" s="2">
        <v>2016</v>
      </c>
      <c r="D92" s="1"/>
      <c r="E92" s="11"/>
      <c r="F92" s="1"/>
      <c r="G92" s="11"/>
      <c r="H92" s="1"/>
      <c r="I92" s="11"/>
      <c r="J92" s="8"/>
      <c r="K92" s="11"/>
      <c r="L92" s="8"/>
      <c r="M92" s="11"/>
      <c r="N92" s="8">
        <f t="shared" ref="N92:N103" si="14">L92+J92+H92+F92+D92</f>
        <v>0</v>
      </c>
      <c r="O92" s="11">
        <f t="shared" ref="O92:O103" si="15">M92+K92+I92+G92+E92</f>
        <v>0</v>
      </c>
    </row>
    <row r="93" spans="1:15" x14ac:dyDescent="0.25">
      <c r="B93" s="2" t="s">
        <v>6</v>
      </c>
      <c r="C93" s="2">
        <v>2016</v>
      </c>
      <c r="D93" s="1"/>
      <c r="E93" s="11"/>
      <c r="F93" s="1"/>
      <c r="G93" s="11"/>
      <c r="H93" s="1"/>
      <c r="I93" s="11"/>
      <c r="J93" s="8"/>
      <c r="K93" s="11"/>
      <c r="L93" s="8"/>
      <c r="M93" s="11"/>
      <c r="N93" s="8">
        <f t="shared" si="14"/>
        <v>0</v>
      </c>
      <c r="O93" s="11">
        <f t="shared" si="15"/>
        <v>0</v>
      </c>
    </row>
    <row r="94" spans="1:15" x14ac:dyDescent="0.25">
      <c r="B94" s="2" t="s">
        <v>7</v>
      </c>
      <c r="C94" s="2">
        <v>2016</v>
      </c>
      <c r="D94" s="1"/>
      <c r="E94" s="11"/>
      <c r="F94" s="1"/>
      <c r="G94" s="11"/>
      <c r="H94" s="1"/>
      <c r="I94" s="11"/>
      <c r="J94" s="8"/>
      <c r="K94" s="11"/>
      <c r="L94" s="8"/>
      <c r="M94" s="11"/>
      <c r="N94" s="8">
        <f t="shared" si="14"/>
        <v>0</v>
      </c>
      <c r="O94" s="11">
        <f t="shared" si="15"/>
        <v>0</v>
      </c>
    </row>
    <row r="95" spans="1:15" x14ac:dyDescent="0.25">
      <c r="B95" s="2" t="s">
        <v>8</v>
      </c>
      <c r="C95" s="2">
        <v>2016</v>
      </c>
      <c r="D95" s="1"/>
      <c r="E95" s="11"/>
      <c r="F95" s="1"/>
      <c r="G95" s="11"/>
      <c r="H95" s="1"/>
      <c r="I95" s="11"/>
      <c r="J95" s="8"/>
      <c r="K95" s="11"/>
      <c r="L95" s="8"/>
      <c r="M95" s="11"/>
      <c r="N95" s="8">
        <f t="shared" si="14"/>
        <v>0</v>
      </c>
      <c r="O95" s="11">
        <f t="shared" si="15"/>
        <v>0</v>
      </c>
    </row>
    <row r="96" spans="1:15" x14ac:dyDescent="0.25">
      <c r="B96" s="2" t="s">
        <v>9</v>
      </c>
      <c r="C96" s="2">
        <v>2016</v>
      </c>
      <c r="D96" s="1"/>
      <c r="E96" s="11"/>
      <c r="F96" s="1"/>
      <c r="G96" s="11"/>
      <c r="H96" s="1"/>
      <c r="I96" s="11"/>
      <c r="J96" s="8"/>
      <c r="K96" s="11"/>
      <c r="L96" s="8"/>
      <c r="M96" s="11"/>
      <c r="N96" s="8">
        <f t="shared" si="14"/>
        <v>0</v>
      </c>
      <c r="O96" s="11">
        <f t="shared" si="15"/>
        <v>0</v>
      </c>
    </row>
    <row r="97" spans="1:15" x14ac:dyDescent="0.25">
      <c r="B97" s="2" t="s">
        <v>10</v>
      </c>
      <c r="C97" s="2">
        <v>2016</v>
      </c>
      <c r="D97" s="1"/>
      <c r="E97" s="11"/>
      <c r="F97" s="1"/>
      <c r="G97" s="11"/>
      <c r="H97" s="1"/>
      <c r="I97" s="11"/>
      <c r="J97" s="8"/>
      <c r="K97" s="11"/>
      <c r="L97" s="8"/>
      <c r="M97" s="11"/>
      <c r="N97" s="8">
        <f t="shared" si="14"/>
        <v>0</v>
      </c>
      <c r="O97" s="11">
        <f t="shared" si="15"/>
        <v>0</v>
      </c>
    </row>
    <row r="98" spans="1:15" x14ac:dyDescent="0.25">
      <c r="B98" s="2" t="s">
        <v>11</v>
      </c>
      <c r="C98" s="2">
        <v>2016</v>
      </c>
      <c r="D98" s="1"/>
      <c r="E98" s="11"/>
      <c r="F98" s="1"/>
      <c r="G98" s="11"/>
      <c r="H98" s="1"/>
      <c r="I98" s="11"/>
      <c r="J98" s="8"/>
      <c r="K98" s="11"/>
      <c r="L98" s="8"/>
      <c r="M98" s="11"/>
      <c r="N98" s="8">
        <f t="shared" si="14"/>
        <v>0</v>
      </c>
      <c r="O98" s="11">
        <f t="shared" si="15"/>
        <v>0</v>
      </c>
    </row>
    <row r="99" spans="1:15" x14ac:dyDescent="0.25">
      <c r="B99" s="2" t="s">
        <v>4</v>
      </c>
      <c r="C99" s="2">
        <v>2016</v>
      </c>
      <c r="D99" s="1"/>
      <c r="E99" s="11"/>
      <c r="F99" s="1"/>
      <c r="G99" s="11"/>
      <c r="H99" s="1"/>
      <c r="I99" s="11"/>
      <c r="J99" s="8"/>
      <c r="K99" s="11"/>
      <c r="L99" s="8"/>
      <c r="M99" s="11"/>
      <c r="N99" s="8">
        <f t="shared" si="14"/>
        <v>0</v>
      </c>
      <c r="O99" s="11">
        <f t="shared" si="15"/>
        <v>0</v>
      </c>
    </row>
    <row r="100" spans="1:15" x14ac:dyDescent="0.25">
      <c r="B100" s="2" t="s">
        <v>28</v>
      </c>
      <c r="C100" s="2">
        <v>2016</v>
      </c>
      <c r="D100" s="1"/>
      <c r="E100" s="11"/>
      <c r="F100" s="1"/>
      <c r="G100" s="11"/>
      <c r="H100" s="1"/>
      <c r="I100" s="11"/>
      <c r="J100" s="8"/>
      <c r="K100" s="11"/>
      <c r="L100" s="8"/>
      <c r="M100" s="11"/>
      <c r="N100" s="8">
        <f t="shared" si="14"/>
        <v>0</v>
      </c>
      <c r="O100" s="11">
        <f t="shared" si="15"/>
        <v>0</v>
      </c>
    </row>
    <row r="101" spans="1:15" x14ac:dyDescent="0.25">
      <c r="B101" s="2" t="s">
        <v>29</v>
      </c>
      <c r="C101" s="2">
        <v>2016</v>
      </c>
      <c r="D101" s="1">
        <v>2971</v>
      </c>
      <c r="E101" s="11">
        <v>207471</v>
      </c>
      <c r="F101" s="1">
        <v>256</v>
      </c>
      <c r="G101" s="11">
        <v>42431</v>
      </c>
      <c r="H101" s="1">
        <v>43297</v>
      </c>
      <c r="I101" s="11">
        <v>6487198</v>
      </c>
      <c r="J101" s="8">
        <v>5818</v>
      </c>
      <c r="K101" s="11">
        <v>995485</v>
      </c>
      <c r="L101" s="8">
        <v>592</v>
      </c>
      <c r="M101" s="11">
        <v>76554</v>
      </c>
      <c r="N101" s="8">
        <f t="shared" si="14"/>
        <v>52934</v>
      </c>
      <c r="O101" s="11">
        <f t="shared" si="15"/>
        <v>7809139</v>
      </c>
    </row>
    <row r="102" spans="1:15" x14ac:dyDescent="0.25">
      <c r="B102" s="2" t="s">
        <v>30</v>
      </c>
      <c r="C102" s="2">
        <v>2016</v>
      </c>
      <c r="D102" s="1">
        <v>8204</v>
      </c>
      <c r="E102" s="11">
        <v>646103</v>
      </c>
      <c r="F102" s="1">
        <v>858</v>
      </c>
      <c r="G102" s="11">
        <v>139448</v>
      </c>
      <c r="H102" s="1">
        <v>133770</v>
      </c>
      <c r="I102" s="11">
        <v>20517927</v>
      </c>
      <c r="J102" s="8">
        <v>16585</v>
      </c>
      <c r="K102" s="11">
        <v>2934040</v>
      </c>
      <c r="L102" s="8">
        <v>2139</v>
      </c>
      <c r="M102" s="11">
        <v>316841</v>
      </c>
      <c r="N102" s="8">
        <f t="shared" si="14"/>
        <v>161556</v>
      </c>
      <c r="O102" s="11">
        <f t="shared" si="15"/>
        <v>24554359</v>
      </c>
    </row>
    <row r="103" spans="1:15" x14ac:dyDescent="0.25">
      <c r="B103" s="2" t="s">
        <v>31</v>
      </c>
      <c r="C103" s="2">
        <v>2016</v>
      </c>
      <c r="D103" s="1">
        <v>11933</v>
      </c>
      <c r="E103" s="11">
        <v>902977</v>
      </c>
      <c r="F103" s="1">
        <v>1021</v>
      </c>
      <c r="G103" s="11">
        <v>172607</v>
      </c>
      <c r="H103" s="1">
        <v>174057</v>
      </c>
      <c r="I103" s="11">
        <v>25716865</v>
      </c>
      <c r="J103" s="8">
        <v>21360</v>
      </c>
      <c r="K103" s="11">
        <v>3664423</v>
      </c>
      <c r="L103" s="8">
        <v>2854</v>
      </c>
      <c r="M103" s="11">
        <v>416129</v>
      </c>
      <c r="N103" s="8">
        <f t="shared" si="14"/>
        <v>211225</v>
      </c>
      <c r="O103" s="11">
        <f t="shared" si="15"/>
        <v>30873001</v>
      </c>
    </row>
    <row r="105" spans="1:15" x14ac:dyDescent="0.25">
      <c r="B105" s="3" t="s">
        <v>12</v>
      </c>
      <c r="C105" s="3"/>
      <c r="D105" s="4">
        <f t="shared" ref="D105:I105" si="16">SUM(D92:D104)</f>
        <v>23108</v>
      </c>
      <c r="E105" s="12">
        <f t="shared" si="16"/>
        <v>1756551</v>
      </c>
      <c r="F105" s="4">
        <f t="shared" si="16"/>
        <v>2135</v>
      </c>
      <c r="G105" s="12">
        <f t="shared" si="16"/>
        <v>354486</v>
      </c>
      <c r="H105" s="4">
        <f t="shared" si="16"/>
        <v>351124</v>
      </c>
      <c r="I105" s="12">
        <f t="shared" si="16"/>
        <v>52721990</v>
      </c>
      <c r="J105" s="4">
        <f t="shared" ref="J105:O105" si="17">SUM(J92:J104)</f>
        <v>43763</v>
      </c>
      <c r="K105" s="12">
        <f t="shared" si="17"/>
        <v>7593948</v>
      </c>
      <c r="L105" s="4">
        <f t="shared" si="17"/>
        <v>5585</v>
      </c>
      <c r="M105" s="12">
        <f t="shared" si="17"/>
        <v>809524</v>
      </c>
      <c r="N105" s="4">
        <f t="shared" si="17"/>
        <v>425715</v>
      </c>
      <c r="O105" s="12">
        <f t="shared" si="17"/>
        <v>63236499</v>
      </c>
    </row>
    <row r="107" spans="1:15" x14ac:dyDescent="0.25">
      <c r="B107" s="5" t="s">
        <v>14</v>
      </c>
    </row>
    <row r="108" spans="1:15" x14ac:dyDescent="0.25">
      <c r="B108" s="5" t="s">
        <v>27</v>
      </c>
    </row>
    <row r="109" spans="1:15" x14ac:dyDescent="0.25">
      <c r="B109" s="5"/>
    </row>
    <row r="110" spans="1:15" x14ac:dyDescent="0.25">
      <c r="D110" s="89" t="s">
        <v>23</v>
      </c>
      <c r="E110" s="90"/>
      <c r="F110" s="89" t="s">
        <v>24</v>
      </c>
      <c r="G110" s="90"/>
      <c r="H110" s="89" t="s">
        <v>25</v>
      </c>
      <c r="I110" s="90"/>
      <c r="J110" s="89" t="s">
        <v>26</v>
      </c>
      <c r="K110" s="90"/>
      <c r="L110" s="89" t="s">
        <v>12</v>
      </c>
      <c r="M110" s="93"/>
      <c r="O110"/>
    </row>
    <row r="111" spans="1:1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O111"/>
    </row>
    <row r="112" spans="1:15" x14ac:dyDescent="0.25">
      <c r="O112"/>
    </row>
    <row r="113" spans="2:15" x14ac:dyDescent="0.25">
      <c r="B113" s="2" t="s">
        <v>5</v>
      </c>
      <c r="C113" s="2">
        <v>2016</v>
      </c>
      <c r="D113" s="1">
        <v>379762</v>
      </c>
      <c r="E113" s="11">
        <v>5523478.6699998723</v>
      </c>
      <c r="F113" s="1">
        <v>188025</v>
      </c>
      <c r="G113" s="11">
        <v>13794715</v>
      </c>
      <c r="H113" s="1">
        <v>515309</v>
      </c>
      <c r="I113" s="11">
        <v>36066168</v>
      </c>
      <c r="J113" s="8">
        <v>163468</v>
      </c>
      <c r="K113" s="11">
        <v>7033283</v>
      </c>
      <c r="L113" s="8">
        <f>+J113+H113+F113+D113</f>
        <v>1246564</v>
      </c>
      <c r="M113" s="11">
        <f t="shared" ref="M113:M120" si="18">+K113+I113+G113+E113</f>
        <v>62417644.669999875</v>
      </c>
      <c r="O113"/>
    </row>
    <row r="114" spans="2:15" x14ac:dyDescent="0.25">
      <c r="B114" s="2" t="s">
        <v>6</v>
      </c>
      <c r="C114" s="2">
        <v>2016</v>
      </c>
      <c r="D114" s="1">
        <v>396134</v>
      </c>
      <c r="E114" s="11">
        <v>5886635.5800001072</v>
      </c>
      <c r="F114" s="1">
        <v>206714</v>
      </c>
      <c r="G114" s="11">
        <v>14611216</v>
      </c>
      <c r="H114" s="1">
        <v>421291</v>
      </c>
      <c r="I114" s="11">
        <v>30207889</v>
      </c>
      <c r="J114" s="8">
        <v>157232</v>
      </c>
      <c r="K114" s="11">
        <v>6911239</v>
      </c>
      <c r="L114" s="8">
        <f t="shared" ref="L114:L120" si="19">+J114+H114+F114+D114</f>
        <v>1181371</v>
      </c>
      <c r="M114" s="11">
        <f t="shared" si="18"/>
        <v>57616979.58000011</v>
      </c>
      <c r="O114"/>
    </row>
    <row r="115" spans="2:15" x14ac:dyDescent="0.25">
      <c r="B115" s="2" t="s">
        <v>7</v>
      </c>
      <c r="C115" s="2">
        <v>2016</v>
      </c>
      <c r="D115" s="1">
        <v>357005</v>
      </c>
      <c r="E115" s="11">
        <v>5392941.0300001167</v>
      </c>
      <c r="F115" s="1">
        <v>215519</v>
      </c>
      <c r="G115" s="11">
        <v>15221950</v>
      </c>
      <c r="H115" s="1">
        <v>552665</v>
      </c>
      <c r="I115" s="11">
        <v>39129809</v>
      </c>
      <c r="J115" s="8">
        <v>164907</v>
      </c>
      <c r="K115" s="11">
        <v>7608389</v>
      </c>
      <c r="L115" s="8">
        <f t="shared" si="19"/>
        <v>1290096</v>
      </c>
      <c r="M115" s="11">
        <f t="shared" si="18"/>
        <v>67353089.03000012</v>
      </c>
      <c r="O115"/>
    </row>
    <row r="116" spans="2:15" x14ac:dyDescent="0.25">
      <c r="B116" s="2" t="s">
        <v>8</v>
      </c>
      <c r="C116" s="2">
        <v>2016</v>
      </c>
      <c r="D116" s="1">
        <v>352793</v>
      </c>
      <c r="E116" s="11">
        <v>5269661.3000001535</v>
      </c>
      <c r="F116" s="1">
        <v>214778</v>
      </c>
      <c r="G116" s="11">
        <v>14794045</v>
      </c>
      <c r="H116" s="1">
        <v>441792</v>
      </c>
      <c r="I116" s="11">
        <v>32132216</v>
      </c>
      <c r="J116" s="8">
        <v>158970</v>
      </c>
      <c r="K116" s="11">
        <v>7305979</v>
      </c>
      <c r="L116" s="8">
        <f t="shared" si="19"/>
        <v>1168333</v>
      </c>
      <c r="M116" s="11">
        <f t="shared" si="18"/>
        <v>59501901.300000153</v>
      </c>
      <c r="O116"/>
    </row>
    <row r="117" spans="2:15" x14ac:dyDescent="0.25">
      <c r="B117" s="2" t="s">
        <v>9</v>
      </c>
      <c r="C117" s="2">
        <v>2016</v>
      </c>
      <c r="D117" s="1">
        <v>333354</v>
      </c>
      <c r="E117" s="11">
        <v>4971546.3800001452</v>
      </c>
      <c r="F117" s="1">
        <v>221313</v>
      </c>
      <c r="G117" s="11">
        <v>16127241</v>
      </c>
      <c r="H117" s="1">
        <v>448507</v>
      </c>
      <c r="I117" s="11">
        <v>32647440</v>
      </c>
      <c r="J117" s="8">
        <v>162759</v>
      </c>
      <c r="K117" s="11">
        <v>7579725</v>
      </c>
      <c r="L117" s="8">
        <f t="shared" si="19"/>
        <v>1165933</v>
      </c>
      <c r="M117" s="11">
        <f t="shared" si="18"/>
        <v>61325952.380000144</v>
      </c>
      <c r="O117"/>
    </row>
    <row r="118" spans="2:15" x14ac:dyDescent="0.25">
      <c r="B118" s="2" t="s">
        <v>10</v>
      </c>
      <c r="C118" s="2">
        <v>2016</v>
      </c>
      <c r="D118" s="1">
        <v>326846</v>
      </c>
      <c r="E118" s="11">
        <v>4883535.8200001512</v>
      </c>
      <c r="F118" s="1">
        <v>222064</v>
      </c>
      <c r="G118" s="11">
        <v>15535796</v>
      </c>
      <c r="H118" s="1">
        <v>409403</v>
      </c>
      <c r="I118" s="11">
        <v>30290556</v>
      </c>
      <c r="J118" s="8">
        <v>162430</v>
      </c>
      <c r="K118" s="11">
        <v>7597161</v>
      </c>
      <c r="L118" s="8">
        <f t="shared" si="19"/>
        <v>1120743</v>
      </c>
      <c r="M118" s="11">
        <f t="shared" si="18"/>
        <v>58307048.820000149</v>
      </c>
      <c r="O118"/>
    </row>
    <row r="119" spans="2:15" x14ac:dyDescent="0.25">
      <c r="B119" s="2" t="s">
        <v>11</v>
      </c>
      <c r="C119" s="2">
        <v>2016</v>
      </c>
      <c r="D119" s="1">
        <v>337455</v>
      </c>
      <c r="E119" s="11">
        <v>5184022.5900001489</v>
      </c>
      <c r="F119" s="1">
        <v>240175</v>
      </c>
      <c r="G119" s="11">
        <v>17060218</v>
      </c>
      <c r="H119" s="1">
        <v>509982</v>
      </c>
      <c r="I119" s="11">
        <v>36470327</v>
      </c>
      <c r="J119" s="8">
        <v>177384</v>
      </c>
      <c r="K119" s="11">
        <v>8677732</v>
      </c>
      <c r="L119" s="8">
        <f t="shared" si="19"/>
        <v>1264996</v>
      </c>
      <c r="M119" s="11">
        <f t="shared" si="18"/>
        <v>67392299.590000153</v>
      </c>
      <c r="O119"/>
    </row>
    <row r="120" spans="2:15" x14ac:dyDescent="0.25">
      <c r="B120" s="2" t="s">
        <v>4</v>
      </c>
      <c r="C120" s="2">
        <v>2016</v>
      </c>
      <c r="D120" s="1">
        <v>379790</v>
      </c>
      <c r="E120" s="11">
        <v>5687166.5300001558</v>
      </c>
      <c r="F120" s="1">
        <v>254860</v>
      </c>
      <c r="G120" s="11">
        <v>17445135</v>
      </c>
      <c r="H120" s="1">
        <v>478656</v>
      </c>
      <c r="I120" s="11">
        <v>34547835</v>
      </c>
      <c r="J120" s="8">
        <v>208933</v>
      </c>
      <c r="K120" s="11">
        <v>9960175</v>
      </c>
      <c r="L120" s="8">
        <f t="shared" si="19"/>
        <v>1322239</v>
      </c>
      <c r="M120" s="11">
        <f t="shared" si="18"/>
        <v>67640311.53000015</v>
      </c>
      <c r="O120"/>
    </row>
    <row r="121" spans="2:15" x14ac:dyDescent="0.25">
      <c r="B121" s="2" t="s">
        <v>28</v>
      </c>
      <c r="C121" s="2">
        <v>2016</v>
      </c>
      <c r="D121" s="1">
        <v>374309</v>
      </c>
      <c r="E121" s="11">
        <v>5542722.8800001452</v>
      </c>
      <c r="F121" s="1">
        <v>255940</v>
      </c>
      <c r="G121" s="11">
        <v>17477849</v>
      </c>
      <c r="H121" s="1">
        <v>471486</v>
      </c>
      <c r="I121" s="11">
        <v>34141039</v>
      </c>
      <c r="J121" s="8">
        <v>216651</v>
      </c>
      <c r="K121" s="11">
        <v>10128529</v>
      </c>
      <c r="L121" s="8">
        <f t="shared" ref="L121:M124" si="20">+J121+H121+F121+D121</f>
        <v>1318386</v>
      </c>
      <c r="M121" s="11">
        <f t="shared" si="20"/>
        <v>67290139.880000144</v>
      </c>
      <c r="O121"/>
    </row>
    <row r="122" spans="2:15" x14ac:dyDescent="0.25">
      <c r="B122" s="2" t="s">
        <v>29</v>
      </c>
      <c r="C122" s="2">
        <v>2016</v>
      </c>
      <c r="D122" s="1">
        <v>392007</v>
      </c>
      <c r="E122" s="11">
        <v>6137004.960000149</v>
      </c>
      <c r="F122" s="1">
        <v>278178</v>
      </c>
      <c r="G122" s="11">
        <v>19170724</v>
      </c>
      <c r="H122" s="1">
        <v>480325</v>
      </c>
      <c r="I122" s="11">
        <v>34772194</v>
      </c>
      <c r="J122" s="8">
        <v>220578</v>
      </c>
      <c r="K122" s="11">
        <v>10065227</v>
      </c>
      <c r="L122" s="8">
        <f t="shared" si="20"/>
        <v>1371088</v>
      </c>
      <c r="M122" s="11">
        <f t="shared" si="20"/>
        <v>70145149.960000142</v>
      </c>
      <c r="O122"/>
    </row>
    <row r="123" spans="2:15" x14ac:dyDescent="0.25">
      <c r="B123" s="2" t="s">
        <v>30</v>
      </c>
      <c r="C123" s="2">
        <v>2016</v>
      </c>
      <c r="D123" s="1">
        <v>384569</v>
      </c>
      <c r="E123" s="11">
        <v>9653323.2200000174</v>
      </c>
      <c r="F123" s="1">
        <v>280386</v>
      </c>
      <c r="G123" s="11">
        <v>19546038</v>
      </c>
      <c r="H123" s="1">
        <v>484754</v>
      </c>
      <c r="I123" s="11">
        <v>35011896</v>
      </c>
      <c r="J123" s="8">
        <v>224332</v>
      </c>
      <c r="K123" s="11">
        <v>11343166</v>
      </c>
      <c r="L123" s="8">
        <f t="shared" si="20"/>
        <v>1374041</v>
      </c>
      <c r="M123" s="11">
        <f t="shared" si="20"/>
        <v>75554423.220000014</v>
      </c>
      <c r="O123"/>
    </row>
    <row r="124" spans="2:15" x14ac:dyDescent="0.25">
      <c r="B124" s="2" t="s">
        <v>31</v>
      </c>
      <c r="C124" s="2">
        <v>2016</v>
      </c>
      <c r="D124" s="1">
        <v>365417</v>
      </c>
      <c r="E124" s="11">
        <v>9710187.0400000811</v>
      </c>
      <c r="F124" s="1">
        <v>298262</v>
      </c>
      <c r="G124" s="11">
        <v>22095653</v>
      </c>
      <c r="H124" s="1">
        <v>574717</v>
      </c>
      <c r="I124" s="11">
        <v>42931354</v>
      </c>
      <c r="J124" s="8">
        <v>224994</v>
      </c>
      <c r="K124" s="11">
        <v>11410366</v>
      </c>
      <c r="L124" s="8">
        <f t="shared" si="20"/>
        <v>1463390</v>
      </c>
      <c r="M124" s="11">
        <f t="shared" si="20"/>
        <v>86147560.040000081</v>
      </c>
      <c r="O124"/>
    </row>
    <row r="125" spans="2:15" x14ac:dyDescent="0.25">
      <c r="O125"/>
    </row>
    <row r="126" spans="2:15" x14ac:dyDescent="0.25">
      <c r="B126" s="3" t="s">
        <v>12</v>
      </c>
      <c r="C126" s="3"/>
      <c r="D126" s="4">
        <f t="shared" ref="D126:I126" si="21">SUM(D113:D125)</f>
        <v>4379441</v>
      </c>
      <c r="E126" s="12">
        <f t="shared" si="21"/>
        <v>73842226.000001237</v>
      </c>
      <c r="F126" s="4">
        <f t="shared" si="21"/>
        <v>2876214</v>
      </c>
      <c r="G126" s="12">
        <f t="shared" si="21"/>
        <v>202880580</v>
      </c>
      <c r="H126" s="4">
        <f t="shared" si="21"/>
        <v>5788887</v>
      </c>
      <c r="I126" s="12">
        <f t="shared" si="21"/>
        <v>418348723</v>
      </c>
      <c r="J126" s="4">
        <f>SUM(J113:J125)</f>
        <v>2242638</v>
      </c>
      <c r="K126" s="12">
        <f>SUM(K113:K125)</f>
        <v>105620971</v>
      </c>
      <c r="L126" s="4">
        <f>SUM(L113:L125)</f>
        <v>15287180</v>
      </c>
      <c r="M126" s="12">
        <f>SUM(M113:M125)</f>
        <v>800692500.00000131</v>
      </c>
      <c r="O126"/>
    </row>
  </sheetData>
  <mergeCells count="35">
    <mergeCell ref="N68:O68"/>
    <mergeCell ref="D47:E47"/>
    <mergeCell ref="F47:G47"/>
    <mergeCell ref="H47:I47"/>
    <mergeCell ref="J47:K47"/>
    <mergeCell ref="L47:M47"/>
    <mergeCell ref="N47:O47"/>
    <mergeCell ref="D68:E68"/>
    <mergeCell ref="F68:G68"/>
    <mergeCell ref="H68:I68"/>
    <mergeCell ref="J68:K68"/>
    <mergeCell ref="L68:M68"/>
    <mergeCell ref="N26:O26"/>
    <mergeCell ref="D5:E5"/>
    <mergeCell ref="F5:G5"/>
    <mergeCell ref="H5:I5"/>
    <mergeCell ref="J5:K5"/>
    <mergeCell ref="L5:M5"/>
    <mergeCell ref="N5:O5"/>
    <mergeCell ref="D26:E26"/>
    <mergeCell ref="F26:G26"/>
    <mergeCell ref="H26:I26"/>
    <mergeCell ref="J26:K26"/>
    <mergeCell ref="L26:M26"/>
    <mergeCell ref="J110:K110"/>
    <mergeCell ref="L110:M110"/>
    <mergeCell ref="D110:E110"/>
    <mergeCell ref="F110:G110"/>
    <mergeCell ref="H110:I110"/>
    <mergeCell ref="N89:O89"/>
    <mergeCell ref="D89:E89"/>
    <mergeCell ref="F89:G89"/>
    <mergeCell ref="H89:I89"/>
    <mergeCell ref="J89:K89"/>
    <mergeCell ref="L89:M89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V147"/>
  <sheetViews>
    <sheetView showGridLines="0" zoomScale="90" zoomScaleNormal="90" workbookViewId="0"/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1" customWidth="1"/>
    <col min="5" max="5" width="19" style="9" customWidth="1"/>
    <col min="6" max="6" width="13.7109375" customWidth="1"/>
    <col min="7" max="7" width="18.85546875" style="9" customWidth="1"/>
    <col min="8" max="8" width="16" customWidth="1"/>
    <col min="9" max="9" width="18.85546875" style="9" customWidth="1"/>
    <col min="10" max="10" width="15.140625" customWidth="1"/>
    <col min="11" max="11" width="17.140625" style="9" customWidth="1"/>
    <col min="12" max="12" width="15.140625" customWidth="1"/>
    <col min="13" max="13" width="17.28515625" style="9" customWidth="1"/>
    <col min="14" max="15" width="16.85546875" style="9" customWidth="1"/>
    <col min="16" max="16" width="15.140625" customWidth="1"/>
    <col min="17" max="17" width="18.85546875" style="9" customWidth="1"/>
    <col min="18" max="18" width="16" customWidth="1"/>
    <col min="19" max="19" width="15.140625" customWidth="1"/>
    <col min="20" max="20" width="12.5703125" customWidth="1"/>
    <col min="21" max="21" width="13.28515625" bestFit="1" customWidth="1"/>
    <col min="22" max="22" width="12.5703125" customWidth="1"/>
    <col min="23" max="23" width="12.28515625" bestFit="1" customWidth="1"/>
    <col min="24" max="24" width="1.7109375" customWidth="1"/>
    <col min="25" max="25" width="13.140625" customWidth="1"/>
    <col min="26" max="26" width="15.85546875" customWidth="1"/>
    <col min="27" max="30" width="12.5703125" customWidth="1"/>
    <col min="31" max="31" width="1.710937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0" width="7.5703125" customWidth="1"/>
    <col min="41" max="41" width="12.5703125" customWidth="1"/>
    <col min="42" max="43" width="15.7109375" customWidth="1"/>
    <col min="44" max="45" width="12.42578125" customWidth="1"/>
    <col min="46" max="46" width="1.710937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7.5703125" customWidth="1"/>
    <col min="52" max="52" width="12.5703125" customWidth="1"/>
    <col min="53" max="53" width="9.140625" customWidth="1"/>
    <col min="54" max="54" width="13.5703125" customWidth="1"/>
    <col min="55" max="55" width="11.7109375" customWidth="1"/>
    <col min="56" max="56" width="18.7109375" customWidth="1"/>
    <col min="57" max="58" width="15.7109375" customWidth="1"/>
    <col min="59" max="60" width="12.42578125" customWidth="1"/>
    <col min="61" max="61" width="1.7109375" customWidth="1"/>
    <col min="62" max="62" width="10.85546875" customWidth="1"/>
    <col min="63" max="63" width="17.42578125" customWidth="1"/>
    <col min="64" max="65" width="14.7109375" customWidth="1"/>
    <col min="66" max="67" width="9.42578125" customWidth="1"/>
    <col min="68" max="68" width="1.7109375" customWidth="1"/>
    <col min="70" max="70" width="15.5703125" bestFit="1" customWidth="1"/>
  </cols>
  <sheetData>
    <row r="2" spans="1:17" x14ac:dyDescent="0.25">
      <c r="B2" s="5" t="s">
        <v>14</v>
      </c>
    </row>
    <row r="3" spans="1:17" x14ac:dyDescent="0.25">
      <c r="B3" s="5" t="s">
        <v>19</v>
      </c>
    </row>
    <row r="4" spans="1:17" x14ac:dyDescent="0.25">
      <c r="B4" s="5"/>
    </row>
    <row r="5" spans="1:17" x14ac:dyDescent="0.25">
      <c r="D5" s="89" t="s">
        <v>15</v>
      </c>
      <c r="E5" s="90"/>
      <c r="F5" s="89" t="s">
        <v>16</v>
      </c>
      <c r="G5" s="90"/>
      <c r="H5" s="89" t="s">
        <v>17</v>
      </c>
      <c r="I5" s="93"/>
      <c r="J5" s="89" t="s">
        <v>18</v>
      </c>
      <c r="K5" s="93"/>
      <c r="L5" s="89" t="s">
        <v>13</v>
      </c>
      <c r="M5" s="93"/>
      <c r="N5" s="89" t="s">
        <v>34</v>
      </c>
      <c r="O5" s="93"/>
      <c r="P5" s="89" t="s">
        <v>12</v>
      </c>
      <c r="Q5" s="93"/>
    </row>
    <row r="6" spans="1:17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</row>
    <row r="8" spans="1:17" x14ac:dyDescent="0.25">
      <c r="B8" s="2" t="s">
        <v>5</v>
      </c>
      <c r="C8" s="2">
        <v>2017</v>
      </c>
      <c r="D8" s="1">
        <v>1036721</v>
      </c>
      <c r="E8" s="11">
        <v>25949360.679999996</v>
      </c>
      <c r="F8" s="1">
        <v>2553</v>
      </c>
      <c r="G8" s="11">
        <v>65905.14</v>
      </c>
      <c r="H8" s="1">
        <v>1757779</v>
      </c>
      <c r="I8" s="11">
        <v>46251888.410000004</v>
      </c>
      <c r="J8" s="8">
        <v>57483</v>
      </c>
      <c r="K8" s="11">
        <v>1456354.1600000004</v>
      </c>
      <c r="L8" s="8">
        <v>6956</v>
      </c>
      <c r="M8" s="11">
        <v>161145.22</v>
      </c>
      <c r="N8" s="8"/>
      <c r="O8" s="11"/>
      <c r="P8" s="8">
        <f t="shared" ref="P8:P16" si="0">L8+J8+H8+F8+D8+N8</f>
        <v>2861492</v>
      </c>
      <c r="Q8" s="14">
        <f t="shared" ref="Q8:Q19" si="1">M8+K8+I8+G8+E8+O8</f>
        <v>73884653.609999999</v>
      </c>
    </row>
    <row r="9" spans="1:17" x14ac:dyDescent="0.25">
      <c r="B9" s="2" t="s">
        <v>6</v>
      </c>
      <c r="C9" s="2">
        <v>2017</v>
      </c>
      <c r="D9" s="1">
        <v>1021523</v>
      </c>
      <c r="E9" s="11">
        <v>25606034.989999995</v>
      </c>
      <c r="F9" s="1">
        <v>2319</v>
      </c>
      <c r="G9" s="11">
        <v>63203.97</v>
      </c>
      <c r="H9" s="1">
        <v>1785036</v>
      </c>
      <c r="I9" s="11">
        <v>46922308.270000003</v>
      </c>
      <c r="J9" s="8">
        <v>57591</v>
      </c>
      <c r="K9" s="11">
        <v>1454048.95</v>
      </c>
      <c r="L9" s="8">
        <v>7125</v>
      </c>
      <c r="M9" s="11">
        <v>166058.62999999998</v>
      </c>
      <c r="N9" s="8"/>
      <c r="O9" s="11"/>
      <c r="P9" s="8">
        <f t="shared" si="0"/>
        <v>2873594</v>
      </c>
      <c r="Q9" s="14">
        <f t="shared" si="1"/>
        <v>74211654.810000002</v>
      </c>
    </row>
    <row r="10" spans="1:17" x14ac:dyDescent="0.25">
      <c r="B10" s="2" t="s">
        <v>7</v>
      </c>
      <c r="C10" s="2">
        <v>2017</v>
      </c>
      <c r="D10" s="1">
        <v>1135190</v>
      </c>
      <c r="E10" s="11">
        <v>28408563.460000005</v>
      </c>
      <c r="F10" s="1">
        <v>2798</v>
      </c>
      <c r="G10" s="11">
        <v>75761.56</v>
      </c>
      <c r="H10" s="1">
        <v>2012445</v>
      </c>
      <c r="I10" s="11">
        <v>52655859.960000016</v>
      </c>
      <c r="J10" s="8">
        <v>64094</v>
      </c>
      <c r="K10" s="11">
        <v>1608964.62</v>
      </c>
      <c r="L10" s="8">
        <v>8176</v>
      </c>
      <c r="M10" s="11">
        <v>188598.15000000005</v>
      </c>
      <c r="N10" s="8"/>
      <c r="O10" s="11"/>
      <c r="P10" s="8">
        <f t="shared" si="0"/>
        <v>3222703</v>
      </c>
      <c r="Q10" s="14">
        <f t="shared" si="1"/>
        <v>82937747.75000003</v>
      </c>
    </row>
    <row r="11" spans="1:17" x14ac:dyDescent="0.25">
      <c r="B11" s="2" t="s">
        <v>8</v>
      </c>
      <c r="C11" s="2">
        <v>2017</v>
      </c>
      <c r="D11" s="1">
        <v>915861</v>
      </c>
      <c r="E11" s="11">
        <v>24752187.340000007</v>
      </c>
      <c r="F11" s="1">
        <v>2404</v>
      </c>
      <c r="G11" s="11">
        <v>69351.540000000008</v>
      </c>
      <c r="H11" s="1">
        <v>1674432</v>
      </c>
      <c r="I11" s="11">
        <v>47440187.459999993</v>
      </c>
      <c r="J11" s="8">
        <v>55445</v>
      </c>
      <c r="K11" s="11">
        <v>1524589.5299999998</v>
      </c>
      <c r="L11" s="8">
        <v>6933</v>
      </c>
      <c r="M11" s="11">
        <v>175451.50999999998</v>
      </c>
      <c r="N11" s="8"/>
      <c r="O11" s="11"/>
      <c r="P11" s="8">
        <f t="shared" si="0"/>
        <v>2655075</v>
      </c>
      <c r="Q11" s="14">
        <f t="shared" si="1"/>
        <v>73961767.379999995</v>
      </c>
    </row>
    <row r="12" spans="1:17" x14ac:dyDescent="0.25">
      <c r="B12" s="2" t="s">
        <v>9</v>
      </c>
      <c r="C12" s="2">
        <v>2017</v>
      </c>
      <c r="D12" s="1">
        <v>1069768</v>
      </c>
      <c r="E12" s="11">
        <v>28392825.710000001</v>
      </c>
      <c r="F12" s="1">
        <v>2807</v>
      </c>
      <c r="G12" s="11">
        <v>82183.899999999994</v>
      </c>
      <c r="H12" s="1">
        <v>1975050</v>
      </c>
      <c r="I12" s="11">
        <v>55018817.939999998</v>
      </c>
      <c r="J12" s="8">
        <v>64720</v>
      </c>
      <c r="K12" s="11">
        <v>1732543.94</v>
      </c>
      <c r="L12" s="8">
        <v>8680</v>
      </c>
      <c r="M12" s="11">
        <v>215444.45000000004</v>
      </c>
      <c r="N12" s="8"/>
      <c r="O12" s="11"/>
      <c r="P12" s="8">
        <f t="shared" si="0"/>
        <v>3121025</v>
      </c>
      <c r="Q12" s="14">
        <f t="shared" si="1"/>
        <v>85441815.939999998</v>
      </c>
    </row>
    <row r="13" spans="1:17" x14ac:dyDescent="0.25">
      <c r="B13" s="2" t="s">
        <v>10</v>
      </c>
      <c r="C13" s="2">
        <v>2017</v>
      </c>
      <c r="D13" s="1">
        <v>1067092</v>
      </c>
      <c r="E13" s="11">
        <v>28376778.379999999</v>
      </c>
      <c r="F13" s="1">
        <v>2773</v>
      </c>
      <c r="G13" s="11">
        <v>77198.270000000019</v>
      </c>
      <c r="H13" s="1">
        <v>1975098</v>
      </c>
      <c r="I13" s="11">
        <v>55216007.280000001</v>
      </c>
      <c r="J13" s="8">
        <v>65447</v>
      </c>
      <c r="K13" s="11">
        <v>1756317.81</v>
      </c>
      <c r="L13" s="8">
        <v>8480</v>
      </c>
      <c r="M13" s="11">
        <v>211880.62</v>
      </c>
      <c r="N13" s="8"/>
      <c r="O13" s="11"/>
      <c r="P13" s="8">
        <f t="shared" si="0"/>
        <v>3118890</v>
      </c>
      <c r="Q13" s="14">
        <f t="shared" si="1"/>
        <v>85638182.359999999</v>
      </c>
    </row>
    <row r="14" spans="1:17" x14ac:dyDescent="0.25">
      <c r="B14" s="2" t="s">
        <v>11</v>
      </c>
      <c r="C14" s="2">
        <v>2017</v>
      </c>
      <c r="D14" s="1">
        <v>954586</v>
      </c>
      <c r="E14" s="11">
        <v>25679945.709999997</v>
      </c>
      <c r="F14" s="1">
        <v>2456</v>
      </c>
      <c r="G14" s="11">
        <v>71028.790000000008</v>
      </c>
      <c r="H14" s="1">
        <v>1764083</v>
      </c>
      <c r="I14" s="11">
        <v>49994568.670000009</v>
      </c>
      <c r="J14" s="8">
        <v>60145</v>
      </c>
      <c r="K14" s="11">
        <v>1658836.21</v>
      </c>
      <c r="L14" s="8">
        <v>7272</v>
      </c>
      <c r="M14" s="11">
        <v>186706.16000000003</v>
      </c>
      <c r="N14" s="8"/>
      <c r="O14" s="11"/>
      <c r="P14" s="8">
        <f t="shared" si="0"/>
        <v>2788542</v>
      </c>
      <c r="Q14" s="14">
        <f t="shared" si="1"/>
        <v>77591085.540000007</v>
      </c>
    </row>
    <row r="15" spans="1:17" x14ac:dyDescent="0.25">
      <c r="B15" s="2" t="s">
        <v>4</v>
      </c>
      <c r="C15" s="2">
        <v>2017</v>
      </c>
      <c r="D15" s="1">
        <v>1069948</v>
      </c>
      <c r="E15" s="11">
        <v>28853859.259999998</v>
      </c>
      <c r="F15" s="1">
        <v>2927</v>
      </c>
      <c r="G15" s="11">
        <v>87027.860000000015</v>
      </c>
      <c r="H15" s="1">
        <v>2019798</v>
      </c>
      <c r="I15" s="11">
        <v>57164607.279999994</v>
      </c>
      <c r="J15" s="8">
        <v>68866</v>
      </c>
      <c r="K15" s="11">
        <v>1890697.81</v>
      </c>
      <c r="L15" s="8">
        <v>9027</v>
      </c>
      <c r="M15" s="11">
        <v>229210.67</v>
      </c>
      <c r="N15" s="8"/>
      <c r="O15" s="11"/>
      <c r="P15" s="8">
        <f t="shared" si="0"/>
        <v>3170566</v>
      </c>
      <c r="Q15" s="14">
        <f t="shared" si="1"/>
        <v>88225402.879999995</v>
      </c>
    </row>
    <row r="16" spans="1:17" x14ac:dyDescent="0.25">
      <c r="B16" s="2" t="s">
        <v>28</v>
      </c>
      <c r="C16" s="2">
        <v>2017</v>
      </c>
      <c r="D16" s="1">
        <v>697558</v>
      </c>
      <c r="E16" s="11">
        <v>18828559.141199999</v>
      </c>
      <c r="F16" s="1">
        <v>1882</v>
      </c>
      <c r="G16" s="11">
        <v>53247.779999999992</v>
      </c>
      <c r="H16" s="1">
        <v>1313395</v>
      </c>
      <c r="I16" s="11">
        <v>37135124.159999996</v>
      </c>
      <c r="J16" s="8">
        <v>44602</v>
      </c>
      <c r="K16" s="11">
        <v>1219075.3199999996</v>
      </c>
      <c r="L16" s="8">
        <v>6189</v>
      </c>
      <c r="M16" s="11">
        <v>153214.66</v>
      </c>
      <c r="N16" s="8"/>
      <c r="O16" s="11"/>
      <c r="P16" s="8">
        <f t="shared" si="0"/>
        <v>2063626</v>
      </c>
      <c r="Q16" s="11">
        <f t="shared" si="1"/>
        <v>57389221.061199993</v>
      </c>
    </row>
    <row r="17" spans="1:18" x14ac:dyDescent="0.25">
      <c r="B17" s="2" t="s">
        <v>29</v>
      </c>
      <c r="C17" s="2">
        <v>2017</v>
      </c>
      <c r="D17" s="1">
        <v>1070932</v>
      </c>
      <c r="E17" s="11">
        <v>29262847.289600004</v>
      </c>
      <c r="F17" s="1">
        <v>2885</v>
      </c>
      <c r="G17" s="11">
        <v>84116.06</v>
      </c>
      <c r="H17" s="1">
        <v>2124632</v>
      </c>
      <c r="I17" s="11">
        <v>60560629.920000002</v>
      </c>
      <c r="J17" s="8">
        <v>70798</v>
      </c>
      <c r="K17" s="11">
        <v>1944154.3499999999</v>
      </c>
      <c r="L17" s="8">
        <v>10058</v>
      </c>
      <c r="M17" s="11">
        <v>259045.82999999996</v>
      </c>
      <c r="N17" s="8">
        <v>9</v>
      </c>
      <c r="O17" s="11">
        <v>150.86000000000001</v>
      </c>
      <c r="P17" s="8">
        <f>L17+J17+H17+F17+D17+N17</f>
        <v>3279314</v>
      </c>
      <c r="Q17" s="11">
        <f t="shared" si="1"/>
        <v>92110944.309600011</v>
      </c>
      <c r="R17" s="13"/>
    </row>
    <row r="18" spans="1:18" x14ac:dyDescent="0.25">
      <c r="B18" s="2" t="s">
        <v>30</v>
      </c>
      <c r="C18" s="2">
        <v>2017</v>
      </c>
      <c r="D18" s="1">
        <v>1005815</v>
      </c>
      <c r="E18" s="11">
        <v>27372870.119999997</v>
      </c>
      <c r="F18" s="1">
        <v>2853</v>
      </c>
      <c r="G18" s="11">
        <v>83380.309999999983</v>
      </c>
      <c r="H18" s="1">
        <v>2010954</v>
      </c>
      <c r="I18" s="11">
        <v>56872459.100000016</v>
      </c>
      <c r="J18" s="8">
        <v>65182</v>
      </c>
      <c r="K18" s="11">
        <v>1785565.43</v>
      </c>
      <c r="L18" s="8">
        <v>9310</v>
      </c>
      <c r="M18" s="11">
        <v>233293.46000000008</v>
      </c>
      <c r="N18" s="8">
        <v>7</v>
      </c>
      <c r="O18" s="11">
        <v>96.37</v>
      </c>
      <c r="P18" s="8">
        <f>L18+J18+H18+F18+D18+N18</f>
        <v>3094121</v>
      </c>
      <c r="Q18" s="11">
        <f t="shared" si="1"/>
        <v>86347664.790000021</v>
      </c>
    </row>
    <row r="19" spans="1:18" x14ac:dyDescent="0.25">
      <c r="B19" s="2" t="s">
        <v>31</v>
      </c>
      <c r="C19" s="2">
        <v>2017</v>
      </c>
      <c r="D19" s="1">
        <v>909931</v>
      </c>
      <c r="E19" s="11">
        <v>25015873.720000003</v>
      </c>
      <c r="F19" s="1">
        <v>2614</v>
      </c>
      <c r="G19" s="11">
        <v>74912.209999999992</v>
      </c>
      <c r="H19" s="1">
        <v>1877614</v>
      </c>
      <c r="I19" s="11">
        <v>53532174.920000002</v>
      </c>
      <c r="J19" s="8">
        <v>59880</v>
      </c>
      <c r="K19" s="11">
        <v>1649317.0599999998</v>
      </c>
      <c r="L19" s="8">
        <v>8375</v>
      </c>
      <c r="M19" s="11">
        <v>211869.76999999993</v>
      </c>
      <c r="N19" s="8">
        <v>5</v>
      </c>
      <c r="O19" s="11">
        <v>58.92</v>
      </c>
      <c r="P19" s="8">
        <f>L19+J19+H19+F19+D19+N19</f>
        <v>2858419</v>
      </c>
      <c r="Q19" s="11">
        <f t="shared" si="1"/>
        <v>80484206.600000009</v>
      </c>
    </row>
    <row r="21" spans="1:18" x14ac:dyDescent="0.25">
      <c r="B21" s="3" t="s">
        <v>12</v>
      </c>
      <c r="C21" s="3"/>
      <c r="D21" s="4">
        <f t="shared" ref="D21:Q21" si="2">SUM(D8:D20)</f>
        <v>11954925</v>
      </c>
      <c r="E21" s="12">
        <f t="shared" si="2"/>
        <v>316499705.80080003</v>
      </c>
      <c r="F21" s="4">
        <f t="shared" si="2"/>
        <v>31271</v>
      </c>
      <c r="G21" s="12">
        <f t="shared" si="2"/>
        <v>887317.39</v>
      </c>
      <c r="H21" s="4">
        <f t="shared" si="2"/>
        <v>22290316</v>
      </c>
      <c r="I21" s="12">
        <f t="shared" si="2"/>
        <v>618764633.37</v>
      </c>
      <c r="J21" s="4">
        <f t="shared" si="2"/>
        <v>734253</v>
      </c>
      <c r="K21" s="12">
        <f t="shared" si="2"/>
        <v>19680465.189999998</v>
      </c>
      <c r="L21" s="4">
        <f t="shared" si="2"/>
        <v>96581</v>
      </c>
      <c r="M21" s="12">
        <f t="shared" si="2"/>
        <v>2391919.13</v>
      </c>
      <c r="N21" s="4">
        <f t="shared" si="2"/>
        <v>21</v>
      </c>
      <c r="O21" s="12">
        <f t="shared" si="2"/>
        <v>306.15000000000003</v>
      </c>
      <c r="P21" s="4">
        <f t="shared" si="2"/>
        <v>35107367</v>
      </c>
      <c r="Q21" s="12">
        <f t="shared" si="2"/>
        <v>958224347.03080022</v>
      </c>
    </row>
    <row r="23" spans="1:18" x14ac:dyDescent="0.25">
      <c r="B23" s="5" t="s">
        <v>14</v>
      </c>
    </row>
    <row r="24" spans="1:18" x14ac:dyDescent="0.25">
      <c r="B24" s="5" t="s">
        <v>20</v>
      </c>
    </row>
    <row r="25" spans="1:18" x14ac:dyDescent="0.25">
      <c r="B25" s="5"/>
    </row>
    <row r="26" spans="1:18" x14ac:dyDescent="0.25">
      <c r="D26" s="89" t="s">
        <v>15</v>
      </c>
      <c r="E26" s="90"/>
      <c r="F26" s="89" t="s">
        <v>16</v>
      </c>
      <c r="G26" s="90"/>
      <c r="H26" s="89" t="s">
        <v>17</v>
      </c>
      <c r="I26" s="93"/>
      <c r="J26" s="89" t="s">
        <v>18</v>
      </c>
      <c r="K26" s="93"/>
      <c r="L26" s="89" t="s">
        <v>13</v>
      </c>
      <c r="M26" s="93"/>
      <c r="N26" s="89" t="s">
        <v>34</v>
      </c>
      <c r="O26" s="93"/>
      <c r="P26" s="89" t="s">
        <v>12</v>
      </c>
      <c r="Q26" s="93"/>
    </row>
    <row r="27" spans="1:18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</row>
    <row r="29" spans="1:18" x14ac:dyDescent="0.25">
      <c r="B29" s="2" t="s">
        <v>5</v>
      </c>
      <c r="C29" s="2">
        <v>2017</v>
      </c>
      <c r="D29" s="1">
        <v>1329127</v>
      </c>
      <c r="E29" s="11">
        <v>35750817.800000004</v>
      </c>
      <c r="F29" s="1">
        <v>2249</v>
      </c>
      <c r="G29" s="11">
        <v>73995.930000000008</v>
      </c>
      <c r="H29" s="1">
        <v>1349867</v>
      </c>
      <c r="I29" s="11">
        <v>33502509.429999992</v>
      </c>
      <c r="J29" s="8">
        <v>43055</v>
      </c>
      <c r="K29" s="11">
        <v>1104786.5400000003</v>
      </c>
      <c r="L29" s="8">
        <v>4406</v>
      </c>
      <c r="M29" s="11">
        <v>119096.74000000002</v>
      </c>
      <c r="N29" s="8"/>
      <c r="O29" s="11"/>
      <c r="P29" s="8">
        <f t="shared" ref="P29:P40" si="3">L29+J29+H29+F29+D29+N29</f>
        <v>2728704</v>
      </c>
      <c r="Q29" s="11">
        <f t="shared" ref="Q29:Q40" si="4">M29+K29+I29+G29+E29+O29</f>
        <v>70551206.439999998</v>
      </c>
    </row>
    <row r="30" spans="1:18" x14ac:dyDescent="0.25">
      <c r="B30" s="2" t="s">
        <v>6</v>
      </c>
      <c r="C30" s="2">
        <v>2017</v>
      </c>
      <c r="D30" s="1">
        <v>1297266</v>
      </c>
      <c r="E30" s="11">
        <v>35376366.649999999</v>
      </c>
      <c r="F30" s="1">
        <v>1901</v>
      </c>
      <c r="G30" s="11">
        <v>64539.679999999986</v>
      </c>
      <c r="H30" s="1">
        <v>1340416</v>
      </c>
      <c r="I30" s="11">
        <v>33783421.060000002</v>
      </c>
      <c r="J30" s="8">
        <v>42309</v>
      </c>
      <c r="K30" s="11">
        <v>1098380.93</v>
      </c>
      <c r="L30" s="8">
        <v>4083</v>
      </c>
      <c r="M30" s="11">
        <v>111049.54000000001</v>
      </c>
      <c r="N30" s="8"/>
      <c r="O30" s="11"/>
      <c r="P30" s="8">
        <f t="shared" si="3"/>
        <v>2685975</v>
      </c>
      <c r="Q30" s="11">
        <f t="shared" si="4"/>
        <v>70433757.859999999</v>
      </c>
    </row>
    <row r="31" spans="1:18" x14ac:dyDescent="0.25">
      <c r="B31" s="2" t="s">
        <v>7</v>
      </c>
      <c r="C31" s="2">
        <v>2017</v>
      </c>
      <c r="D31" s="1">
        <v>1451405</v>
      </c>
      <c r="E31" s="11">
        <v>40372885.699999996</v>
      </c>
      <c r="F31" s="1">
        <v>2336</v>
      </c>
      <c r="G31" s="11">
        <v>78418.87</v>
      </c>
      <c r="H31" s="1">
        <v>1524678</v>
      </c>
      <c r="I31" s="11">
        <v>39049887.790000007</v>
      </c>
      <c r="J31" s="8">
        <v>47938</v>
      </c>
      <c r="K31" s="11">
        <v>1284186.5900000001</v>
      </c>
      <c r="L31" s="8">
        <v>4880</v>
      </c>
      <c r="M31" s="11">
        <v>132846.44</v>
      </c>
      <c r="N31" s="8"/>
      <c r="O31" s="11"/>
      <c r="P31" s="8">
        <f t="shared" si="3"/>
        <v>3031237</v>
      </c>
      <c r="Q31" s="11">
        <f t="shared" si="4"/>
        <v>80918225.390000001</v>
      </c>
    </row>
    <row r="32" spans="1:18" x14ac:dyDescent="0.25">
      <c r="B32" s="2" t="s">
        <v>8</v>
      </c>
      <c r="C32" s="2">
        <v>2017</v>
      </c>
      <c r="D32" s="1">
        <v>1163736</v>
      </c>
      <c r="E32" s="11">
        <v>32234048.940000001</v>
      </c>
      <c r="F32" s="1">
        <v>2071</v>
      </c>
      <c r="G32" s="11">
        <v>65910.849999999991</v>
      </c>
      <c r="H32" s="1">
        <v>1272711</v>
      </c>
      <c r="I32" s="11">
        <v>32544148.429999996</v>
      </c>
      <c r="J32" s="8">
        <v>41603</v>
      </c>
      <c r="K32" s="11">
        <v>1108940.1099999999</v>
      </c>
      <c r="L32" s="8">
        <v>4379</v>
      </c>
      <c r="M32" s="11">
        <v>121189.00999999998</v>
      </c>
      <c r="N32" s="8"/>
      <c r="O32" s="11"/>
      <c r="P32" s="8">
        <f t="shared" si="3"/>
        <v>2484500</v>
      </c>
      <c r="Q32" s="11">
        <f t="shared" si="4"/>
        <v>66074237.340000004</v>
      </c>
    </row>
    <row r="33" spans="1:17" x14ac:dyDescent="0.25">
      <c r="B33" s="2" t="s">
        <v>9</v>
      </c>
      <c r="C33" s="2">
        <v>2017</v>
      </c>
      <c r="D33" s="1">
        <v>1385561</v>
      </c>
      <c r="E33" s="11">
        <v>38598904.039999977</v>
      </c>
      <c r="F33" s="1">
        <v>2527</v>
      </c>
      <c r="G33" s="11">
        <v>83451.529999999984</v>
      </c>
      <c r="H33" s="1">
        <v>1527173</v>
      </c>
      <c r="I33" s="11">
        <v>38936699.259999998</v>
      </c>
      <c r="J33" s="8">
        <v>47842</v>
      </c>
      <c r="K33" s="11">
        <v>1267456.3400000001</v>
      </c>
      <c r="L33" s="8">
        <v>5518</v>
      </c>
      <c r="M33" s="11">
        <v>152864.93999999997</v>
      </c>
      <c r="N33" s="8"/>
      <c r="O33" s="11"/>
      <c r="P33" s="8">
        <f t="shared" si="3"/>
        <v>2968621</v>
      </c>
      <c r="Q33" s="11">
        <f t="shared" si="4"/>
        <v>79039376.109999985</v>
      </c>
    </row>
    <row r="34" spans="1:17" x14ac:dyDescent="0.25">
      <c r="B34" s="2" t="s">
        <v>10</v>
      </c>
      <c r="C34" s="2">
        <v>2017</v>
      </c>
      <c r="D34" s="1">
        <v>1378449</v>
      </c>
      <c r="E34" s="11">
        <v>38301521.109999999</v>
      </c>
      <c r="F34" s="1">
        <v>2496</v>
      </c>
      <c r="G34" s="11">
        <v>81219.78</v>
      </c>
      <c r="H34" s="1">
        <v>1528652</v>
      </c>
      <c r="I34" s="11">
        <v>39346949.789999992</v>
      </c>
      <c r="J34" s="8">
        <v>48839</v>
      </c>
      <c r="K34" s="11">
        <v>1318383.52</v>
      </c>
      <c r="L34" s="8">
        <v>5566</v>
      </c>
      <c r="M34" s="11">
        <v>157334.97000000003</v>
      </c>
      <c r="N34" s="8"/>
      <c r="O34" s="11"/>
      <c r="P34" s="8">
        <f t="shared" si="3"/>
        <v>2964002</v>
      </c>
      <c r="Q34" s="11">
        <f t="shared" si="4"/>
        <v>79205409.169999987</v>
      </c>
    </row>
    <row r="35" spans="1:17" x14ac:dyDescent="0.25">
      <c r="B35" s="2" t="s">
        <v>11</v>
      </c>
      <c r="C35" s="2">
        <v>2017</v>
      </c>
      <c r="D35" s="1">
        <v>1282234</v>
      </c>
      <c r="E35" s="11">
        <v>35827543.960000001</v>
      </c>
      <c r="F35" s="1">
        <v>2332</v>
      </c>
      <c r="G35" s="11">
        <v>77738.97</v>
      </c>
      <c r="H35" s="1">
        <v>1448460</v>
      </c>
      <c r="I35" s="11">
        <v>37701586.869999997</v>
      </c>
      <c r="J35" s="8">
        <v>46916</v>
      </c>
      <c r="K35" s="11">
        <v>1281332.4799999997</v>
      </c>
      <c r="L35" s="8">
        <v>5105</v>
      </c>
      <c r="M35" s="11">
        <v>146370.1</v>
      </c>
      <c r="N35" s="8"/>
      <c r="O35" s="11"/>
      <c r="P35" s="8">
        <f t="shared" si="3"/>
        <v>2785047</v>
      </c>
      <c r="Q35" s="11">
        <f t="shared" si="4"/>
        <v>75034572.379999995</v>
      </c>
    </row>
    <row r="36" spans="1:17" x14ac:dyDescent="0.25">
      <c r="B36" s="2" t="s">
        <v>4</v>
      </c>
      <c r="C36" s="2">
        <v>2017</v>
      </c>
      <c r="D36" s="1">
        <v>1404187</v>
      </c>
      <c r="E36" s="11">
        <v>42059084.500000007</v>
      </c>
      <c r="F36" s="1">
        <v>2503</v>
      </c>
      <c r="G36" s="11">
        <v>93835.059999999983</v>
      </c>
      <c r="H36" s="1">
        <v>1590146</v>
      </c>
      <c r="I36" s="11">
        <v>43973552.140000001</v>
      </c>
      <c r="J36" s="8">
        <v>51603</v>
      </c>
      <c r="K36" s="11">
        <v>1497673.3500000003</v>
      </c>
      <c r="L36" s="8">
        <v>5818</v>
      </c>
      <c r="M36" s="11">
        <v>176020.94999999995</v>
      </c>
      <c r="N36" s="8"/>
      <c r="O36" s="11"/>
      <c r="P36" s="8">
        <f t="shared" si="3"/>
        <v>3054257</v>
      </c>
      <c r="Q36" s="11">
        <f t="shared" si="4"/>
        <v>87800166</v>
      </c>
    </row>
    <row r="37" spans="1:17" x14ac:dyDescent="0.25">
      <c r="B37" s="2" t="s">
        <v>28</v>
      </c>
      <c r="C37" s="2">
        <v>2017</v>
      </c>
      <c r="D37" s="1">
        <v>894095</v>
      </c>
      <c r="E37" s="11">
        <v>29740865.349999998</v>
      </c>
      <c r="F37" s="1">
        <v>1697</v>
      </c>
      <c r="G37" s="11">
        <v>69118.119999999981</v>
      </c>
      <c r="H37" s="1">
        <v>1049555</v>
      </c>
      <c r="I37" s="11">
        <v>32327846.930000003</v>
      </c>
      <c r="J37" s="8">
        <v>34394</v>
      </c>
      <c r="K37" s="11">
        <v>1111556.54</v>
      </c>
      <c r="L37" s="8">
        <v>4003</v>
      </c>
      <c r="M37" s="11">
        <v>135393.75999999998</v>
      </c>
      <c r="N37" s="8"/>
      <c r="O37" s="11"/>
      <c r="P37" s="8">
        <f t="shared" si="3"/>
        <v>1983744</v>
      </c>
      <c r="Q37" s="11">
        <f t="shared" si="4"/>
        <v>63384780.700000003</v>
      </c>
    </row>
    <row r="38" spans="1:17" x14ac:dyDescent="0.25">
      <c r="B38" s="2" t="s">
        <v>29</v>
      </c>
      <c r="C38" s="2">
        <v>2017</v>
      </c>
      <c r="D38" s="1">
        <v>1355184</v>
      </c>
      <c r="E38" s="11">
        <v>44897464.740000017</v>
      </c>
      <c r="F38" s="1">
        <v>2475</v>
      </c>
      <c r="G38" s="11">
        <v>97791.960000000021</v>
      </c>
      <c r="H38" s="1">
        <v>1622170</v>
      </c>
      <c r="I38" s="11">
        <v>49761936.570000008</v>
      </c>
      <c r="J38" s="8">
        <v>51632</v>
      </c>
      <c r="K38" s="11">
        <v>1655218.42</v>
      </c>
      <c r="L38" s="8">
        <v>6412</v>
      </c>
      <c r="M38" s="11">
        <v>211661.47000000006</v>
      </c>
      <c r="N38" s="8">
        <v>12</v>
      </c>
      <c r="O38" s="11">
        <v>252.84000000000003</v>
      </c>
      <c r="P38" s="8">
        <f t="shared" si="3"/>
        <v>3037885</v>
      </c>
      <c r="Q38" s="11">
        <f t="shared" si="4"/>
        <v>96624326.00000003</v>
      </c>
    </row>
    <row r="39" spans="1:17" x14ac:dyDescent="0.25">
      <c r="B39" s="2" t="s">
        <v>30</v>
      </c>
      <c r="C39" s="2">
        <v>2017</v>
      </c>
      <c r="D39" s="1">
        <v>1284592</v>
      </c>
      <c r="E39" s="11">
        <v>42688289.99000001</v>
      </c>
      <c r="F39" s="1">
        <v>2383</v>
      </c>
      <c r="G39" s="11">
        <v>95490.589999999982</v>
      </c>
      <c r="H39" s="1">
        <v>1575499</v>
      </c>
      <c r="I39" s="11">
        <v>48842599.890000008</v>
      </c>
      <c r="J39" s="8">
        <v>49039</v>
      </c>
      <c r="K39" s="11">
        <v>1578479.13</v>
      </c>
      <c r="L39" s="8">
        <v>6029</v>
      </c>
      <c r="M39" s="11">
        <v>197480.09000000003</v>
      </c>
      <c r="N39" s="8">
        <v>34</v>
      </c>
      <c r="O39" s="11">
        <v>788.65</v>
      </c>
      <c r="P39" s="8">
        <f t="shared" si="3"/>
        <v>2917576</v>
      </c>
      <c r="Q39" s="11">
        <f t="shared" si="4"/>
        <v>93403128.340000033</v>
      </c>
    </row>
    <row r="40" spans="1:17" x14ac:dyDescent="0.25">
      <c r="B40" s="2" t="s">
        <v>31</v>
      </c>
      <c r="C40" s="2">
        <v>2017</v>
      </c>
      <c r="D40" s="1">
        <v>1165061</v>
      </c>
      <c r="E40" s="11">
        <v>38943228.269999996</v>
      </c>
      <c r="F40" s="1">
        <v>2283</v>
      </c>
      <c r="G40" s="11">
        <v>91576.460000000021</v>
      </c>
      <c r="H40" s="1">
        <v>1494588</v>
      </c>
      <c r="I40" s="11">
        <v>46774722.649999999</v>
      </c>
      <c r="J40" s="8">
        <v>45889</v>
      </c>
      <c r="K40" s="11">
        <v>1496594.9400000002</v>
      </c>
      <c r="L40" s="8">
        <v>5586</v>
      </c>
      <c r="M40" s="11">
        <v>183442.74999999997</v>
      </c>
      <c r="N40" s="8">
        <v>24</v>
      </c>
      <c r="O40" s="11">
        <v>567.56999999999994</v>
      </c>
      <c r="P40" s="8">
        <f t="shared" si="3"/>
        <v>2713431</v>
      </c>
      <c r="Q40" s="11">
        <f t="shared" si="4"/>
        <v>87490132.639999986</v>
      </c>
    </row>
    <row r="42" spans="1:17" x14ac:dyDescent="0.25">
      <c r="B42" s="3" t="s">
        <v>12</v>
      </c>
      <c r="C42" s="3"/>
      <c r="D42" s="4">
        <f t="shared" ref="D42:Q42" si="5">SUM(D29:D41)</f>
        <v>15390897</v>
      </c>
      <c r="E42" s="12">
        <f t="shared" si="5"/>
        <v>454791021.05000007</v>
      </c>
      <c r="F42" s="4">
        <f t="shared" si="5"/>
        <v>27253</v>
      </c>
      <c r="G42" s="12">
        <f t="shared" si="5"/>
        <v>973087.79999999981</v>
      </c>
      <c r="H42" s="4">
        <f t="shared" si="5"/>
        <v>17323915</v>
      </c>
      <c r="I42" s="12">
        <f t="shared" si="5"/>
        <v>476545860.80999994</v>
      </c>
      <c r="J42" s="4">
        <f t="shared" si="5"/>
        <v>551059</v>
      </c>
      <c r="K42" s="12">
        <f t="shared" si="5"/>
        <v>15802988.889999999</v>
      </c>
      <c r="L42" s="4">
        <f t="shared" si="5"/>
        <v>61785</v>
      </c>
      <c r="M42" s="12">
        <f t="shared" si="5"/>
        <v>1844750.76</v>
      </c>
      <c r="N42" s="4">
        <f t="shared" si="5"/>
        <v>70</v>
      </c>
      <c r="O42" s="12">
        <f t="shared" si="5"/>
        <v>1609.06</v>
      </c>
      <c r="P42" s="4">
        <f t="shared" si="5"/>
        <v>33354979</v>
      </c>
      <c r="Q42" s="12">
        <f t="shared" si="5"/>
        <v>949959318.37</v>
      </c>
    </row>
    <row r="44" spans="1:17" x14ac:dyDescent="0.25">
      <c r="B44" s="5" t="s">
        <v>14</v>
      </c>
    </row>
    <row r="45" spans="1:17" x14ac:dyDescent="0.25">
      <c r="B45" s="5" t="s">
        <v>21</v>
      </c>
    </row>
    <row r="46" spans="1:17" x14ac:dyDescent="0.25">
      <c r="B46" s="5"/>
    </row>
    <row r="47" spans="1:17" x14ac:dyDescent="0.25">
      <c r="D47" s="89" t="s">
        <v>15</v>
      </c>
      <c r="E47" s="90"/>
      <c r="F47" s="89" t="s">
        <v>16</v>
      </c>
      <c r="G47" s="90"/>
      <c r="H47" s="89" t="s">
        <v>17</v>
      </c>
      <c r="I47" s="93"/>
      <c r="J47" s="89" t="s">
        <v>18</v>
      </c>
      <c r="K47" s="93"/>
      <c r="L47" s="89" t="s">
        <v>13</v>
      </c>
      <c r="M47" s="93"/>
      <c r="N47" s="89" t="s">
        <v>34</v>
      </c>
      <c r="O47" s="93"/>
      <c r="P47" s="89" t="s">
        <v>12</v>
      </c>
      <c r="Q47" s="93"/>
    </row>
    <row r="48" spans="1:17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</row>
    <row r="50" spans="2:21" x14ac:dyDescent="0.25">
      <c r="B50" s="2" t="s">
        <v>5</v>
      </c>
      <c r="C50" s="2">
        <v>2017</v>
      </c>
      <c r="D50" s="1">
        <v>512133</v>
      </c>
      <c r="E50" s="11">
        <v>17152934</v>
      </c>
      <c r="F50" s="1">
        <v>1225</v>
      </c>
      <c r="G50" s="11">
        <v>40628</v>
      </c>
      <c r="H50" s="1">
        <v>1617995</v>
      </c>
      <c r="I50" s="11">
        <v>52832640</v>
      </c>
      <c r="J50" s="8">
        <v>50781</v>
      </c>
      <c r="K50" s="11">
        <v>1648968</v>
      </c>
      <c r="L50" s="8">
        <v>18363</v>
      </c>
      <c r="M50" s="11">
        <v>593578</v>
      </c>
      <c r="N50" s="8"/>
      <c r="O50" s="11"/>
      <c r="P50" s="8">
        <f t="shared" ref="P50:P61" si="6">L50+J50+H50+F50+D50+N50</f>
        <v>2200497</v>
      </c>
      <c r="Q50" s="14">
        <f t="shared" ref="Q50:Q61" si="7">M50+K50+I50+G50+E50+O50</f>
        <v>72268748</v>
      </c>
      <c r="U50" s="13"/>
    </row>
    <row r="51" spans="2:21" x14ac:dyDescent="0.25">
      <c r="B51" s="2" t="s">
        <v>6</v>
      </c>
      <c r="C51" s="2">
        <v>2017</v>
      </c>
      <c r="D51" s="1">
        <v>512821</v>
      </c>
      <c r="E51" s="11">
        <v>17102116</v>
      </c>
      <c r="F51" s="1">
        <v>1358</v>
      </c>
      <c r="G51" s="11">
        <v>45192</v>
      </c>
      <c r="H51" s="1">
        <v>1621350</v>
      </c>
      <c r="I51" s="11">
        <v>52720872</v>
      </c>
      <c r="J51" s="8">
        <v>51141</v>
      </c>
      <c r="K51" s="11">
        <v>1659764</v>
      </c>
      <c r="L51" s="8">
        <v>18811</v>
      </c>
      <c r="M51" s="11">
        <v>609718</v>
      </c>
      <c r="N51" s="8"/>
      <c r="O51" s="11"/>
      <c r="P51" s="8">
        <f t="shared" si="6"/>
        <v>2205481</v>
      </c>
      <c r="Q51" s="14">
        <f t="shared" si="7"/>
        <v>72137662</v>
      </c>
      <c r="U51" s="13"/>
    </row>
    <row r="52" spans="2:21" x14ac:dyDescent="0.25">
      <c r="B52" s="2" t="s">
        <v>7</v>
      </c>
      <c r="C52" s="2">
        <v>2017</v>
      </c>
      <c r="D52" s="1">
        <v>584884</v>
      </c>
      <c r="E52" s="11">
        <v>19517884</v>
      </c>
      <c r="F52" s="1">
        <v>1703</v>
      </c>
      <c r="G52" s="11">
        <v>56644</v>
      </c>
      <c r="H52" s="1">
        <v>1868141</v>
      </c>
      <c r="I52" s="11">
        <v>60829904</v>
      </c>
      <c r="J52" s="8">
        <v>59747</v>
      </c>
      <c r="K52" s="11">
        <v>1943554</v>
      </c>
      <c r="L52" s="8">
        <v>22188</v>
      </c>
      <c r="M52" s="11">
        <v>719756</v>
      </c>
      <c r="N52" s="8"/>
      <c r="O52" s="11"/>
      <c r="P52" s="8">
        <f t="shared" si="6"/>
        <v>2536663</v>
      </c>
      <c r="Q52" s="14">
        <f t="shared" si="7"/>
        <v>83067742</v>
      </c>
      <c r="U52" s="13"/>
    </row>
    <row r="53" spans="2:21" x14ac:dyDescent="0.25">
      <c r="B53" s="2" t="s">
        <v>8</v>
      </c>
      <c r="C53" s="2">
        <v>2017</v>
      </c>
      <c r="D53" s="1">
        <v>452063</v>
      </c>
      <c r="E53" s="11">
        <v>15389126</v>
      </c>
      <c r="F53" s="1">
        <v>1259</v>
      </c>
      <c r="G53" s="11">
        <v>42631</v>
      </c>
      <c r="H53" s="1">
        <v>1468947</v>
      </c>
      <c r="I53" s="11">
        <v>48783777</v>
      </c>
      <c r="J53" s="8">
        <v>47743</v>
      </c>
      <c r="K53" s="11">
        <v>1581226</v>
      </c>
      <c r="L53" s="8">
        <v>18134</v>
      </c>
      <c r="M53" s="11">
        <v>599316</v>
      </c>
      <c r="N53" s="8"/>
      <c r="O53" s="11"/>
      <c r="P53" s="8">
        <f t="shared" si="6"/>
        <v>1988146</v>
      </c>
      <c r="Q53" s="14">
        <f t="shared" si="7"/>
        <v>66396076</v>
      </c>
      <c r="U53" s="13"/>
    </row>
    <row r="54" spans="2:21" x14ac:dyDescent="0.25">
      <c r="B54" s="2" t="s">
        <v>9</v>
      </c>
      <c r="C54" s="2">
        <v>2017</v>
      </c>
      <c r="D54" s="1">
        <v>542305</v>
      </c>
      <c r="E54" s="11">
        <v>18483436</v>
      </c>
      <c r="F54" s="1">
        <v>1516</v>
      </c>
      <c r="G54" s="11">
        <v>51317</v>
      </c>
      <c r="H54" s="1">
        <v>1788703</v>
      </c>
      <c r="I54" s="11">
        <v>59303343</v>
      </c>
      <c r="J54" s="8">
        <v>57757</v>
      </c>
      <c r="K54" s="11">
        <v>1914334</v>
      </c>
      <c r="L54" s="8">
        <v>21225</v>
      </c>
      <c r="M54" s="11">
        <v>701566</v>
      </c>
      <c r="N54" s="8"/>
      <c r="O54" s="11"/>
      <c r="P54" s="8">
        <f t="shared" si="6"/>
        <v>2411506</v>
      </c>
      <c r="Q54" s="14">
        <f t="shared" si="7"/>
        <v>80453996</v>
      </c>
      <c r="U54" s="13"/>
    </row>
    <row r="55" spans="2:21" x14ac:dyDescent="0.25">
      <c r="B55" s="2" t="s">
        <v>10</v>
      </c>
      <c r="C55" s="2">
        <v>2017</v>
      </c>
      <c r="D55" s="1">
        <v>536472</v>
      </c>
      <c r="E55" s="11">
        <v>18305776</v>
      </c>
      <c r="F55" s="1">
        <v>1349</v>
      </c>
      <c r="G55" s="11">
        <v>46450</v>
      </c>
      <c r="H55" s="1">
        <v>1776827</v>
      </c>
      <c r="I55" s="11">
        <v>58955477</v>
      </c>
      <c r="J55" s="8">
        <v>57507</v>
      </c>
      <c r="K55" s="11">
        <v>1909243</v>
      </c>
      <c r="L55" s="8">
        <v>21794</v>
      </c>
      <c r="M55" s="11">
        <v>719660</v>
      </c>
      <c r="N55" s="8"/>
      <c r="O55" s="11"/>
      <c r="P55" s="8">
        <f t="shared" si="6"/>
        <v>2393949</v>
      </c>
      <c r="Q55" s="14">
        <f t="shared" si="7"/>
        <v>79936606</v>
      </c>
      <c r="U55" s="13"/>
    </row>
    <row r="56" spans="2:21" x14ac:dyDescent="0.25">
      <c r="B56" s="2" t="s">
        <v>11</v>
      </c>
      <c r="C56" s="2">
        <v>2017</v>
      </c>
      <c r="D56" s="1">
        <v>452010</v>
      </c>
      <c r="E56" s="11">
        <v>15402164</v>
      </c>
      <c r="F56" s="1">
        <v>1201</v>
      </c>
      <c r="G56" s="11">
        <v>40383</v>
      </c>
      <c r="H56" s="1">
        <v>1508279</v>
      </c>
      <c r="I56" s="11">
        <v>49941687</v>
      </c>
      <c r="J56" s="8">
        <v>47721</v>
      </c>
      <c r="K56" s="11">
        <v>1583070</v>
      </c>
      <c r="L56" s="8">
        <v>19341</v>
      </c>
      <c r="M56" s="11">
        <v>638804</v>
      </c>
      <c r="N56" s="8"/>
      <c r="O56" s="11"/>
      <c r="P56" s="8">
        <f t="shared" si="6"/>
        <v>2028552</v>
      </c>
      <c r="Q56" s="14">
        <f t="shared" si="7"/>
        <v>67606108</v>
      </c>
      <c r="U56" s="13"/>
    </row>
    <row r="57" spans="2:21" x14ac:dyDescent="0.25">
      <c r="B57" s="2" t="s">
        <v>4</v>
      </c>
      <c r="C57" s="2">
        <v>2017</v>
      </c>
      <c r="D57" s="1">
        <v>537580</v>
      </c>
      <c r="E57" s="11">
        <v>18249606</v>
      </c>
      <c r="F57" s="1">
        <v>1534</v>
      </c>
      <c r="G57" s="11">
        <v>51517</v>
      </c>
      <c r="H57" s="1">
        <v>1811154</v>
      </c>
      <c r="I57" s="11">
        <v>59810031</v>
      </c>
      <c r="J57" s="8">
        <v>58301</v>
      </c>
      <c r="K57" s="11">
        <v>1931452</v>
      </c>
      <c r="L57" s="8">
        <v>22237</v>
      </c>
      <c r="M57" s="11">
        <v>730442</v>
      </c>
      <c r="N57" s="8"/>
      <c r="O57" s="11"/>
      <c r="P57" s="8">
        <f t="shared" si="6"/>
        <v>2430806</v>
      </c>
      <c r="Q57" s="14">
        <f t="shared" si="7"/>
        <v>80773048</v>
      </c>
      <c r="U57" s="13"/>
    </row>
    <row r="58" spans="2:21" x14ac:dyDescent="0.25">
      <c r="B58" s="2" t="s">
        <v>28</v>
      </c>
      <c r="C58" s="2">
        <v>2017</v>
      </c>
      <c r="D58" s="1">
        <v>373779</v>
      </c>
      <c r="E58" s="11">
        <v>12670679</v>
      </c>
      <c r="F58" s="1">
        <v>1006</v>
      </c>
      <c r="G58" s="11">
        <v>34428</v>
      </c>
      <c r="H58" s="1">
        <v>1269391</v>
      </c>
      <c r="I58" s="11">
        <v>41906590</v>
      </c>
      <c r="J58" s="8">
        <v>42415</v>
      </c>
      <c r="K58" s="11">
        <v>1406722</v>
      </c>
      <c r="L58" s="8">
        <v>15315</v>
      </c>
      <c r="M58" s="11">
        <v>503767</v>
      </c>
      <c r="N58" s="8"/>
      <c r="O58" s="11"/>
      <c r="P58" s="8">
        <f t="shared" si="6"/>
        <v>1701906</v>
      </c>
      <c r="Q58" s="11">
        <f t="shared" si="7"/>
        <v>56522186</v>
      </c>
      <c r="U58" s="13"/>
    </row>
    <row r="59" spans="2:21" x14ac:dyDescent="0.25">
      <c r="B59" s="2" t="s">
        <v>29</v>
      </c>
      <c r="C59" s="2">
        <v>2017</v>
      </c>
      <c r="D59" s="1">
        <v>584071</v>
      </c>
      <c r="E59" s="11">
        <v>19865696</v>
      </c>
      <c r="F59" s="1">
        <v>1682</v>
      </c>
      <c r="G59" s="11">
        <v>57544</v>
      </c>
      <c r="H59" s="1">
        <v>1972730</v>
      </c>
      <c r="I59" s="11">
        <v>65227228</v>
      </c>
      <c r="J59" s="8">
        <v>63552</v>
      </c>
      <c r="K59" s="11">
        <v>2100109</v>
      </c>
      <c r="L59" s="8">
        <v>26167</v>
      </c>
      <c r="M59" s="11">
        <v>863485</v>
      </c>
      <c r="N59" s="8">
        <v>9</v>
      </c>
      <c r="O59" s="11">
        <v>330</v>
      </c>
      <c r="P59" s="8">
        <f t="shared" si="6"/>
        <v>2648211</v>
      </c>
      <c r="Q59" s="11">
        <f t="shared" si="7"/>
        <v>88114392</v>
      </c>
      <c r="U59" s="13"/>
    </row>
    <row r="60" spans="2:21" x14ac:dyDescent="0.25">
      <c r="B60" s="2" t="s">
        <v>30</v>
      </c>
      <c r="C60" s="2">
        <v>2017</v>
      </c>
      <c r="D60" s="1">
        <v>532697</v>
      </c>
      <c r="E60" s="11">
        <v>17981501</v>
      </c>
      <c r="F60" s="1">
        <v>1596</v>
      </c>
      <c r="G60" s="11">
        <v>54974</v>
      </c>
      <c r="H60" s="1">
        <v>1836473</v>
      </c>
      <c r="I60" s="11">
        <v>60416243</v>
      </c>
      <c r="J60" s="8">
        <v>59639</v>
      </c>
      <c r="K60" s="11">
        <v>1960006</v>
      </c>
      <c r="L60" s="8">
        <v>24245</v>
      </c>
      <c r="M60" s="11">
        <v>798053</v>
      </c>
      <c r="N60" s="8">
        <v>28</v>
      </c>
      <c r="O60" s="11">
        <v>1063</v>
      </c>
      <c r="P60" s="8">
        <f t="shared" si="6"/>
        <v>2454678</v>
      </c>
      <c r="Q60" s="11">
        <f t="shared" si="7"/>
        <v>81211840</v>
      </c>
      <c r="U60" s="13"/>
    </row>
    <row r="61" spans="2:21" x14ac:dyDescent="0.25">
      <c r="B61" s="2" t="s">
        <v>31</v>
      </c>
      <c r="C61" s="2">
        <v>2017</v>
      </c>
      <c r="D61" s="1">
        <v>516151</v>
      </c>
      <c r="E61" s="11">
        <v>17305852</v>
      </c>
      <c r="F61" s="1">
        <v>1318</v>
      </c>
      <c r="G61" s="11">
        <v>45218</v>
      </c>
      <c r="H61" s="1">
        <v>1810218</v>
      </c>
      <c r="I61" s="11">
        <v>59508075</v>
      </c>
      <c r="J61" s="8">
        <v>57360</v>
      </c>
      <c r="K61" s="11">
        <v>1886762</v>
      </c>
      <c r="L61" s="8">
        <v>22608</v>
      </c>
      <c r="M61" s="11">
        <v>742502</v>
      </c>
      <c r="N61" s="8">
        <v>19</v>
      </c>
      <c r="O61" s="11">
        <v>753</v>
      </c>
      <c r="P61" s="8">
        <f t="shared" si="6"/>
        <v>2407674</v>
      </c>
      <c r="Q61" s="11">
        <f t="shared" si="7"/>
        <v>79489162</v>
      </c>
      <c r="U61" s="13"/>
    </row>
    <row r="63" spans="2:21" x14ac:dyDescent="0.25">
      <c r="B63" s="3" t="s">
        <v>12</v>
      </c>
      <c r="C63" s="3"/>
      <c r="D63" s="4">
        <f t="shared" ref="D63:Q63" si="8">SUM(D50:D62)</f>
        <v>6136966</v>
      </c>
      <c r="E63" s="12">
        <f t="shared" si="8"/>
        <v>207426770</v>
      </c>
      <c r="F63" s="4">
        <f t="shared" si="8"/>
        <v>16747</v>
      </c>
      <c r="G63" s="12">
        <f t="shared" si="8"/>
        <v>566926</v>
      </c>
      <c r="H63" s="4">
        <f t="shared" si="8"/>
        <v>20350208</v>
      </c>
      <c r="I63" s="12">
        <f t="shared" si="8"/>
        <v>670235867</v>
      </c>
      <c r="J63" s="4">
        <f t="shared" si="8"/>
        <v>653664</v>
      </c>
      <c r="K63" s="12">
        <f t="shared" si="8"/>
        <v>21525210</v>
      </c>
      <c r="L63" s="4">
        <f t="shared" si="8"/>
        <v>250428</v>
      </c>
      <c r="M63" s="12">
        <f t="shared" si="8"/>
        <v>8220647</v>
      </c>
      <c r="N63" s="4">
        <f t="shared" si="8"/>
        <v>56</v>
      </c>
      <c r="O63" s="12">
        <f t="shared" si="8"/>
        <v>2146</v>
      </c>
      <c r="P63" s="4">
        <f t="shared" si="8"/>
        <v>27408069</v>
      </c>
      <c r="Q63" s="12">
        <f t="shared" si="8"/>
        <v>907977566</v>
      </c>
    </row>
    <row r="65" spans="1:20" x14ac:dyDescent="0.25">
      <c r="B65" s="5" t="s">
        <v>14</v>
      </c>
    </row>
    <row r="66" spans="1:20" x14ac:dyDescent="0.25">
      <c r="B66" s="5" t="s">
        <v>22</v>
      </c>
    </row>
    <row r="67" spans="1:20" x14ac:dyDescent="0.25">
      <c r="B67" s="5"/>
    </row>
    <row r="68" spans="1:20" x14ac:dyDescent="0.25">
      <c r="D68" s="89" t="s">
        <v>15</v>
      </c>
      <c r="E68" s="90"/>
      <c r="F68" s="89" t="s">
        <v>16</v>
      </c>
      <c r="G68" s="90"/>
      <c r="H68" s="89" t="s">
        <v>17</v>
      </c>
      <c r="I68" s="93"/>
      <c r="J68" s="89" t="s">
        <v>18</v>
      </c>
      <c r="K68" s="93"/>
      <c r="L68" s="89" t="s">
        <v>13</v>
      </c>
      <c r="M68" s="93"/>
      <c r="N68" s="89" t="s">
        <v>34</v>
      </c>
      <c r="O68" s="93"/>
      <c r="P68" s="89" t="s">
        <v>12</v>
      </c>
      <c r="Q68" s="93"/>
    </row>
    <row r="69" spans="1:20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</row>
    <row r="71" spans="1:20" x14ac:dyDescent="0.25">
      <c r="B71" s="2" t="s">
        <v>5</v>
      </c>
      <c r="C71" s="2">
        <v>2017</v>
      </c>
      <c r="D71" s="1">
        <v>753263</v>
      </c>
      <c r="E71" s="11">
        <v>25244780</v>
      </c>
      <c r="F71" s="1">
        <v>17198</v>
      </c>
      <c r="G71" s="11">
        <v>1528438</v>
      </c>
      <c r="H71" s="1">
        <v>1622776</v>
      </c>
      <c r="I71" s="11">
        <v>107408741</v>
      </c>
      <c r="J71" s="8">
        <v>204049</v>
      </c>
      <c r="K71" s="11">
        <v>17279638</v>
      </c>
      <c r="L71" s="8">
        <v>39286</v>
      </c>
      <c r="M71" s="11">
        <v>2654206</v>
      </c>
      <c r="N71" s="8"/>
      <c r="O71" s="11"/>
      <c r="P71" s="8">
        <f t="shared" ref="P71:P79" si="9">L71+J71+H71+F71+D71+N71</f>
        <v>2636572</v>
      </c>
      <c r="Q71" s="14">
        <f t="shared" ref="Q71:Q82" si="10">M71+K71+I71+G71+E71+O71</f>
        <v>154115803</v>
      </c>
    </row>
    <row r="72" spans="1:20" x14ac:dyDescent="0.25">
      <c r="B72" s="2" t="s">
        <v>6</v>
      </c>
      <c r="C72" s="2">
        <v>2017</v>
      </c>
      <c r="D72" s="1">
        <v>708242</v>
      </c>
      <c r="E72" s="11">
        <v>24114007</v>
      </c>
      <c r="F72" s="1">
        <v>16045</v>
      </c>
      <c r="G72" s="11">
        <v>1435232</v>
      </c>
      <c r="H72" s="1">
        <v>1555781</v>
      </c>
      <c r="I72" s="11">
        <v>103586625</v>
      </c>
      <c r="J72" s="8">
        <v>190893</v>
      </c>
      <c r="K72" s="11">
        <v>16389921</v>
      </c>
      <c r="L72" s="8">
        <v>37981</v>
      </c>
      <c r="M72" s="11">
        <v>2580161</v>
      </c>
      <c r="N72" s="8"/>
      <c r="O72" s="11"/>
      <c r="P72" s="8">
        <f t="shared" si="9"/>
        <v>2508942</v>
      </c>
      <c r="Q72" s="14">
        <f t="shared" si="10"/>
        <v>148105946</v>
      </c>
    </row>
    <row r="73" spans="1:20" x14ac:dyDescent="0.25">
      <c r="B73" s="2" t="s">
        <v>7</v>
      </c>
      <c r="C73" s="2">
        <v>2017</v>
      </c>
      <c r="D73" s="1">
        <v>760723</v>
      </c>
      <c r="E73" s="11">
        <v>26611693</v>
      </c>
      <c r="F73" s="1">
        <v>17870</v>
      </c>
      <c r="G73" s="11">
        <v>1562391</v>
      </c>
      <c r="H73" s="1">
        <v>1784829</v>
      </c>
      <c r="I73" s="11">
        <v>120168235</v>
      </c>
      <c r="J73" s="8">
        <v>219826</v>
      </c>
      <c r="K73" s="11">
        <v>19061365</v>
      </c>
      <c r="L73" s="8">
        <v>44389</v>
      </c>
      <c r="M73" s="11">
        <v>3099141</v>
      </c>
      <c r="N73" s="8"/>
      <c r="O73" s="11"/>
      <c r="P73" s="8">
        <f t="shared" si="9"/>
        <v>2827637</v>
      </c>
      <c r="Q73" s="14">
        <f t="shared" si="10"/>
        <v>170502825</v>
      </c>
    </row>
    <row r="74" spans="1:20" x14ac:dyDescent="0.25">
      <c r="B74" s="2" t="s">
        <v>8</v>
      </c>
      <c r="C74" s="2">
        <v>2017</v>
      </c>
      <c r="D74" s="1">
        <v>679224</v>
      </c>
      <c r="E74" s="11">
        <v>24421632</v>
      </c>
      <c r="F74" s="1">
        <v>15724</v>
      </c>
      <c r="G74" s="11">
        <v>1383513</v>
      </c>
      <c r="H74" s="1">
        <v>1653335</v>
      </c>
      <c r="I74" s="11">
        <v>110255113</v>
      </c>
      <c r="J74" s="8">
        <v>204273</v>
      </c>
      <c r="K74" s="11">
        <v>17924700</v>
      </c>
      <c r="L74" s="8">
        <v>40774</v>
      </c>
      <c r="M74" s="11">
        <v>2827982</v>
      </c>
      <c r="N74" s="8"/>
      <c r="O74" s="11"/>
      <c r="P74" s="8">
        <f t="shared" si="9"/>
        <v>2593330</v>
      </c>
      <c r="Q74" s="14">
        <f t="shared" si="10"/>
        <v>156812940</v>
      </c>
    </row>
    <row r="75" spans="1:20" x14ac:dyDescent="0.25">
      <c r="B75" s="2" t="s">
        <v>9</v>
      </c>
      <c r="C75" s="2">
        <v>2017</v>
      </c>
      <c r="D75" s="1">
        <v>727834</v>
      </c>
      <c r="E75" s="11">
        <v>25648186</v>
      </c>
      <c r="F75" s="1">
        <v>17996</v>
      </c>
      <c r="G75" s="11">
        <v>1526258</v>
      </c>
      <c r="H75" s="1">
        <v>1812551</v>
      </c>
      <c r="I75" s="11">
        <v>121082488</v>
      </c>
      <c r="J75" s="8">
        <v>221789</v>
      </c>
      <c r="K75" s="11">
        <v>19386234</v>
      </c>
      <c r="L75" s="8">
        <v>43493</v>
      </c>
      <c r="M75" s="11">
        <v>3024020</v>
      </c>
      <c r="N75" s="8"/>
      <c r="O75" s="11"/>
      <c r="P75" s="8">
        <f t="shared" si="9"/>
        <v>2823663</v>
      </c>
      <c r="Q75" s="14">
        <f t="shared" si="10"/>
        <v>170667186</v>
      </c>
      <c r="S75" s="9">
        <v>943545.02586206899</v>
      </c>
      <c r="T75" s="26">
        <f>+S75/I75</f>
        <v>7.7925804255200718E-3</v>
      </c>
    </row>
    <row r="76" spans="1:20" x14ac:dyDescent="0.25">
      <c r="B76" s="2" t="s">
        <v>10</v>
      </c>
      <c r="C76" s="2">
        <v>2017</v>
      </c>
      <c r="D76" s="1">
        <v>724231</v>
      </c>
      <c r="E76" s="11">
        <v>25309134</v>
      </c>
      <c r="F76" s="1">
        <v>18057</v>
      </c>
      <c r="G76" s="11">
        <v>1539632</v>
      </c>
      <c r="H76" s="1">
        <v>1784045</v>
      </c>
      <c r="I76" s="11">
        <v>120127174</v>
      </c>
      <c r="J76" s="8">
        <v>218556</v>
      </c>
      <c r="K76" s="11">
        <v>18801633</v>
      </c>
      <c r="L76" s="8">
        <v>55082</v>
      </c>
      <c r="M76" s="11">
        <v>3744707</v>
      </c>
      <c r="N76" s="8"/>
      <c r="O76" s="11"/>
      <c r="P76" s="8">
        <f t="shared" si="9"/>
        <v>2799971</v>
      </c>
      <c r="Q76" s="14">
        <f t="shared" si="10"/>
        <v>169522280</v>
      </c>
      <c r="S76" s="9">
        <v>969921.92241379316</v>
      </c>
      <c r="T76" s="26">
        <f t="shared" ref="T76:T82" si="11">+S76/I76</f>
        <v>8.0741258627610203E-3</v>
      </c>
    </row>
    <row r="77" spans="1:20" x14ac:dyDescent="0.25">
      <c r="B77" s="2" t="s">
        <v>11</v>
      </c>
      <c r="C77" s="2">
        <v>2017</v>
      </c>
      <c r="D77" s="1">
        <v>718397</v>
      </c>
      <c r="E77" s="11">
        <v>25543909</v>
      </c>
      <c r="F77" s="1">
        <v>17681</v>
      </c>
      <c r="G77" s="11">
        <v>1546262</v>
      </c>
      <c r="H77" s="1">
        <v>1795750</v>
      </c>
      <c r="I77" s="11">
        <v>121857124</v>
      </c>
      <c r="J77" s="8">
        <v>222119</v>
      </c>
      <c r="K77" s="11">
        <v>19468996</v>
      </c>
      <c r="L77" s="8">
        <v>80820</v>
      </c>
      <c r="M77" s="11">
        <v>5397919</v>
      </c>
      <c r="N77" s="8"/>
      <c r="O77" s="11"/>
      <c r="P77" s="8">
        <f t="shared" si="9"/>
        <v>2834767</v>
      </c>
      <c r="Q77" s="14">
        <f t="shared" si="10"/>
        <v>173814210</v>
      </c>
      <c r="S77" s="9">
        <v>858502.91379310354</v>
      </c>
      <c r="T77" s="26">
        <f t="shared" si="11"/>
        <v>7.0451598200619234E-3</v>
      </c>
    </row>
    <row r="78" spans="1:20" x14ac:dyDescent="0.25">
      <c r="B78" s="2" t="s">
        <v>4</v>
      </c>
      <c r="C78" s="2">
        <v>2017</v>
      </c>
      <c r="D78" s="1">
        <v>725501</v>
      </c>
      <c r="E78" s="11">
        <v>26339384</v>
      </c>
      <c r="F78" s="1">
        <v>19003</v>
      </c>
      <c r="G78" s="11">
        <v>1618275</v>
      </c>
      <c r="H78" s="1">
        <v>1910046</v>
      </c>
      <c r="I78" s="11">
        <v>130745767</v>
      </c>
      <c r="J78" s="8">
        <v>228647</v>
      </c>
      <c r="K78" s="11">
        <v>20589379</v>
      </c>
      <c r="L78" s="8">
        <v>53863</v>
      </c>
      <c r="M78" s="11">
        <v>3905769</v>
      </c>
      <c r="N78" s="8"/>
      <c r="O78" s="11"/>
      <c r="P78" s="8">
        <f t="shared" si="9"/>
        <v>2937060</v>
      </c>
      <c r="Q78" s="14">
        <f t="shared" si="10"/>
        <v>183198574</v>
      </c>
      <c r="S78" s="9">
        <v>1075685.6637931035</v>
      </c>
      <c r="T78" s="26">
        <f t="shared" si="11"/>
        <v>8.227307762805839E-3</v>
      </c>
    </row>
    <row r="79" spans="1:20" x14ac:dyDescent="0.25">
      <c r="B79" s="2" t="s">
        <v>28</v>
      </c>
      <c r="C79" s="2">
        <v>2017</v>
      </c>
      <c r="D79" s="1">
        <v>506475</v>
      </c>
      <c r="E79" s="11">
        <v>19174634</v>
      </c>
      <c r="F79" s="1">
        <v>12932</v>
      </c>
      <c r="G79" s="11">
        <v>1224066</v>
      </c>
      <c r="H79" s="1">
        <v>1338058</v>
      </c>
      <c r="I79" s="11">
        <v>98046466</v>
      </c>
      <c r="J79" s="8">
        <v>164799</v>
      </c>
      <c r="K79" s="11">
        <v>15779392</v>
      </c>
      <c r="L79" s="8">
        <v>37822</v>
      </c>
      <c r="M79" s="11">
        <v>2984977</v>
      </c>
      <c r="N79" s="8"/>
      <c r="O79" s="11"/>
      <c r="P79" s="8">
        <f t="shared" si="9"/>
        <v>2060086</v>
      </c>
      <c r="Q79" s="11">
        <f t="shared" si="10"/>
        <v>137209535</v>
      </c>
      <c r="R79" s="13"/>
      <c r="S79" s="9">
        <v>799540.85344827594</v>
      </c>
      <c r="T79" s="26">
        <f t="shared" si="11"/>
        <v>8.1547136380038E-3</v>
      </c>
    </row>
    <row r="80" spans="1:20" x14ac:dyDescent="0.25">
      <c r="B80" s="2" t="s">
        <v>29</v>
      </c>
      <c r="C80" s="2">
        <v>2017</v>
      </c>
      <c r="D80" s="1">
        <v>744924</v>
      </c>
      <c r="E80" s="11">
        <v>27672335</v>
      </c>
      <c r="F80" s="1">
        <v>19606</v>
      </c>
      <c r="G80" s="11">
        <v>1740973</v>
      </c>
      <c r="H80" s="1">
        <v>1924710</v>
      </c>
      <c r="I80" s="11">
        <v>134619056</v>
      </c>
      <c r="J80" s="8">
        <v>237550</v>
      </c>
      <c r="K80" s="11">
        <v>21353287</v>
      </c>
      <c r="L80" s="8">
        <v>58998</v>
      </c>
      <c r="M80" s="11">
        <v>4344510</v>
      </c>
      <c r="N80" s="8">
        <v>1131</v>
      </c>
      <c r="O80" s="11">
        <v>91476</v>
      </c>
      <c r="P80" s="8">
        <f>L80+J80+H80+F80+D80+N80</f>
        <v>2986919</v>
      </c>
      <c r="Q80" s="11">
        <f t="shared" si="10"/>
        <v>189821637</v>
      </c>
      <c r="S80" s="9">
        <v>1074708.4224137932</v>
      </c>
      <c r="T80" s="26">
        <f t="shared" si="11"/>
        <v>7.9833305502736047E-3</v>
      </c>
    </row>
    <row r="81" spans="1:22" x14ac:dyDescent="0.25">
      <c r="B81" s="2" t="s">
        <v>30</v>
      </c>
      <c r="C81" s="2">
        <v>2017</v>
      </c>
      <c r="D81" s="1">
        <v>722502</v>
      </c>
      <c r="E81" s="11">
        <v>26953190</v>
      </c>
      <c r="F81" s="1">
        <v>16923</v>
      </c>
      <c r="G81" s="11">
        <v>1462741</v>
      </c>
      <c r="H81" s="1">
        <v>1921065</v>
      </c>
      <c r="I81" s="11">
        <v>134207692</v>
      </c>
      <c r="J81" s="8">
        <v>236225</v>
      </c>
      <c r="K81" s="11">
        <v>21041936</v>
      </c>
      <c r="L81" s="8">
        <v>66233</v>
      </c>
      <c r="M81" s="11">
        <v>4899386</v>
      </c>
      <c r="N81" s="8">
        <v>1732</v>
      </c>
      <c r="O81" s="11">
        <v>133597</v>
      </c>
      <c r="P81" s="8">
        <f>L81+J81+H81+F81+D81+N81</f>
        <v>2964680</v>
      </c>
      <c r="Q81" s="11">
        <f t="shared" si="10"/>
        <v>188698542</v>
      </c>
      <c r="S81" s="9">
        <v>1071211.4827586208</v>
      </c>
      <c r="T81" s="26">
        <f t="shared" si="11"/>
        <v>7.9817443158073289E-3</v>
      </c>
    </row>
    <row r="82" spans="1:22" x14ac:dyDescent="0.25">
      <c r="B82" s="2" t="s">
        <v>31</v>
      </c>
      <c r="C82" s="2">
        <v>2017</v>
      </c>
      <c r="D82" s="1">
        <v>751771</v>
      </c>
      <c r="E82" s="11">
        <v>28247212</v>
      </c>
      <c r="F82" s="1">
        <v>16620</v>
      </c>
      <c r="G82" s="11">
        <v>1385250</v>
      </c>
      <c r="H82" s="1">
        <v>1929258</v>
      </c>
      <c r="I82" s="11">
        <v>132562470</v>
      </c>
      <c r="J82" s="8">
        <v>242557</v>
      </c>
      <c r="K82" s="11">
        <v>21824769</v>
      </c>
      <c r="L82" s="8">
        <v>60357</v>
      </c>
      <c r="M82" s="11">
        <v>4244764</v>
      </c>
      <c r="N82" s="8">
        <v>1234</v>
      </c>
      <c r="O82" s="11">
        <v>95345</v>
      </c>
      <c r="P82" s="8">
        <f>L82+J82+H82+F82+D82+N82</f>
        <v>3001797</v>
      </c>
      <c r="Q82" s="11">
        <f t="shared" si="10"/>
        <v>188359810</v>
      </c>
      <c r="S82" s="9">
        <v>1049658.801724138</v>
      </c>
      <c r="T82" s="26">
        <f t="shared" si="11"/>
        <v>7.918220003928245E-3</v>
      </c>
    </row>
    <row r="84" spans="1:22" x14ac:dyDescent="0.25">
      <c r="B84" s="3" t="s">
        <v>12</v>
      </c>
      <c r="C84" s="3"/>
      <c r="D84" s="4">
        <f t="shared" ref="D84:J84" si="12">SUM(D71:D83)</f>
        <v>8523087</v>
      </c>
      <c r="E84" s="12">
        <f t="shared" si="12"/>
        <v>305280096</v>
      </c>
      <c r="F84" s="4">
        <f t="shared" si="12"/>
        <v>205655</v>
      </c>
      <c r="G84" s="12">
        <f t="shared" si="12"/>
        <v>17953031</v>
      </c>
      <c r="H84" s="4">
        <f t="shared" si="12"/>
        <v>21032204</v>
      </c>
      <c r="I84" s="12">
        <f t="shared" si="12"/>
        <v>1434666951</v>
      </c>
      <c r="J84" s="4">
        <f t="shared" si="12"/>
        <v>2591283</v>
      </c>
      <c r="K84" s="12">
        <f>SUM(K71:K83)</f>
        <v>228901250</v>
      </c>
      <c r="L84" s="4">
        <f t="shared" ref="L84:Q84" si="13">SUM(L71:L83)</f>
        <v>619098</v>
      </c>
      <c r="M84" s="12">
        <f t="shared" si="13"/>
        <v>43707542</v>
      </c>
      <c r="N84" s="4">
        <f t="shared" si="13"/>
        <v>4097</v>
      </c>
      <c r="O84" s="12">
        <f t="shared" si="13"/>
        <v>320418</v>
      </c>
      <c r="P84" s="4">
        <f t="shared" si="13"/>
        <v>32975424</v>
      </c>
      <c r="Q84" s="12">
        <f t="shared" si="13"/>
        <v>2030829288</v>
      </c>
    </row>
    <row r="86" spans="1:22" x14ac:dyDescent="0.25">
      <c r="B86" s="5" t="s">
        <v>14</v>
      </c>
    </row>
    <row r="87" spans="1:22" x14ac:dyDescent="0.25">
      <c r="B87" s="5" t="s">
        <v>32</v>
      </c>
    </row>
    <row r="88" spans="1:22" x14ac:dyDescent="0.25">
      <c r="B88" s="5"/>
    </row>
    <row r="89" spans="1:22" x14ac:dyDescent="0.25">
      <c r="D89" s="89" t="s">
        <v>15</v>
      </c>
      <c r="E89" s="90"/>
      <c r="F89" s="89" t="s">
        <v>16</v>
      </c>
      <c r="G89" s="90"/>
      <c r="H89" s="89" t="s">
        <v>17</v>
      </c>
      <c r="I89" s="93"/>
      <c r="J89" s="89" t="s">
        <v>18</v>
      </c>
      <c r="K89" s="93"/>
      <c r="L89" s="89" t="s">
        <v>13</v>
      </c>
      <c r="M89" s="93"/>
      <c r="N89" s="89" t="s">
        <v>34</v>
      </c>
      <c r="O89" s="93"/>
      <c r="P89" s="89" t="s">
        <v>12</v>
      </c>
      <c r="Q89" s="93"/>
    </row>
    <row r="90" spans="1:22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</row>
    <row r="92" spans="1:22" x14ac:dyDescent="0.25">
      <c r="B92" s="2" t="s">
        <v>5</v>
      </c>
      <c r="C92" s="2">
        <v>2017</v>
      </c>
      <c r="D92" s="1">
        <v>9305</v>
      </c>
      <c r="E92" s="11">
        <v>724218</v>
      </c>
      <c r="F92" s="1">
        <v>947</v>
      </c>
      <c r="G92" s="11">
        <v>162305</v>
      </c>
      <c r="H92" s="1">
        <v>164581</v>
      </c>
      <c r="I92" s="11">
        <v>24757272</v>
      </c>
      <c r="J92" s="8">
        <v>22248</v>
      </c>
      <c r="K92" s="11">
        <v>3822745</v>
      </c>
      <c r="L92" s="8">
        <v>2954</v>
      </c>
      <c r="M92" s="11">
        <v>418611</v>
      </c>
      <c r="N92" s="11"/>
      <c r="O92" s="11"/>
      <c r="P92" s="8">
        <f t="shared" ref="P92:P103" si="14">L92+J92+H92+F92+D92+N92</f>
        <v>200035</v>
      </c>
      <c r="Q92" s="14">
        <f t="shared" ref="Q92:Q103" si="15">M92+K92+I92+G92+E92+O92</f>
        <v>29885151</v>
      </c>
    </row>
    <row r="93" spans="1:22" x14ac:dyDescent="0.25">
      <c r="B93" s="2" t="s">
        <v>6</v>
      </c>
      <c r="C93" s="2">
        <v>2017</v>
      </c>
      <c r="D93" s="1">
        <v>8402</v>
      </c>
      <c r="E93" s="11">
        <v>662036</v>
      </c>
      <c r="F93" s="1">
        <v>1006</v>
      </c>
      <c r="G93" s="11">
        <v>172594</v>
      </c>
      <c r="H93" s="1">
        <v>156551</v>
      </c>
      <c r="I93" s="11">
        <v>23899002</v>
      </c>
      <c r="J93" s="8">
        <v>21111</v>
      </c>
      <c r="K93" s="11">
        <v>3698688</v>
      </c>
      <c r="L93" s="8">
        <v>2976</v>
      </c>
      <c r="M93" s="11">
        <v>445341</v>
      </c>
      <c r="N93" s="11"/>
      <c r="O93" s="11"/>
      <c r="P93" s="8">
        <f t="shared" si="14"/>
        <v>190046</v>
      </c>
      <c r="Q93" s="14">
        <f t="shared" si="15"/>
        <v>28877661</v>
      </c>
    </row>
    <row r="94" spans="1:22" x14ac:dyDescent="0.25">
      <c r="B94" s="2" t="s">
        <v>7</v>
      </c>
      <c r="C94" s="2">
        <v>2017</v>
      </c>
      <c r="D94" s="1">
        <v>9538</v>
      </c>
      <c r="E94" s="11">
        <v>773629</v>
      </c>
      <c r="F94" s="1">
        <v>1207</v>
      </c>
      <c r="G94" s="11">
        <v>201199</v>
      </c>
      <c r="H94" s="1">
        <v>183411</v>
      </c>
      <c r="I94" s="11">
        <v>27821582</v>
      </c>
      <c r="J94" s="8">
        <v>24095</v>
      </c>
      <c r="K94" s="11">
        <v>4197472</v>
      </c>
      <c r="L94" s="8">
        <v>3387</v>
      </c>
      <c r="M94" s="11">
        <v>503129</v>
      </c>
      <c r="N94" s="11"/>
      <c r="O94" s="11"/>
      <c r="P94" s="8">
        <f t="shared" si="14"/>
        <v>221638</v>
      </c>
      <c r="Q94" s="14">
        <f t="shared" si="15"/>
        <v>33497011</v>
      </c>
    </row>
    <row r="95" spans="1:22" x14ac:dyDescent="0.25">
      <c r="B95" s="2" t="s">
        <v>8</v>
      </c>
      <c r="C95" s="2">
        <v>2017</v>
      </c>
      <c r="D95" s="1">
        <v>12068</v>
      </c>
      <c r="E95" s="11">
        <v>882406</v>
      </c>
      <c r="F95" s="1">
        <v>1200</v>
      </c>
      <c r="G95" s="11">
        <v>203306</v>
      </c>
      <c r="H95" s="1">
        <v>182895</v>
      </c>
      <c r="I95" s="11">
        <v>26150169</v>
      </c>
      <c r="J95" s="8">
        <v>23896</v>
      </c>
      <c r="K95" s="11">
        <v>4083288</v>
      </c>
      <c r="L95" s="8">
        <v>3379</v>
      </c>
      <c r="M95" s="11">
        <v>478672</v>
      </c>
      <c r="N95" s="11"/>
      <c r="O95" s="11"/>
      <c r="P95" s="8">
        <f t="shared" si="14"/>
        <v>223438</v>
      </c>
      <c r="Q95" s="14">
        <f t="shared" si="15"/>
        <v>31797841</v>
      </c>
    </row>
    <row r="96" spans="1:22" x14ac:dyDescent="0.25">
      <c r="B96" s="2" t="s">
        <v>9</v>
      </c>
      <c r="C96" s="2">
        <v>2017</v>
      </c>
      <c r="D96" s="1">
        <v>9564</v>
      </c>
      <c r="E96" s="11">
        <v>751473</v>
      </c>
      <c r="F96" s="1">
        <v>1285</v>
      </c>
      <c r="G96" s="11">
        <v>214885</v>
      </c>
      <c r="H96" s="1">
        <v>189398</v>
      </c>
      <c r="I96" s="11">
        <v>28157931</v>
      </c>
      <c r="J96" s="8">
        <v>23965</v>
      </c>
      <c r="K96" s="11">
        <v>4122975</v>
      </c>
      <c r="L96" s="8">
        <v>3770</v>
      </c>
      <c r="M96" s="11">
        <v>544719</v>
      </c>
      <c r="N96" s="11"/>
      <c r="O96" s="11"/>
      <c r="P96" s="8">
        <f t="shared" si="14"/>
        <v>227982</v>
      </c>
      <c r="Q96" s="14">
        <f t="shared" si="15"/>
        <v>33791983</v>
      </c>
      <c r="S96" s="9">
        <v>138707.14000000001</v>
      </c>
      <c r="T96" s="9">
        <f>+S96/H96</f>
        <v>0.73235799744453489</v>
      </c>
      <c r="U96" s="9">
        <v>238255.89</v>
      </c>
      <c r="V96" s="26">
        <f>+U96/I96</f>
        <v>8.4614132338061351E-3</v>
      </c>
    </row>
    <row r="97" spans="1:22" x14ac:dyDescent="0.25">
      <c r="B97" s="2" t="s">
        <v>10</v>
      </c>
      <c r="C97" s="2">
        <v>2017</v>
      </c>
      <c r="D97" s="1">
        <v>9271</v>
      </c>
      <c r="E97" s="11">
        <v>733888</v>
      </c>
      <c r="F97" s="1">
        <v>1133</v>
      </c>
      <c r="G97" s="11">
        <v>186547</v>
      </c>
      <c r="H97" s="1">
        <v>190665</v>
      </c>
      <c r="I97" s="11">
        <v>28172027</v>
      </c>
      <c r="J97" s="8">
        <v>23385</v>
      </c>
      <c r="K97" s="11">
        <v>3916652</v>
      </c>
      <c r="L97" s="8">
        <v>4203</v>
      </c>
      <c r="M97" s="11">
        <v>578265</v>
      </c>
      <c r="N97" s="11"/>
      <c r="O97" s="11"/>
      <c r="P97" s="8">
        <f t="shared" si="14"/>
        <v>228657</v>
      </c>
      <c r="Q97" s="14">
        <f t="shared" si="15"/>
        <v>33587379</v>
      </c>
      <c r="S97" s="9">
        <v>134404.62000000002</v>
      </c>
      <c r="T97" s="9">
        <f t="shared" ref="T97:T102" si="16">+S97/H97</f>
        <v>0.7049254976005036</v>
      </c>
      <c r="U97" s="9">
        <v>202171.51999999999</v>
      </c>
      <c r="V97" s="26">
        <f t="shared" ref="V97:V103" si="17">+U97/I97</f>
        <v>7.1763213914284541E-3</v>
      </c>
    </row>
    <row r="98" spans="1:22" x14ac:dyDescent="0.25">
      <c r="B98" s="2" t="s">
        <v>11</v>
      </c>
      <c r="C98" s="2">
        <v>2017</v>
      </c>
      <c r="D98" s="1">
        <v>11652</v>
      </c>
      <c r="E98" s="11">
        <v>868162</v>
      </c>
      <c r="F98" s="1">
        <v>1094</v>
      </c>
      <c r="G98" s="11">
        <v>191123</v>
      </c>
      <c r="H98" s="1">
        <v>193896</v>
      </c>
      <c r="I98" s="11">
        <v>27839468</v>
      </c>
      <c r="J98" s="8">
        <v>24271</v>
      </c>
      <c r="K98" s="11">
        <v>4048549</v>
      </c>
      <c r="L98" s="8">
        <v>4126</v>
      </c>
      <c r="M98" s="11">
        <v>569461</v>
      </c>
      <c r="N98" s="11"/>
      <c r="O98" s="11"/>
      <c r="P98" s="8">
        <f t="shared" si="14"/>
        <v>235039</v>
      </c>
      <c r="Q98" s="14">
        <f t="shared" si="15"/>
        <v>33516763</v>
      </c>
      <c r="S98" s="9">
        <v>137689.39000000004</v>
      </c>
      <c r="T98" s="9">
        <f t="shared" si="16"/>
        <v>0.71011980649420325</v>
      </c>
      <c r="U98" s="9">
        <v>225034.87</v>
      </c>
      <c r="V98" s="26">
        <f t="shared" si="17"/>
        <v>8.0833035315186329E-3</v>
      </c>
    </row>
    <row r="99" spans="1:22" x14ac:dyDescent="0.25">
      <c r="B99" s="2" t="s">
        <v>4</v>
      </c>
      <c r="C99" s="2">
        <v>2017</v>
      </c>
      <c r="D99" s="1">
        <v>11346</v>
      </c>
      <c r="E99" s="11">
        <v>843546</v>
      </c>
      <c r="F99" s="1">
        <v>934</v>
      </c>
      <c r="G99" s="11">
        <v>153985</v>
      </c>
      <c r="H99" s="1">
        <v>200331</v>
      </c>
      <c r="I99" s="11">
        <v>28934681</v>
      </c>
      <c r="J99" s="8">
        <v>25413</v>
      </c>
      <c r="K99" s="11">
        <v>4273058</v>
      </c>
      <c r="L99" s="8">
        <v>4165</v>
      </c>
      <c r="M99" s="11">
        <v>590778</v>
      </c>
      <c r="N99" s="11"/>
      <c r="O99" s="11"/>
      <c r="P99" s="8">
        <f t="shared" si="14"/>
        <v>242189</v>
      </c>
      <c r="Q99" s="14">
        <f t="shared" si="15"/>
        <v>34796048</v>
      </c>
      <c r="S99" s="9">
        <v>136272.13</v>
      </c>
      <c r="T99" s="9">
        <f t="shared" si="16"/>
        <v>0.68023486130454103</v>
      </c>
      <c r="U99" s="9">
        <v>215155.12</v>
      </c>
      <c r="V99" s="26">
        <f t="shared" si="17"/>
        <v>7.4358905149153019E-3</v>
      </c>
    </row>
    <row r="100" spans="1:22" x14ac:dyDescent="0.25">
      <c r="B100" s="2" t="s">
        <v>28</v>
      </c>
      <c r="C100" s="2">
        <v>2017</v>
      </c>
      <c r="D100" s="1">
        <v>9534</v>
      </c>
      <c r="E100" s="11">
        <v>757283</v>
      </c>
      <c r="F100" s="1">
        <v>930</v>
      </c>
      <c r="G100" s="11">
        <v>146348</v>
      </c>
      <c r="H100" s="1">
        <v>185804</v>
      </c>
      <c r="I100" s="11">
        <v>27500809</v>
      </c>
      <c r="J100" s="8">
        <v>25296</v>
      </c>
      <c r="K100" s="11">
        <v>4376834</v>
      </c>
      <c r="L100" s="8">
        <v>3983</v>
      </c>
      <c r="M100" s="11">
        <v>546627</v>
      </c>
      <c r="N100" s="11"/>
      <c r="O100" s="11"/>
      <c r="P100" s="8">
        <f t="shared" si="14"/>
        <v>225547</v>
      </c>
      <c r="Q100" s="11">
        <f t="shared" si="15"/>
        <v>33327901</v>
      </c>
      <c r="S100" s="9">
        <v>97622.349999999991</v>
      </c>
      <c r="T100" s="9">
        <f t="shared" si="16"/>
        <v>0.52540499666315033</v>
      </c>
      <c r="U100" s="9">
        <v>153570.21</v>
      </c>
      <c r="V100" s="26">
        <f t="shared" si="17"/>
        <v>5.5842069955105685E-3</v>
      </c>
    </row>
    <row r="101" spans="1:22" x14ac:dyDescent="0.25">
      <c r="B101" s="2" t="s">
        <v>29</v>
      </c>
      <c r="C101" s="2">
        <v>2017</v>
      </c>
      <c r="D101" s="1">
        <v>9804</v>
      </c>
      <c r="E101" s="11">
        <v>785475</v>
      </c>
      <c r="F101" s="1">
        <v>923</v>
      </c>
      <c r="G101" s="11">
        <v>139780</v>
      </c>
      <c r="H101" s="1">
        <v>194627</v>
      </c>
      <c r="I101" s="11">
        <v>29338045</v>
      </c>
      <c r="J101" s="8">
        <v>25838</v>
      </c>
      <c r="K101" s="11">
        <v>4519688</v>
      </c>
      <c r="L101" s="8">
        <v>4250</v>
      </c>
      <c r="M101" s="11">
        <v>597804</v>
      </c>
      <c r="N101" s="8">
        <v>149</v>
      </c>
      <c r="O101" s="11">
        <v>30354</v>
      </c>
      <c r="P101" s="8">
        <f t="shared" si="14"/>
        <v>235591</v>
      </c>
      <c r="Q101" s="11">
        <f t="shared" si="15"/>
        <v>35411146</v>
      </c>
      <c r="S101" s="9">
        <v>139644.25000000003</v>
      </c>
      <c r="T101" s="9">
        <f t="shared" si="16"/>
        <v>0.71749680157429352</v>
      </c>
      <c r="U101" s="9">
        <v>241205.59</v>
      </c>
      <c r="V101" s="26">
        <f t="shared" si="17"/>
        <v>8.2215972468513161E-3</v>
      </c>
    </row>
    <row r="102" spans="1:22" x14ac:dyDescent="0.25">
      <c r="B102" s="2" t="s">
        <v>30</v>
      </c>
      <c r="C102" s="2">
        <v>2017</v>
      </c>
      <c r="D102" s="1">
        <v>10450</v>
      </c>
      <c r="E102" s="11">
        <v>772318</v>
      </c>
      <c r="F102" s="1">
        <v>741</v>
      </c>
      <c r="G102" s="11">
        <v>115229</v>
      </c>
      <c r="H102" s="1">
        <v>192527</v>
      </c>
      <c r="I102" s="11">
        <v>28620167</v>
      </c>
      <c r="J102" s="8">
        <v>26147</v>
      </c>
      <c r="K102" s="11">
        <v>4511862</v>
      </c>
      <c r="L102" s="8">
        <v>3883</v>
      </c>
      <c r="M102" s="11">
        <v>526885</v>
      </c>
      <c r="N102" s="8">
        <v>190</v>
      </c>
      <c r="O102" s="11">
        <v>38694</v>
      </c>
      <c r="P102" s="8">
        <f t="shared" si="14"/>
        <v>233938</v>
      </c>
      <c r="Q102" s="11">
        <f t="shared" si="15"/>
        <v>34585155</v>
      </c>
      <c r="S102" s="9">
        <v>138013.19</v>
      </c>
      <c r="T102" s="9">
        <f t="shared" si="16"/>
        <v>0.71685109101580557</v>
      </c>
      <c r="U102" s="9">
        <v>208105.32</v>
      </c>
      <c r="V102" s="26">
        <f t="shared" si="17"/>
        <v>7.2712825190712552E-3</v>
      </c>
    </row>
    <row r="103" spans="1:22" x14ac:dyDescent="0.25">
      <c r="B103" s="2" t="s">
        <v>31</v>
      </c>
      <c r="C103" s="2">
        <v>2017</v>
      </c>
      <c r="D103" s="1">
        <v>12607</v>
      </c>
      <c r="E103" s="11">
        <v>910388</v>
      </c>
      <c r="F103" s="1">
        <v>745</v>
      </c>
      <c r="G103" s="11">
        <v>118139</v>
      </c>
      <c r="H103" s="1">
        <v>192191</v>
      </c>
      <c r="I103" s="11">
        <v>27597779</v>
      </c>
      <c r="J103" s="8">
        <v>26346</v>
      </c>
      <c r="K103" s="11">
        <v>4554244</v>
      </c>
      <c r="L103" s="8">
        <v>4051</v>
      </c>
      <c r="M103" s="11">
        <v>541432</v>
      </c>
      <c r="N103" s="8">
        <v>219</v>
      </c>
      <c r="O103" s="11">
        <v>44762</v>
      </c>
      <c r="P103" s="8">
        <f t="shared" si="14"/>
        <v>236159</v>
      </c>
      <c r="Q103" s="11">
        <f t="shared" si="15"/>
        <v>33766744</v>
      </c>
      <c r="S103" s="9">
        <v>136324.30000000002</v>
      </c>
      <c r="T103" s="9">
        <f>+S103/H103</f>
        <v>0.70931677341811017</v>
      </c>
      <c r="U103" s="9">
        <v>242155.98</v>
      </c>
      <c r="V103" s="26">
        <f t="shared" si="17"/>
        <v>8.7744734820870921E-3</v>
      </c>
    </row>
    <row r="105" spans="1:22" x14ac:dyDescent="0.25">
      <c r="B105" s="3" t="s">
        <v>12</v>
      </c>
      <c r="C105" s="3"/>
      <c r="D105" s="4">
        <f t="shared" ref="D105:Q105" si="18">SUM(D92:D104)</f>
        <v>123541</v>
      </c>
      <c r="E105" s="12">
        <f t="shared" si="18"/>
        <v>9464822</v>
      </c>
      <c r="F105" s="4">
        <f t="shared" si="18"/>
        <v>12145</v>
      </c>
      <c r="G105" s="12">
        <f t="shared" si="18"/>
        <v>2005440</v>
      </c>
      <c r="H105" s="4">
        <f t="shared" si="18"/>
        <v>2226877</v>
      </c>
      <c r="I105" s="12">
        <f t="shared" si="18"/>
        <v>328788932</v>
      </c>
      <c r="J105" s="4">
        <f t="shared" si="18"/>
        <v>292011</v>
      </c>
      <c r="K105" s="12">
        <f t="shared" si="18"/>
        <v>50126055</v>
      </c>
      <c r="L105" s="4">
        <f t="shared" si="18"/>
        <v>45127</v>
      </c>
      <c r="M105" s="12">
        <f t="shared" si="18"/>
        <v>6341724</v>
      </c>
      <c r="N105" s="4">
        <f t="shared" si="18"/>
        <v>558</v>
      </c>
      <c r="O105" s="12">
        <f t="shared" si="18"/>
        <v>113810</v>
      </c>
      <c r="P105" s="4">
        <f t="shared" si="18"/>
        <v>2700259</v>
      </c>
      <c r="Q105" s="12">
        <f t="shared" si="18"/>
        <v>396840783</v>
      </c>
    </row>
    <row r="107" spans="1:22" x14ac:dyDescent="0.25">
      <c r="B107" s="5" t="s">
        <v>14</v>
      </c>
    </row>
    <row r="108" spans="1:22" x14ac:dyDescent="0.25">
      <c r="B108" s="5" t="s">
        <v>33</v>
      </c>
    </row>
    <row r="109" spans="1:22" x14ac:dyDescent="0.25">
      <c r="B109" s="5"/>
    </row>
    <row r="110" spans="1:22" x14ac:dyDescent="0.25">
      <c r="D110" s="89" t="s">
        <v>15</v>
      </c>
      <c r="E110" s="90"/>
      <c r="F110" s="89" t="s">
        <v>16</v>
      </c>
      <c r="G110" s="90"/>
      <c r="H110" s="89" t="s">
        <v>17</v>
      </c>
      <c r="I110" s="93"/>
      <c r="J110" s="89" t="s">
        <v>18</v>
      </c>
      <c r="K110" s="93"/>
      <c r="L110" s="89" t="s">
        <v>13</v>
      </c>
      <c r="M110" s="93"/>
      <c r="N110" s="89" t="s">
        <v>34</v>
      </c>
      <c r="O110" s="93"/>
      <c r="P110" s="89" t="s">
        <v>12</v>
      </c>
      <c r="Q110" s="93"/>
    </row>
    <row r="111" spans="1:22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</row>
    <row r="113" spans="2:18" x14ac:dyDescent="0.25">
      <c r="B113" s="2" t="s">
        <v>5</v>
      </c>
      <c r="C113" s="2">
        <v>2017</v>
      </c>
      <c r="D113" s="1">
        <f>+D92+D71+D50+D29+D8</f>
        <v>3640549</v>
      </c>
      <c r="E113" s="11">
        <f t="shared" ref="E113:M113" si="19">+E92+E71+E50+E29+E8</f>
        <v>104822110.48</v>
      </c>
      <c r="F113" s="1">
        <f t="shared" si="19"/>
        <v>24172</v>
      </c>
      <c r="G113" s="11">
        <f t="shared" si="19"/>
        <v>1871272.0699999998</v>
      </c>
      <c r="H113" s="1">
        <f t="shared" si="19"/>
        <v>6512998</v>
      </c>
      <c r="I113" s="11">
        <f t="shared" si="19"/>
        <v>264753050.84</v>
      </c>
      <c r="J113" s="8">
        <f t="shared" si="19"/>
        <v>377616</v>
      </c>
      <c r="K113" s="11">
        <f t="shared" si="19"/>
        <v>25312491.699999999</v>
      </c>
      <c r="L113" s="8">
        <f t="shared" si="19"/>
        <v>71965</v>
      </c>
      <c r="M113" s="11">
        <f t="shared" si="19"/>
        <v>3946636.9600000004</v>
      </c>
      <c r="N113" s="8">
        <f t="shared" ref="N113:O124" si="20">+N92+N71+N50+N29+N8</f>
        <v>0</v>
      </c>
      <c r="O113" s="11">
        <f t="shared" si="20"/>
        <v>0</v>
      </c>
      <c r="P113" s="8">
        <f>L113+J113+H113+F113+D113+N113</f>
        <v>10627300</v>
      </c>
      <c r="Q113" s="14">
        <f t="shared" ref="Q113:Q124" si="21">M113+K113+I113+G113+E113+O113</f>
        <v>400705562.05000001</v>
      </c>
    </row>
    <row r="114" spans="2:18" x14ac:dyDescent="0.25">
      <c r="B114" s="2" t="s">
        <v>6</v>
      </c>
      <c r="C114" s="2">
        <v>2017</v>
      </c>
      <c r="D114" s="1">
        <f t="shared" ref="D114:M114" si="22">+D93+D72+D51+D30+D9</f>
        <v>3548254</v>
      </c>
      <c r="E114" s="11">
        <f t="shared" si="22"/>
        <v>102860560.64</v>
      </c>
      <c r="F114" s="1">
        <f t="shared" si="22"/>
        <v>22629</v>
      </c>
      <c r="G114" s="11">
        <f t="shared" si="22"/>
        <v>1780761.65</v>
      </c>
      <c r="H114" s="1">
        <f t="shared" si="22"/>
        <v>6459134</v>
      </c>
      <c r="I114" s="11">
        <f t="shared" si="22"/>
        <v>260912228.33000001</v>
      </c>
      <c r="J114" s="8">
        <f t="shared" si="22"/>
        <v>363045</v>
      </c>
      <c r="K114" s="11">
        <f t="shared" si="22"/>
        <v>24300802.879999999</v>
      </c>
      <c r="L114" s="8">
        <f t="shared" si="22"/>
        <v>70976</v>
      </c>
      <c r="M114" s="11">
        <f t="shared" si="22"/>
        <v>3912328.17</v>
      </c>
      <c r="N114" s="8">
        <f t="shared" si="20"/>
        <v>0</v>
      </c>
      <c r="O114" s="11">
        <f t="shared" si="20"/>
        <v>0</v>
      </c>
      <c r="P114" s="8">
        <f t="shared" ref="P114:P124" si="23">L114+J114+H114+F114+D114+N114</f>
        <v>10464038</v>
      </c>
      <c r="Q114" s="14">
        <f t="shared" si="21"/>
        <v>393766681.66999996</v>
      </c>
    </row>
    <row r="115" spans="2:18" x14ac:dyDescent="0.25">
      <c r="B115" s="2" t="s">
        <v>7</v>
      </c>
      <c r="C115" s="2">
        <v>2017</v>
      </c>
      <c r="D115" s="1">
        <f t="shared" ref="D115:M115" si="24">+D94+D73+D52+D31+D10</f>
        <v>3941740</v>
      </c>
      <c r="E115" s="11">
        <f t="shared" si="24"/>
        <v>115684655.16</v>
      </c>
      <c r="F115" s="1">
        <f t="shared" si="24"/>
        <v>25914</v>
      </c>
      <c r="G115" s="11">
        <f t="shared" si="24"/>
        <v>1974414.4300000002</v>
      </c>
      <c r="H115" s="1">
        <f t="shared" si="24"/>
        <v>7373504</v>
      </c>
      <c r="I115" s="11">
        <f t="shared" si="24"/>
        <v>300525468.75000006</v>
      </c>
      <c r="J115" s="8">
        <f t="shared" si="24"/>
        <v>415700</v>
      </c>
      <c r="K115" s="11">
        <f t="shared" si="24"/>
        <v>28095542.210000001</v>
      </c>
      <c r="L115" s="8">
        <f t="shared" si="24"/>
        <v>83020</v>
      </c>
      <c r="M115" s="11">
        <f t="shared" si="24"/>
        <v>4643470.5900000008</v>
      </c>
      <c r="N115" s="8">
        <f t="shared" si="20"/>
        <v>0</v>
      </c>
      <c r="O115" s="11">
        <f t="shared" si="20"/>
        <v>0</v>
      </c>
      <c r="P115" s="8">
        <f t="shared" si="23"/>
        <v>11839878</v>
      </c>
      <c r="Q115" s="14">
        <f t="shared" si="21"/>
        <v>450923551.1400001</v>
      </c>
      <c r="R115" s="13"/>
    </row>
    <row r="116" spans="2:18" x14ac:dyDescent="0.25">
      <c r="B116" s="2" t="s">
        <v>8</v>
      </c>
      <c r="C116" s="2">
        <v>2017</v>
      </c>
      <c r="D116" s="1">
        <f t="shared" ref="D116:M116" si="25">+D95+D74+D53+D32+D11</f>
        <v>3222952</v>
      </c>
      <c r="E116" s="11">
        <f t="shared" si="25"/>
        <v>97679400.280000001</v>
      </c>
      <c r="F116" s="1">
        <f t="shared" si="25"/>
        <v>22658</v>
      </c>
      <c r="G116" s="11">
        <f t="shared" si="25"/>
        <v>1764712.3900000001</v>
      </c>
      <c r="H116" s="1">
        <f t="shared" si="25"/>
        <v>6252320</v>
      </c>
      <c r="I116" s="11">
        <f t="shared" si="25"/>
        <v>265173394.88999999</v>
      </c>
      <c r="J116" s="8">
        <f t="shared" si="25"/>
        <v>372960</v>
      </c>
      <c r="K116" s="11">
        <f t="shared" si="25"/>
        <v>26222743.640000001</v>
      </c>
      <c r="L116" s="8">
        <f t="shared" si="25"/>
        <v>73599</v>
      </c>
      <c r="M116" s="11">
        <f t="shared" si="25"/>
        <v>4202610.5199999996</v>
      </c>
      <c r="N116" s="8">
        <f t="shared" si="20"/>
        <v>0</v>
      </c>
      <c r="O116" s="11">
        <f t="shared" si="20"/>
        <v>0</v>
      </c>
      <c r="P116" s="8">
        <f t="shared" si="23"/>
        <v>9944489</v>
      </c>
      <c r="Q116" s="14">
        <f t="shared" si="21"/>
        <v>395042861.72000003</v>
      </c>
    </row>
    <row r="117" spans="2:18" x14ac:dyDescent="0.25">
      <c r="B117" s="2" t="s">
        <v>9</v>
      </c>
      <c r="C117" s="2">
        <v>2017</v>
      </c>
      <c r="D117" s="1">
        <f t="shared" ref="D117:M117" si="26">+D96+D75+D54+D33+D12</f>
        <v>3735032</v>
      </c>
      <c r="E117" s="11">
        <f t="shared" si="26"/>
        <v>111874824.74999997</v>
      </c>
      <c r="F117" s="1">
        <f t="shared" si="26"/>
        <v>26131</v>
      </c>
      <c r="G117" s="11">
        <f t="shared" si="26"/>
        <v>1958095.43</v>
      </c>
      <c r="H117" s="1">
        <f t="shared" si="26"/>
        <v>7292875</v>
      </c>
      <c r="I117" s="11">
        <f t="shared" si="26"/>
        <v>302499279.19999999</v>
      </c>
      <c r="J117" s="8">
        <f t="shared" si="26"/>
        <v>416073</v>
      </c>
      <c r="K117" s="11">
        <f t="shared" si="26"/>
        <v>28423543.280000001</v>
      </c>
      <c r="L117" s="8">
        <f t="shared" si="26"/>
        <v>82686</v>
      </c>
      <c r="M117" s="11">
        <f t="shared" si="26"/>
        <v>4638614.3900000006</v>
      </c>
      <c r="N117" s="8">
        <f t="shared" si="20"/>
        <v>0</v>
      </c>
      <c r="O117" s="11">
        <f t="shared" si="20"/>
        <v>0</v>
      </c>
      <c r="P117" s="8">
        <f t="shared" si="23"/>
        <v>11552797</v>
      </c>
      <c r="Q117" s="11">
        <f t="shared" si="21"/>
        <v>449394357.04999995</v>
      </c>
    </row>
    <row r="118" spans="2:18" x14ac:dyDescent="0.25">
      <c r="B118" s="2" t="s">
        <v>10</v>
      </c>
      <c r="C118" s="2">
        <v>2017</v>
      </c>
      <c r="D118" s="1">
        <f t="shared" ref="D118:M118" si="27">+D97+D76+D55+D34+D13</f>
        <v>3715515</v>
      </c>
      <c r="E118" s="11">
        <f t="shared" si="27"/>
        <v>111027097.48999999</v>
      </c>
      <c r="F118" s="1">
        <f t="shared" si="27"/>
        <v>25808</v>
      </c>
      <c r="G118" s="11">
        <f t="shared" si="27"/>
        <v>1931047.05</v>
      </c>
      <c r="H118" s="1">
        <f t="shared" si="27"/>
        <v>7255287</v>
      </c>
      <c r="I118" s="11">
        <f t="shared" si="27"/>
        <v>301817635.06999999</v>
      </c>
      <c r="J118" s="8">
        <f t="shared" si="27"/>
        <v>413734</v>
      </c>
      <c r="K118" s="11">
        <f t="shared" si="27"/>
        <v>27702229.329999998</v>
      </c>
      <c r="L118" s="8">
        <f t="shared" si="27"/>
        <v>95125</v>
      </c>
      <c r="M118" s="11">
        <f t="shared" si="27"/>
        <v>5411847.5899999999</v>
      </c>
      <c r="N118" s="8">
        <f t="shared" si="20"/>
        <v>0</v>
      </c>
      <c r="O118" s="11">
        <f t="shared" si="20"/>
        <v>0</v>
      </c>
      <c r="P118" s="8">
        <f t="shared" si="23"/>
        <v>11505469</v>
      </c>
      <c r="Q118" s="11">
        <f t="shared" si="21"/>
        <v>447889856.53000003</v>
      </c>
    </row>
    <row r="119" spans="2:18" x14ac:dyDescent="0.25">
      <c r="B119" s="2" t="s">
        <v>11</v>
      </c>
      <c r="C119" s="2">
        <v>2017</v>
      </c>
      <c r="D119" s="1">
        <f t="shared" ref="D119:M119" si="28">+D98+D77+D56+D35+D14</f>
        <v>3418879</v>
      </c>
      <c r="E119" s="11">
        <f t="shared" si="28"/>
        <v>103321724.67</v>
      </c>
      <c r="F119" s="1">
        <f t="shared" si="28"/>
        <v>24764</v>
      </c>
      <c r="G119" s="11">
        <f t="shared" si="28"/>
        <v>1926535.76</v>
      </c>
      <c r="H119" s="1">
        <f t="shared" si="28"/>
        <v>6710468</v>
      </c>
      <c r="I119" s="11">
        <f t="shared" si="28"/>
        <v>287334434.54000002</v>
      </c>
      <c r="J119" s="8">
        <f t="shared" si="28"/>
        <v>401172</v>
      </c>
      <c r="K119" s="11">
        <f t="shared" si="28"/>
        <v>28040783.690000001</v>
      </c>
      <c r="L119" s="8">
        <f t="shared" si="28"/>
        <v>116664</v>
      </c>
      <c r="M119" s="11">
        <f t="shared" si="28"/>
        <v>6939260.2599999998</v>
      </c>
      <c r="N119" s="8">
        <f t="shared" si="20"/>
        <v>0</v>
      </c>
      <c r="O119" s="11">
        <f t="shared" si="20"/>
        <v>0</v>
      </c>
      <c r="P119" s="8">
        <f t="shared" si="23"/>
        <v>10671947</v>
      </c>
      <c r="Q119" s="11">
        <f t="shared" si="21"/>
        <v>427562738.92000002</v>
      </c>
    </row>
    <row r="120" spans="2:18" x14ac:dyDescent="0.25">
      <c r="B120" s="2" t="s">
        <v>4</v>
      </c>
      <c r="C120" s="2">
        <v>2017</v>
      </c>
      <c r="D120" s="1">
        <f t="shared" ref="D120:M120" si="29">+D99+D78+D57+D36+D15</f>
        <v>3748562</v>
      </c>
      <c r="E120" s="11">
        <f t="shared" si="29"/>
        <v>116345479.75999999</v>
      </c>
      <c r="F120" s="1">
        <f t="shared" si="29"/>
        <v>26901</v>
      </c>
      <c r="G120" s="11">
        <f t="shared" si="29"/>
        <v>2004639.9200000002</v>
      </c>
      <c r="H120" s="1">
        <f t="shared" si="29"/>
        <v>7531475</v>
      </c>
      <c r="I120" s="11">
        <f t="shared" si="29"/>
        <v>320628638.41999996</v>
      </c>
      <c r="J120" s="8">
        <f t="shared" si="29"/>
        <v>432830</v>
      </c>
      <c r="K120" s="11">
        <f t="shared" si="29"/>
        <v>30182260.16</v>
      </c>
      <c r="L120" s="8">
        <f t="shared" si="29"/>
        <v>95110</v>
      </c>
      <c r="M120" s="11">
        <f t="shared" si="29"/>
        <v>5632220.6200000001</v>
      </c>
      <c r="N120" s="8">
        <f t="shared" si="20"/>
        <v>0</v>
      </c>
      <c r="O120" s="11">
        <f t="shared" si="20"/>
        <v>0</v>
      </c>
      <c r="P120" s="8">
        <f t="shared" si="23"/>
        <v>11834878</v>
      </c>
      <c r="Q120" s="11">
        <f t="shared" si="21"/>
        <v>474793238.87999994</v>
      </c>
    </row>
    <row r="121" spans="2:18" x14ac:dyDescent="0.25">
      <c r="B121" s="2" t="s">
        <v>28</v>
      </c>
      <c r="C121" s="2">
        <v>2017</v>
      </c>
      <c r="D121" s="1">
        <f t="shared" ref="D121:M121" si="30">+D100+D79+D58+D37+D16</f>
        <v>2481441</v>
      </c>
      <c r="E121" s="11">
        <f t="shared" si="30"/>
        <v>81172020.4912</v>
      </c>
      <c r="F121" s="1">
        <f t="shared" si="30"/>
        <v>18447</v>
      </c>
      <c r="G121" s="11">
        <f t="shared" si="30"/>
        <v>1527207.9</v>
      </c>
      <c r="H121" s="1">
        <f t="shared" si="30"/>
        <v>5156203</v>
      </c>
      <c r="I121" s="11">
        <f t="shared" si="30"/>
        <v>236916836.09</v>
      </c>
      <c r="J121" s="8">
        <f t="shared" si="30"/>
        <v>311506</v>
      </c>
      <c r="K121" s="11">
        <f t="shared" si="30"/>
        <v>23893579.859999999</v>
      </c>
      <c r="L121" s="8">
        <f t="shared" si="30"/>
        <v>67312</v>
      </c>
      <c r="M121" s="11">
        <f t="shared" si="30"/>
        <v>4323979.42</v>
      </c>
      <c r="N121" s="8">
        <f t="shared" si="20"/>
        <v>0</v>
      </c>
      <c r="O121" s="11">
        <f t="shared" si="20"/>
        <v>0</v>
      </c>
      <c r="P121" s="8">
        <f t="shared" si="23"/>
        <v>8034909</v>
      </c>
      <c r="Q121" s="11">
        <f t="shared" si="21"/>
        <v>347833623.76120001</v>
      </c>
    </row>
    <row r="122" spans="2:18" x14ac:dyDescent="0.25">
      <c r="B122" s="2" t="s">
        <v>29</v>
      </c>
      <c r="C122" s="2">
        <v>2017</v>
      </c>
      <c r="D122" s="1">
        <f t="shared" ref="D122:M122" si="31">+D101+D80+D59+D38+D17</f>
        <v>3764915</v>
      </c>
      <c r="E122" s="11">
        <f t="shared" si="31"/>
        <v>122483818.02960001</v>
      </c>
      <c r="F122" s="1">
        <f t="shared" si="31"/>
        <v>27571</v>
      </c>
      <c r="G122" s="11">
        <f t="shared" si="31"/>
        <v>2120205.02</v>
      </c>
      <c r="H122" s="1">
        <f t="shared" si="31"/>
        <v>7838869</v>
      </c>
      <c r="I122" s="11">
        <f t="shared" si="31"/>
        <v>339506895.49000001</v>
      </c>
      <c r="J122" s="8">
        <f t="shared" si="31"/>
        <v>449370</v>
      </c>
      <c r="K122" s="11">
        <f t="shared" si="31"/>
        <v>31572456.770000003</v>
      </c>
      <c r="L122" s="8">
        <f t="shared" si="31"/>
        <v>105885</v>
      </c>
      <c r="M122" s="11">
        <f t="shared" si="31"/>
        <v>6276506.2999999998</v>
      </c>
      <c r="N122" s="8">
        <f t="shared" si="20"/>
        <v>1310</v>
      </c>
      <c r="O122" s="11">
        <f t="shared" si="20"/>
        <v>122563.7</v>
      </c>
      <c r="P122" s="8">
        <f t="shared" si="23"/>
        <v>12187920</v>
      </c>
      <c r="Q122" s="11">
        <f t="shared" si="21"/>
        <v>502082445.3096</v>
      </c>
    </row>
    <row r="123" spans="2:18" x14ac:dyDescent="0.25">
      <c r="B123" s="2" t="s">
        <v>30</v>
      </c>
      <c r="C123" s="2">
        <v>2017</v>
      </c>
      <c r="D123" s="1">
        <f t="shared" ref="D123:M123" si="32">+D102+D81+D60+D39+D18</f>
        <v>3556056</v>
      </c>
      <c r="E123" s="11">
        <f t="shared" si="32"/>
        <v>115768169.11000001</v>
      </c>
      <c r="F123" s="1">
        <f t="shared" si="32"/>
        <v>24496</v>
      </c>
      <c r="G123" s="11">
        <f t="shared" si="32"/>
        <v>1811814.9000000001</v>
      </c>
      <c r="H123" s="1">
        <f t="shared" si="32"/>
        <v>7536518</v>
      </c>
      <c r="I123" s="11">
        <f t="shared" si="32"/>
        <v>328959160.99000001</v>
      </c>
      <c r="J123" s="8">
        <f t="shared" si="32"/>
        <v>436232</v>
      </c>
      <c r="K123" s="11">
        <f t="shared" si="32"/>
        <v>30877848.559999999</v>
      </c>
      <c r="L123" s="8">
        <f t="shared" si="32"/>
        <v>109700</v>
      </c>
      <c r="M123" s="11">
        <f t="shared" si="32"/>
        <v>6655097.5499999998</v>
      </c>
      <c r="N123" s="8">
        <f t="shared" si="20"/>
        <v>1991</v>
      </c>
      <c r="O123" s="11">
        <f t="shared" si="20"/>
        <v>174239.02</v>
      </c>
      <c r="P123" s="8">
        <f t="shared" si="23"/>
        <v>11664993</v>
      </c>
      <c r="Q123" s="11">
        <f t="shared" si="21"/>
        <v>484246330.13</v>
      </c>
    </row>
    <row r="124" spans="2:18" x14ac:dyDescent="0.25">
      <c r="B124" s="2" t="s">
        <v>31</v>
      </c>
      <c r="C124" s="2">
        <v>2017</v>
      </c>
      <c r="D124" s="1">
        <f t="shared" ref="D124:M124" si="33">+D103+D82+D61+D40+D19</f>
        <v>3355521</v>
      </c>
      <c r="E124" s="11">
        <f t="shared" si="33"/>
        <v>110422553.98999999</v>
      </c>
      <c r="F124" s="1">
        <f t="shared" si="33"/>
        <v>23580</v>
      </c>
      <c r="G124" s="11">
        <f t="shared" si="33"/>
        <v>1715095.67</v>
      </c>
      <c r="H124" s="1">
        <f t="shared" si="33"/>
        <v>7303869</v>
      </c>
      <c r="I124" s="11">
        <f t="shared" si="33"/>
        <v>319975221.56999999</v>
      </c>
      <c r="J124" s="8">
        <f t="shared" si="33"/>
        <v>432032</v>
      </c>
      <c r="K124" s="11">
        <f t="shared" si="33"/>
        <v>31411687</v>
      </c>
      <c r="L124" s="8">
        <f t="shared" si="33"/>
        <v>100977</v>
      </c>
      <c r="M124" s="11">
        <f t="shared" si="33"/>
        <v>5924010.5199999996</v>
      </c>
      <c r="N124" s="8">
        <f t="shared" si="20"/>
        <v>1501</v>
      </c>
      <c r="O124" s="11">
        <f t="shared" si="20"/>
        <v>141486.49000000002</v>
      </c>
      <c r="P124" s="8">
        <f t="shared" si="23"/>
        <v>11217480</v>
      </c>
      <c r="Q124" s="11">
        <f t="shared" si="21"/>
        <v>469590055.24000001</v>
      </c>
    </row>
    <row r="126" spans="2:18" x14ac:dyDescent="0.25">
      <c r="B126" s="3" t="s">
        <v>12</v>
      </c>
      <c r="C126" s="3"/>
      <c r="D126" s="4">
        <f t="shared" ref="D126:Q126" si="34">SUM(D113:D125)</f>
        <v>42129416</v>
      </c>
      <c r="E126" s="12">
        <f t="shared" si="34"/>
        <v>1293462414.8507998</v>
      </c>
      <c r="F126" s="4">
        <f t="shared" si="34"/>
        <v>293071</v>
      </c>
      <c r="G126" s="12">
        <f t="shared" si="34"/>
        <v>22385802.189999998</v>
      </c>
      <c r="H126" s="4">
        <f t="shared" si="34"/>
        <v>83223520</v>
      </c>
      <c r="I126" s="12">
        <f t="shared" si="34"/>
        <v>3529002244.1799998</v>
      </c>
      <c r="J126" s="4">
        <f t="shared" si="34"/>
        <v>4822270</v>
      </c>
      <c r="K126" s="12">
        <f t="shared" si="34"/>
        <v>336035969.07999998</v>
      </c>
      <c r="L126" s="4">
        <f t="shared" si="34"/>
        <v>1073019</v>
      </c>
      <c r="M126" s="12">
        <f t="shared" si="34"/>
        <v>62506582.890000001</v>
      </c>
      <c r="N126" s="4">
        <f t="shared" si="34"/>
        <v>4802</v>
      </c>
      <c r="O126" s="12">
        <f t="shared" si="34"/>
        <v>438289.20999999996</v>
      </c>
      <c r="P126" s="4">
        <f t="shared" si="34"/>
        <v>131546098</v>
      </c>
      <c r="Q126" s="12">
        <f t="shared" si="34"/>
        <v>5243831302.4007998</v>
      </c>
    </row>
    <row r="127" spans="2:18" x14ac:dyDescent="0.25">
      <c r="F127" s="15">
        <f>+F126+D126</f>
        <v>42422487</v>
      </c>
      <c r="G127" s="9">
        <f>+G126+E126</f>
        <v>1315848217.0407999</v>
      </c>
      <c r="H127" s="15">
        <f>+H126+J126+L126+N126</f>
        <v>89123611</v>
      </c>
      <c r="I127" s="9">
        <f>+I126+K126+M126+O126</f>
        <v>3927983085.3599997</v>
      </c>
    </row>
    <row r="128" spans="2:18" x14ac:dyDescent="0.25">
      <c r="B128" s="5" t="s">
        <v>14</v>
      </c>
    </row>
    <row r="129" spans="1:17" x14ac:dyDescent="0.25">
      <c r="B129" s="5" t="s">
        <v>27</v>
      </c>
    </row>
    <row r="130" spans="1:17" x14ac:dyDescent="0.25">
      <c r="B130" s="5"/>
    </row>
    <row r="131" spans="1:17" x14ac:dyDescent="0.25">
      <c r="D131" s="89" t="s">
        <v>23</v>
      </c>
      <c r="E131" s="90"/>
      <c r="F131" s="89" t="s">
        <v>24</v>
      </c>
      <c r="G131" s="90"/>
      <c r="H131" s="89" t="s">
        <v>25</v>
      </c>
      <c r="I131" s="90"/>
      <c r="J131" s="89" t="s">
        <v>26</v>
      </c>
      <c r="K131" s="90"/>
      <c r="L131" s="89" t="s">
        <v>37</v>
      </c>
      <c r="M131" s="90"/>
      <c r="N131" s="89" t="s">
        <v>12</v>
      </c>
      <c r="O131" s="93"/>
      <c r="Q131"/>
    </row>
    <row r="132" spans="1:17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Q132"/>
    </row>
    <row r="133" spans="1:17" x14ac:dyDescent="0.25">
      <c r="N133"/>
      <c r="Q133"/>
    </row>
    <row r="134" spans="1:17" x14ac:dyDescent="0.25">
      <c r="B134" s="2" t="s">
        <v>5</v>
      </c>
      <c r="C134" s="2">
        <v>2017</v>
      </c>
      <c r="D134" s="1">
        <v>373260</v>
      </c>
      <c r="E134" s="11">
        <v>8779176.4000000767</v>
      </c>
      <c r="F134" s="1">
        <v>271149</v>
      </c>
      <c r="G134" s="11">
        <v>18579394.16</v>
      </c>
      <c r="H134" s="1">
        <v>464772</v>
      </c>
      <c r="I134" s="11">
        <v>34312795</v>
      </c>
      <c r="J134" s="8">
        <v>210801</v>
      </c>
      <c r="K134" s="11">
        <v>10217753</v>
      </c>
      <c r="L134" s="8"/>
      <c r="M134" s="11"/>
      <c r="N134" s="8">
        <f>+J134+H134+F134+D134+L134</f>
        <v>1319982</v>
      </c>
      <c r="O134" s="11">
        <f t="shared" ref="O134:O145" si="35">+K134+I134+G134+E134+M134</f>
        <v>71889118.560000077</v>
      </c>
      <c r="Q134"/>
    </row>
    <row r="135" spans="1:17" x14ac:dyDescent="0.25">
      <c r="B135" s="2" t="s">
        <v>6</v>
      </c>
      <c r="C135" s="2">
        <v>2017</v>
      </c>
      <c r="D135" s="1">
        <v>395957</v>
      </c>
      <c r="E135" s="11">
        <v>9281371.880000012</v>
      </c>
      <c r="F135" s="1">
        <v>277018</v>
      </c>
      <c r="G135" s="11">
        <v>18763109</v>
      </c>
      <c r="H135" s="1">
        <v>442540</v>
      </c>
      <c r="I135" s="11">
        <v>32558896</v>
      </c>
      <c r="J135" s="8">
        <v>213611</v>
      </c>
      <c r="K135" s="11">
        <v>10386533</v>
      </c>
      <c r="L135" s="8"/>
      <c r="M135" s="11"/>
      <c r="N135" s="8">
        <f t="shared" ref="N135:N145" si="36">+J135+H135+F135+D135+L135</f>
        <v>1329126</v>
      </c>
      <c r="O135" s="11">
        <f t="shared" si="35"/>
        <v>70989909.88000001</v>
      </c>
      <c r="Q135"/>
    </row>
    <row r="136" spans="1:17" x14ac:dyDescent="0.25">
      <c r="B136" s="2" t="s">
        <v>7</v>
      </c>
      <c r="C136" s="2">
        <v>2017</v>
      </c>
      <c r="D136" s="1">
        <v>446778</v>
      </c>
      <c r="E136" s="11">
        <v>10244516.339999994</v>
      </c>
      <c r="F136" s="1">
        <v>346724</v>
      </c>
      <c r="G136" s="11">
        <v>22983281</v>
      </c>
      <c r="H136" s="1">
        <v>497047</v>
      </c>
      <c r="I136" s="11">
        <v>37052750</v>
      </c>
      <c r="J136" s="8">
        <v>241545</v>
      </c>
      <c r="K136" s="11">
        <v>11835330</v>
      </c>
      <c r="L136" s="8"/>
      <c r="M136" s="11"/>
      <c r="N136" s="8">
        <f t="shared" si="36"/>
        <v>1532094</v>
      </c>
      <c r="O136" s="11">
        <f t="shared" si="35"/>
        <v>82115877.339999989</v>
      </c>
      <c r="Q136"/>
    </row>
    <row r="137" spans="1:17" x14ac:dyDescent="0.25">
      <c r="B137" s="2" t="s">
        <v>8</v>
      </c>
      <c r="C137" s="2">
        <v>2017</v>
      </c>
      <c r="D137" s="1">
        <v>388062</v>
      </c>
      <c r="E137" s="11">
        <v>10304947.110000003</v>
      </c>
      <c r="F137" s="1">
        <v>330257</v>
      </c>
      <c r="G137" s="11">
        <v>22670222</v>
      </c>
      <c r="H137" s="1">
        <v>571799</v>
      </c>
      <c r="I137" s="11">
        <v>41313205</v>
      </c>
      <c r="J137" s="8">
        <v>221323</v>
      </c>
      <c r="K137" s="11">
        <v>11572299</v>
      </c>
      <c r="L137" s="8"/>
      <c r="M137" s="11"/>
      <c r="N137" s="8">
        <f t="shared" si="36"/>
        <v>1511441</v>
      </c>
      <c r="O137" s="11">
        <f t="shared" si="35"/>
        <v>85860673.109999999</v>
      </c>
      <c r="Q137"/>
    </row>
    <row r="138" spans="1:17" x14ac:dyDescent="0.25">
      <c r="B138" s="2" t="s">
        <v>9</v>
      </c>
      <c r="C138" s="2">
        <v>2017</v>
      </c>
      <c r="D138" s="1">
        <v>429547</v>
      </c>
      <c r="E138" s="11">
        <v>9682085.1000000052</v>
      </c>
      <c r="F138" s="1">
        <v>350735</v>
      </c>
      <c r="G138" s="11">
        <v>23151818</v>
      </c>
      <c r="H138" s="1">
        <v>479532</v>
      </c>
      <c r="I138" s="11">
        <v>35529513</v>
      </c>
      <c r="J138" s="8">
        <v>234043</v>
      </c>
      <c r="K138" s="11">
        <v>11658543</v>
      </c>
      <c r="L138" s="8"/>
      <c r="M138" s="11"/>
      <c r="N138" s="8">
        <f t="shared" si="36"/>
        <v>1493857</v>
      </c>
      <c r="O138" s="11">
        <f t="shared" si="35"/>
        <v>80021959.100000009</v>
      </c>
      <c r="Q138"/>
    </row>
    <row r="139" spans="1:17" x14ac:dyDescent="0.25">
      <c r="B139" s="2" t="s">
        <v>10</v>
      </c>
      <c r="C139" s="2">
        <v>2017</v>
      </c>
      <c r="D139" s="1">
        <v>415481</v>
      </c>
      <c r="E139" s="11">
        <v>9248409.4099999629</v>
      </c>
      <c r="F139" s="1">
        <v>333608</v>
      </c>
      <c r="G139" s="11">
        <v>22439052</v>
      </c>
      <c r="H139" s="1">
        <v>449648</v>
      </c>
      <c r="I139" s="11">
        <v>33344890</v>
      </c>
      <c r="J139" s="8">
        <v>236052</v>
      </c>
      <c r="K139" s="11">
        <v>11256536</v>
      </c>
      <c r="L139" s="8"/>
      <c r="M139" s="11"/>
      <c r="N139" s="8">
        <f t="shared" si="36"/>
        <v>1434789</v>
      </c>
      <c r="O139" s="11">
        <f t="shared" si="35"/>
        <v>76288887.409999967</v>
      </c>
      <c r="Q139"/>
    </row>
    <row r="140" spans="1:17" x14ac:dyDescent="0.25">
      <c r="B140" s="2" t="s">
        <v>11</v>
      </c>
      <c r="C140" s="2">
        <v>2017</v>
      </c>
      <c r="D140" s="1">
        <v>395960</v>
      </c>
      <c r="E140" s="11">
        <v>9574817.3599999771</v>
      </c>
      <c r="F140" s="1">
        <v>330428</v>
      </c>
      <c r="G140" s="11">
        <v>22746446</v>
      </c>
      <c r="H140" s="1">
        <v>501703</v>
      </c>
      <c r="I140" s="11">
        <v>38149493</v>
      </c>
      <c r="J140" s="8">
        <v>220323</v>
      </c>
      <c r="K140" s="11">
        <v>11406211</v>
      </c>
      <c r="L140" s="8"/>
      <c r="M140" s="11"/>
      <c r="N140" s="8">
        <f t="shared" si="36"/>
        <v>1448414</v>
      </c>
      <c r="O140" s="11">
        <f t="shared" si="35"/>
        <v>81876967.359999985</v>
      </c>
      <c r="Q140"/>
    </row>
    <row r="141" spans="1:17" x14ac:dyDescent="0.25">
      <c r="B141" s="2" t="s">
        <v>4</v>
      </c>
      <c r="C141" s="2">
        <v>2017</v>
      </c>
      <c r="D141" s="1">
        <v>451538</v>
      </c>
      <c r="E141" s="11">
        <v>10009816.789999964</v>
      </c>
      <c r="F141" s="1">
        <v>351166</v>
      </c>
      <c r="G141" s="11">
        <v>24189141</v>
      </c>
      <c r="H141" s="1">
        <v>472601</v>
      </c>
      <c r="I141" s="11">
        <v>36378927</v>
      </c>
      <c r="J141" s="8">
        <v>231648</v>
      </c>
      <c r="K141" s="11">
        <v>11693139</v>
      </c>
      <c r="L141" s="8"/>
      <c r="M141" s="11"/>
      <c r="N141" s="8">
        <f t="shared" si="36"/>
        <v>1506953</v>
      </c>
      <c r="O141" s="11">
        <f t="shared" si="35"/>
        <v>82271023.789999962</v>
      </c>
      <c r="Q141"/>
    </row>
    <row r="142" spans="1:17" x14ac:dyDescent="0.25">
      <c r="B142" s="2" t="s">
        <v>28</v>
      </c>
      <c r="C142" s="2">
        <v>2017</v>
      </c>
      <c r="D142" s="1">
        <v>310607</v>
      </c>
      <c r="E142" s="11">
        <v>6647215.4799999669</v>
      </c>
      <c r="F142" s="1">
        <v>267520</v>
      </c>
      <c r="G142" s="11">
        <v>19331764</v>
      </c>
      <c r="H142" s="1">
        <v>377956</v>
      </c>
      <c r="I142" s="11">
        <v>30904737</v>
      </c>
      <c r="J142" s="8">
        <v>177601</v>
      </c>
      <c r="K142" s="11">
        <v>9164099</v>
      </c>
      <c r="L142" s="8"/>
      <c r="M142" s="11"/>
      <c r="N142" s="8">
        <f t="shared" si="36"/>
        <v>1133684</v>
      </c>
      <c r="O142" s="11">
        <f t="shared" si="35"/>
        <v>66047815.479999967</v>
      </c>
      <c r="Q142"/>
    </row>
    <row r="143" spans="1:17" x14ac:dyDescent="0.25">
      <c r="B143" s="2" t="s">
        <v>29</v>
      </c>
      <c r="C143" s="2">
        <v>2017</v>
      </c>
      <c r="D143" s="1">
        <v>460001</v>
      </c>
      <c r="E143" s="11">
        <v>9901605.7399999518</v>
      </c>
      <c r="F143" s="1">
        <v>366960</v>
      </c>
      <c r="G143" s="11">
        <v>24528326</v>
      </c>
      <c r="H143" s="1">
        <v>449545</v>
      </c>
      <c r="I143" s="11">
        <v>36480056</v>
      </c>
      <c r="J143" s="8">
        <v>242640</v>
      </c>
      <c r="K143" s="11">
        <v>12457735</v>
      </c>
      <c r="L143" s="8">
        <v>780</v>
      </c>
      <c r="M143" s="11">
        <v>62615</v>
      </c>
      <c r="N143" s="8">
        <f t="shared" si="36"/>
        <v>1519926</v>
      </c>
      <c r="O143" s="11">
        <f t="shared" si="35"/>
        <v>83430337.73999995</v>
      </c>
      <c r="Q143"/>
    </row>
    <row r="144" spans="1:17" x14ac:dyDescent="0.25">
      <c r="B144" s="2" t="s">
        <v>30</v>
      </c>
      <c r="C144" s="2">
        <v>2017</v>
      </c>
      <c r="D144" s="1">
        <v>450333</v>
      </c>
      <c r="E144" s="11">
        <v>9958136.7599999588</v>
      </c>
      <c r="F144" s="1">
        <v>372992</v>
      </c>
      <c r="G144" s="11">
        <v>24827059</v>
      </c>
      <c r="H144" s="1">
        <v>475013</v>
      </c>
      <c r="I144" s="11">
        <v>37052905</v>
      </c>
      <c r="J144" s="8">
        <v>240489</v>
      </c>
      <c r="K144" s="11">
        <v>12340561</v>
      </c>
      <c r="L144" s="8">
        <v>1309</v>
      </c>
      <c r="M144" s="11">
        <v>101826</v>
      </c>
      <c r="N144" s="8">
        <f t="shared" si="36"/>
        <v>1540136</v>
      </c>
      <c r="O144" s="11">
        <f t="shared" si="35"/>
        <v>84280487.759999961</v>
      </c>
      <c r="Q144"/>
    </row>
    <row r="145" spans="2:17" x14ac:dyDescent="0.25">
      <c r="B145" s="2" t="s">
        <v>31</v>
      </c>
      <c r="C145" s="2">
        <v>2017</v>
      </c>
      <c r="D145" s="1">
        <v>422873</v>
      </c>
      <c r="E145" s="11">
        <v>10218127.959999986</v>
      </c>
      <c r="F145" s="1">
        <v>380324</v>
      </c>
      <c r="G145" s="11">
        <v>26006870</v>
      </c>
      <c r="H145" s="1">
        <v>556840</v>
      </c>
      <c r="I145" s="11">
        <v>42537659</v>
      </c>
      <c r="J145" s="8">
        <v>240038</v>
      </c>
      <c r="K145" s="11">
        <v>12596718</v>
      </c>
      <c r="L145" s="8">
        <v>1716</v>
      </c>
      <c r="M145" s="11">
        <v>118047</v>
      </c>
      <c r="N145" s="8">
        <f t="shared" si="36"/>
        <v>1601791</v>
      </c>
      <c r="O145" s="11">
        <f t="shared" si="35"/>
        <v>91477421.959999979</v>
      </c>
      <c r="Q145"/>
    </row>
    <row r="146" spans="2:17" x14ac:dyDescent="0.25">
      <c r="N146"/>
      <c r="Q146"/>
    </row>
    <row r="147" spans="2:17" x14ac:dyDescent="0.25">
      <c r="B147" s="3" t="s">
        <v>12</v>
      </c>
      <c r="C147" s="3"/>
      <c r="D147" s="4">
        <f t="shared" ref="D147:O147" si="37">SUM(D134:D146)</f>
        <v>4940397</v>
      </c>
      <c r="E147" s="12">
        <f t="shared" si="37"/>
        <v>113850226.32999986</v>
      </c>
      <c r="F147" s="4">
        <f t="shared" si="37"/>
        <v>3978881</v>
      </c>
      <c r="G147" s="12">
        <f t="shared" si="37"/>
        <v>270216482.15999997</v>
      </c>
      <c r="H147" s="4">
        <f t="shared" si="37"/>
        <v>5738996</v>
      </c>
      <c r="I147" s="12">
        <f t="shared" si="37"/>
        <v>435615826</v>
      </c>
      <c r="J147" s="4">
        <f t="shared" si="37"/>
        <v>2710114</v>
      </c>
      <c r="K147" s="12">
        <f t="shared" si="37"/>
        <v>136585457</v>
      </c>
      <c r="L147" s="4">
        <f t="shared" si="37"/>
        <v>3805</v>
      </c>
      <c r="M147" s="12">
        <f t="shared" si="37"/>
        <v>282488</v>
      </c>
      <c r="N147" s="4">
        <f t="shared" si="37"/>
        <v>17372193</v>
      </c>
      <c r="O147" s="12">
        <f t="shared" si="37"/>
        <v>956550479.49000001</v>
      </c>
      <c r="Q147"/>
    </row>
  </sheetData>
  <mergeCells count="48">
    <mergeCell ref="N68:O68"/>
    <mergeCell ref="N89:O89"/>
    <mergeCell ref="N110:O110"/>
    <mergeCell ref="P89:Q89"/>
    <mergeCell ref="D131:E131"/>
    <mergeCell ref="F131:G131"/>
    <mergeCell ref="H131:I131"/>
    <mergeCell ref="J131:K131"/>
    <mergeCell ref="N131:O131"/>
    <mergeCell ref="P110:Q110"/>
    <mergeCell ref="P68:Q68"/>
    <mergeCell ref="D110:E110"/>
    <mergeCell ref="F110:G110"/>
    <mergeCell ref="H110:I110"/>
    <mergeCell ref="J110:K110"/>
    <mergeCell ref="L110:M110"/>
    <mergeCell ref="D89:E89"/>
    <mergeCell ref="F89:G89"/>
    <mergeCell ref="H89:I89"/>
    <mergeCell ref="J89:K89"/>
    <mergeCell ref="D68:E68"/>
    <mergeCell ref="F68:G68"/>
    <mergeCell ref="H68:I68"/>
    <mergeCell ref="J68:K68"/>
    <mergeCell ref="P26:Q26"/>
    <mergeCell ref="D47:E47"/>
    <mergeCell ref="F47:G47"/>
    <mergeCell ref="H47:I47"/>
    <mergeCell ref="J47:K47"/>
    <mergeCell ref="L47:M47"/>
    <mergeCell ref="N26:O26"/>
    <mergeCell ref="N47:O47"/>
    <mergeCell ref="L131:M131"/>
    <mergeCell ref="P5:Q5"/>
    <mergeCell ref="D5:E5"/>
    <mergeCell ref="F5:G5"/>
    <mergeCell ref="H5:I5"/>
    <mergeCell ref="J5:K5"/>
    <mergeCell ref="L5:M5"/>
    <mergeCell ref="N5:O5"/>
    <mergeCell ref="L68:M68"/>
    <mergeCell ref="L89:M89"/>
    <mergeCell ref="P47:Q47"/>
    <mergeCell ref="D26:E26"/>
    <mergeCell ref="F26:G26"/>
    <mergeCell ref="H26:I26"/>
    <mergeCell ref="J26:K26"/>
    <mergeCell ref="L26:M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BK19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8.85546875" customWidth="1"/>
    <col min="5" max="5" width="18.85546875" style="9" customWidth="1"/>
    <col min="6" max="6" width="18.85546875" customWidth="1"/>
    <col min="7" max="7" width="18.85546875" style="9" customWidth="1"/>
    <col min="8" max="8" width="18.85546875" customWidth="1"/>
    <col min="9" max="9" width="18.85546875" style="9" customWidth="1"/>
    <col min="10" max="10" width="18.85546875" customWidth="1"/>
    <col min="11" max="11" width="18.85546875" style="9" customWidth="1"/>
    <col min="12" max="12" width="18.85546875" customWidth="1"/>
    <col min="13" max="15" width="18.85546875" style="9" customWidth="1"/>
    <col min="16" max="16" width="18.85546875" customWidth="1"/>
    <col min="17" max="17" width="18.85546875" style="9" customWidth="1"/>
    <col min="18" max="19" width="18.85546875" customWidth="1"/>
    <col min="20" max="20" width="10.140625" bestFit="1" customWidth="1"/>
    <col min="21" max="21" width="11" customWidth="1"/>
    <col min="22" max="22" width="9.85546875" customWidth="1"/>
    <col min="23" max="24" width="7.7109375" bestFit="1" customWidth="1"/>
    <col min="25" max="25" width="12.5703125" customWidth="1"/>
    <col min="26" max="26" width="15" customWidth="1"/>
    <col min="27" max="27" width="8.5703125" customWidth="1"/>
    <col min="28" max="28" width="15" customWidth="1"/>
    <col min="29" max="29" width="12.5703125" customWidth="1"/>
    <col min="30" max="30" width="15.5703125" bestFit="1" customWidth="1"/>
    <col min="31" max="31" width="12.5703125" customWidth="1"/>
    <col min="32" max="32" width="7.5703125" customWidth="1"/>
    <col min="33" max="33" width="12.5703125" customWidth="1"/>
    <col min="34" max="34" width="15" bestFit="1" customWidth="1"/>
    <col min="35" max="35" width="12.5703125" customWidth="1"/>
    <col min="36" max="36" width="7.5703125" customWidth="1"/>
    <col min="37" max="37" width="12.5703125" customWidth="1"/>
    <col min="38" max="39" width="15.7109375" customWidth="1"/>
    <col min="40" max="41" width="12.42578125" customWidth="1"/>
    <col min="42" max="42" width="1.7109375" customWidth="1"/>
    <col min="43" max="43" width="7.5703125" customWidth="1"/>
    <col min="44" max="44" width="12.570312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9.140625" customWidth="1"/>
    <col min="50" max="50" width="13.5703125" customWidth="1"/>
    <col min="51" max="51" width="11.7109375" customWidth="1"/>
    <col min="52" max="52" width="18.7109375" customWidth="1"/>
    <col min="53" max="54" width="15.7109375" hidden="1" customWidth="1"/>
    <col min="55" max="56" width="12.42578125" hidden="1" customWidth="1"/>
    <col min="57" max="57" width="1.7109375" hidden="1" customWidth="1"/>
    <col min="58" max="58" width="10.85546875" hidden="1" customWidth="1"/>
    <col min="59" max="59" width="17.42578125" hidden="1" customWidth="1"/>
    <col min="60" max="61" width="14.7109375" hidden="1" customWidth="1"/>
    <col min="62" max="63" width="9.42578125" hidden="1" customWidth="1"/>
    <col min="64" max="64" width="1.7109375" customWidth="1"/>
    <col min="66" max="66" width="15.5703125" bestFit="1" customWidth="1"/>
  </cols>
  <sheetData>
    <row r="2" spans="1:26" x14ac:dyDescent="0.25">
      <c r="B2" s="5" t="s">
        <v>14</v>
      </c>
    </row>
    <row r="3" spans="1:26" x14ac:dyDescent="0.25">
      <c r="B3" s="5" t="s">
        <v>19</v>
      </c>
    </row>
    <row r="4" spans="1:26" x14ac:dyDescent="0.25">
      <c r="B4" s="5"/>
    </row>
    <row r="5" spans="1:26" x14ac:dyDescent="0.25">
      <c r="D5" s="89" t="s">
        <v>15</v>
      </c>
      <c r="E5" s="90"/>
      <c r="F5" s="89" t="s">
        <v>16</v>
      </c>
      <c r="G5" s="90"/>
      <c r="H5" s="89" t="s">
        <v>17</v>
      </c>
      <c r="I5" s="93"/>
      <c r="J5" s="89" t="s">
        <v>18</v>
      </c>
      <c r="K5" s="93"/>
      <c r="L5" s="89" t="s">
        <v>13</v>
      </c>
      <c r="M5" s="93"/>
      <c r="N5" s="89" t="s">
        <v>34</v>
      </c>
      <c r="O5" s="93"/>
      <c r="P5" s="89" t="s">
        <v>12</v>
      </c>
      <c r="Q5" s="93"/>
      <c r="U5" s="89" t="s">
        <v>42</v>
      </c>
      <c r="V5" s="90"/>
      <c r="W5" s="90"/>
      <c r="X5" s="90"/>
      <c r="Y5" s="90"/>
      <c r="Z5" s="93"/>
    </row>
    <row r="6" spans="1:26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U6" s="7" t="s">
        <v>38</v>
      </c>
      <c r="V6" s="10" t="s">
        <v>39</v>
      </c>
      <c r="W6" s="10" t="s">
        <v>40</v>
      </c>
      <c r="X6" s="10" t="s">
        <v>18</v>
      </c>
      <c r="Y6" s="10" t="s">
        <v>13</v>
      </c>
      <c r="Z6" s="10" t="s">
        <v>34</v>
      </c>
    </row>
    <row r="7" spans="1:26" x14ac:dyDescent="0.25">
      <c r="V7" s="9"/>
    </row>
    <row r="8" spans="1:26" x14ac:dyDescent="0.25">
      <c r="B8" s="2" t="s">
        <v>5</v>
      </c>
      <c r="C8" s="2">
        <v>2018</v>
      </c>
      <c r="D8" s="1">
        <v>936262</v>
      </c>
      <c r="E8" s="11">
        <v>25363405.25</v>
      </c>
      <c r="F8" s="1">
        <v>2599</v>
      </c>
      <c r="G8" s="11">
        <v>74417.310000000012</v>
      </c>
      <c r="H8" s="1">
        <v>1937733</v>
      </c>
      <c r="I8" s="11">
        <v>54746344.370000005</v>
      </c>
      <c r="J8" s="8">
        <v>61221</v>
      </c>
      <c r="K8" s="11">
        <v>1676049.6199999999</v>
      </c>
      <c r="L8" s="8">
        <v>8681</v>
      </c>
      <c r="M8" s="11">
        <v>219255.03</v>
      </c>
      <c r="N8" s="8">
        <v>8</v>
      </c>
      <c r="O8" s="11">
        <v>51.43</v>
      </c>
      <c r="P8" s="8">
        <f t="shared" ref="P8:P15" si="0">L8+J8+H8+F8+D8+N8</f>
        <v>2946504</v>
      </c>
      <c r="Q8" s="11">
        <f t="shared" ref="Q8:Q15" si="1">M8+K8+I8+G8+E8+O8</f>
        <v>82079523.01000002</v>
      </c>
      <c r="U8" s="17">
        <f t="shared" ref="U8:U13" si="2">+(D8+F8)/P8</f>
        <v>0.31863557626258099</v>
      </c>
      <c r="V8" s="17">
        <f t="shared" ref="V8:V19" si="3">1-U8</f>
        <v>0.68136442373741901</v>
      </c>
      <c r="W8" s="17">
        <f t="shared" ref="W8:W13" si="4">+H8/P8</f>
        <v>0.65763800083081514</v>
      </c>
      <c r="X8" s="17">
        <f t="shared" ref="X8:X13" si="5">+J8/P8</f>
        <v>2.07775044595222E-2</v>
      </c>
      <c r="Y8" s="17">
        <f t="shared" ref="Y8:Y13" si="6">+L8/P8</f>
        <v>2.9462033650726419E-3</v>
      </c>
      <c r="Z8" s="17">
        <f t="shared" ref="Z8:Z14" si="7">+N8/P8</f>
        <v>2.7150820090520835E-6</v>
      </c>
    </row>
    <row r="9" spans="1:26" x14ac:dyDescent="0.25">
      <c r="B9" s="2" t="s">
        <v>6</v>
      </c>
      <c r="C9" s="2">
        <v>2018</v>
      </c>
      <c r="D9" s="1">
        <v>903824</v>
      </c>
      <c r="E9" s="11">
        <v>27094555.530000005</v>
      </c>
      <c r="F9" s="1">
        <v>2511</v>
      </c>
      <c r="G9" s="11">
        <v>79123.98</v>
      </c>
      <c r="H9" s="1">
        <v>1952158</v>
      </c>
      <c r="I9" s="11">
        <v>60797689.350000016</v>
      </c>
      <c r="J9" s="8">
        <v>60727</v>
      </c>
      <c r="K9" s="11">
        <v>1819105.6899999997</v>
      </c>
      <c r="L9" s="8">
        <v>8940</v>
      </c>
      <c r="M9" s="11">
        <v>251293.65</v>
      </c>
      <c r="N9" s="8">
        <v>13</v>
      </c>
      <c r="O9" s="11">
        <v>218.23</v>
      </c>
      <c r="P9" s="8">
        <f t="shared" si="0"/>
        <v>2928173</v>
      </c>
      <c r="Q9" s="11">
        <f t="shared" si="1"/>
        <v>90041986.430000022</v>
      </c>
      <c r="U9" s="17">
        <f t="shared" si="2"/>
        <v>0.30952235404124007</v>
      </c>
      <c r="V9" s="17">
        <f t="shared" si="3"/>
        <v>0.69047764595875993</v>
      </c>
      <c r="W9" s="17">
        <f t="shared" si="4"/>
        <v>0.66668123775473653</v>
      </c>
      <c r="X9" s="17">
        <f t="shared" si="5"/>
        <v>2.0738870278497891E-2</v>
      </c>
      <c r="Y9" s="17">
        <f t="shared" si="6"/>
        <v>3.0530982971293022E-3</v>
      </c>
      <c r="Z9" s="17">
        <f t="shared" si="7"/>
        <v>4.4396283962730342E-6</v>
      </c>
    </row>
    <row r="10" spans="1:26" x14ac:dyDescent="0.25">
      <c r="B10" s="2" t="s">
        <v>7</v>
      </c>
      <c r="C10" s="2">
        <v>2018</v>
      </c>
      <c r="D10" s="1">
        <v>880289</v>
      </c>
      <c r="E10" s="11">
        <v>26654209.619999997</v>
      </c>
      <c r="F10" s="1">
        <v>2779</v>
      </c>
      <c r="G10" s="11">
        <v>87851.83</v>
      </c>
      <c r="H10" s="1">
        <v>1967851</v>
      </c>
      <c r="I10" s="11">
        <v>61830723.340000004</v>
      </c>
      <c r="J10" s="8">
        <v>59921</v>
      </c>
      <c r="K10" s="11">
        <v>1825667.27</v>
      </c>
      <c r="L10" s="8">
        <v>8549</v>
      </c>
      <c r="M10" s="11">
        <v>241253.26999999996</v>
      </c>
      <c r="N10" s="8">
        <v>5</v>
      </c>
      <c r="O10" s="11">
        <v>112.06</v>
      </c>
      <c r="P10" s="8">
        <f t="shared" si="0"/>
        <v>2919394</v>
      </c>
      <c r="Q10" s="11">
        <f t="shared" si="1"/>
        <v>90639817.390000001</v>
      </c>
      <c r="U10" s="17">
        <f t="shared" si="2"/>
        <v>0.30248332359386915</v>
      </c>
      <c r="V10" s="17">
        <f t="shared" si="3"/>
        <v>0.69751667640613091</v>
      </c>
      <c r="W10" s="17">
        <f t="shared" si="4"/>
        <v>0.67406146618099505</v>
      </c>
      <c r="X10" s="17">
        <f t="shared" si="5"/>
        <v>2.0525150082517124E-2</v>
      </c>
      <c r="Y10" s="17">
        <f t="shared" si="6"/>
        <v>2.9283474584108895E-3</v>
      </c>
      <c r="Z10" s="17">
        <f t="shared" si="7"/>
        <v>1.7126842077499646E-6</v>
      </c>
    </row>
    <row r="11" spans="1:26" x14ac:dyDescent="0.25">
      <c r="B11" s="2" t="s">
        <v>8</v>
      </c>
      <c r="C11" s="2">
        <v>2018</v>
      </c>
      <c r="D11" s="1">
        <v>887383</v>
      </c>
      <c r="E11" s="11">
        <v>26792009.82</v>
      </c>
      <c r="F11" s="1">
        <v>2929</v>
      </c>
      <c r="G11" s="11">
        <v>94416.390000000029</v>
      </c>
      <c r="H11" s="1">
        <v>2038712</v>
      </c>
      <c r="I11" s="11">
        <v>64096274.640000008</v>
      </c>
      <c r="J11" s="8">
        <v>61573</v>
      </c>
      <c r="K11" s="11">
        <v>1877039.3999999997</v>
      </c>
      <c r="L11" s="8">
        <v>8710</v>
      </c>
      <c r="M11" s="11">
        <v>246007.92999999993</v>
      </c>
      <c r="N11" s="8">
        <v>5</v>
      </c>
      <c r="O11" s="11">
        <v>63.149999999999991</v>
      </c>
      <c r="P11" s="8">
        <f t="shared" si="0"/>
        <v>2999312</v>
      </c>
      <c r="Q11" s="11">
        <f t="shared" si="1"/>
        <v>93105811.330000013</v>
      </c>
      <c r="U11" s="17">
        <f t="shared" si="2"/>
        <v>0.29683874168475971</v>
      </c>
      <c r="V11" s="17">
        <f t="shared" si="3"/>
        <v>0.70316125831524023</v>
      </c>
      <c r="W11" s="17">
        <f t="shared" si="4"/>
        <v>0.67972655062227605</v>
      </c>
      <c r="X11" s="17">
        <f t="shared" si="5"/>
        <v>2.0529041326810948E-2</v>
      </c>
      <c r="Y11" s="17">
        <f t="shared" si="6"/>
        <v>2.9039993171767393E-3</v>
      </c>
      <c r="Z11" s="17">
        <f t="shared" si="7"/>
        <v>1.6670489765652923E-6</v>
      </c>
    </row>
    <row r="12" spans="1:26" x14ac:dyDescent="0.25">
      <c r="B12" s="2" t="s">
        <v>9</v>
      </c>
      <c r="C12" s="2">
        <v>2018</v>
      </c>
      <c r="D12" s="1">
        <v>939737</v>
      </c>
      <c r="E12" s="11">
        <v>28318947.910000004</v>
      </c>
      <c r="F12" s="1">
        <v>2998</v>
      </c>
      <c r="G12" s="11">
        <v>96720.48000000001</v>
      </c>
      <c r="H12" s="1">
        <v>2197110</v>
      </c>
      <c r="I12" s="11">
        <v>68791347.36999999</v>
      </c>
      <c r="J12" s="8">
        <v>64102</v>
      </c>
      <c r="K12" s="11">
        <v>1937548.6</v>
      </c>
      <c r="L12" s="8">
        <v>9722</v>
      </c>
      <c r="M12" s="11">
        <v>270837.26999999996</v>
      </c>
      <c r="N12" s="8">
        <v>6</v>
      </c>
      <c r="O12" s="11">
        <v>61.19</v>
      </c>
      <c r="P12" s="8">
        <f t="shared" si="0"/>
        <v>3213675</v>
      </c>
      <c r="Q12" s="11">
        <f t="shared" si="1"/>
        <v>99415462.819999993</v>
      </c>
      <c r="U12" s="17">
        <f t="shared" si="2"/>
        <v>0.29335107003664029</v>
      </c>
      <c r="V12" s="17">
        <f t="shared" si="3"/>
        <v>0.70664892996335971</v>
      </c>
      <c r="W12" s="17">
        <f t="shared" si="4"/>
        <v>0.68367523162734256</v>
      </c>
      <c r="X12" s="17">
        <f t="shared" si="5"/>
        <v>1.9946634304962386E-2</v>
      </c>
      <c r="Y12" s="17">
        <f t="shared" si="6"/>
        <v>3.0251970096540565E-3</v>
      </c>
      <c r="Z12" s="17">
        <f t="shared" si="7"/>
        <v>1.8670214007328059E-6</v>
      </c>
    </row>
    <row r="13" spans="1:26" x14ac:dyDescent="0.25">
      <c r="B13" s="2" t="s">
        <v>10</v>
      </c>
      <c r="C13" s="2">
        <v>2018</v>
      </c>
      <c r="D13" s="1">
        <v>888942</v>
      </c>
      <c r="E13" s="11">
        <v>26771812.340000007</v>
      </c>
      <c r="F13" s="1">
        <v>2774</v>
      </c>
      <c r="G13" s="11">
        <v>91487.629999999976</v>
      </c>
      <c r="H13" s="1">
        <v>2118178</v>
      </c>
      <c r="I13" s="11">
        <v>66267793.859999999</v>
      </c>
      <c r="J13" s="8">
        <v>60977</v>
      </c>
      <c r="K13" s="11">
        <v>1853349.0800000003</v>
      </c>
      <c r="L13" s="8">
        <v>8917</v>
      </c>
      <c r="M13" s="11">
        <v>250225.02999999994</v>
      </c>
      <c r="N13" s="8">
        <v>3</v>
      </c>
      <c r="O13" s="11">
        <v>22.89</v>
      </c>
      <c r="P13" s="8">
        <f t="shared" si="0"/>
        <v>3079791</v>
      </c>
      <c r="Q13" s="11">
        <f t="shared" si="1"/>
        <v>95234690.829999998</v>
      </c>
      <c r="U13" s="17">
        <f t="shared" si="2"/>
        <v>0.28953782902800873</v>
      </c>
      <c r="V13" s="17">
        <f t="shared" si="3"/>
        <v>0.71046217097199127</v>
      </c>
      <c r="W13" s="17">
        <f t="shared" si="4"/>
        <v>0.68776679976011357</v>
      </c>
      <c r="X13" s="17">
        <f t="shared" si="5"/>
        <v>1.9799070781101706E-2</v>
      </c>
      <c r="Y13" s="17">
        <f t="shared" si="6"/>
        <v>2.8953263387028537E-3</v>
      </c>
      <c r="Z13" s="17">
        <f t="shared" si="7"/>
        <v>9.7409207313093654E-7</v>
      </c>
    </row>
    <row r="14" spans="1:26" x14ac:dyDescent="0.25">
      <c r="B14" s="2" t="s">
        <v>11</v>
      </c>
      <c r="C14" s="2">
        <v>2018</v>
      </c>
      <c r="D14" s="1">
        <v>853964</v>
      </c>
      <c r="E14" s="11">
        <v>25870453.309999995</v>
      </c>
      <c r="F14" s="1">
        <v>2708</v>
      </c>
      <c r="G14" s="11">
        <v>86779.95</v>
      </c>
      <c r="H14" s="1">
        <v>2048656</v>
      </c>
      <c r="I14" s="11">
        <v>64764156</v>
      </c>
      <c r="J14" s="8">
        <v>59677</v>
      </c>
      <c r="K14" s="11">
        <v>1844012.82</v>
      </c>
      <c r="L14" s="8">
        <v>8239</v>
      </c>
      <c r="M14" s="11">
        <v>237567.82000000007</v>
      </c>
      <c r="N14" s="8">
        <v>3</v>
      </c>
      <c r="O14" s="11">
        <v>55.879999999999995</v>
      </c>
      <c r="P14" s="8">
        <f t="shared" si="0"/>
        <v>2973247</v>
      </c>
      <c r="Q14" s="11">
        <f t="shared" si="1"/>
        <v>92803025.780000001</v>
      </c>
      <c r="U14" s="17">
        <f t="shared" ref="U14:U19" si="8">+(D14+F14)/P14</f>
        <v>0.28812675166240814</v>
      </c>
      <c r="V14" s="17">
        <f t="shared" si="3"/>
        <v>0.7118732483375918</v>
      </c>
      <c r="W14" s="17">
        <f t="shared" ref="W14:W19" si="9">+H14/P14</f>
        <v>0.6890298720557021</v>
      </c>
      <c r="X14" s="17">
        <f t="shared" ref="X14:X19" si="10">+J14/P14</f>
        <v>2.0071322698719616E-2</v>
      </c>
      <c r="Y14" s="17">
        <f t="shared" ref="Y14:Y19" si="11">+L14/P14</f>
        <v>2.771044585263182E-3</v>
      </c>
      <c r="Z14" s="17">
        <f t="shared" si="7"/>
        <v>1.0089979070020082E-6</v>
      </c>
    </row>
    <row r="15" spans="1:26" x14ac:dyDescent="0.25">
      <c r="B15" s="2" t="s">
        <v>4</v>
      </c>
      <c r="C15" s="2">
        <v>2018</v>
      </c>
      <c r="D15" s="1">
        <v>948589</v>
      </c>
      <c r="E15" s="11">
        <v>28702838.489999998</v>
      </c>
      <c r="F15" s="1">
        <v>2978</v>
      </c>
      <c r="G15" s="11">
        <v>96726.57</v>
      </c>
      <c r="H15" s="1">
        <v>2304480</v>
      </c>
      <c r="I15" s="11">
        <v>72349878.99000001</v>
      </c>
      <c r="J15" s="8">
        <v>64676</v>
      </c>
      <c r="K15" s="11">
        <v>1980787.99</v>
      </c>
      <c r="L15" s="8">
        <v>9927</v>
      </c>
      <c r="M15" s="11">
        <v>279413.69</v>
      </c>
      <c r="N15" s="8">
        <v>4</v>
      </c>
      <c r="O15" s="11">
        <v>63.600000000000009</v>
      </c>
      <c r="P15" s="8">
        <f t="shared" si="0"/>
        <v>3330654</v>
      </c>
      <c r="Q15" s="11">
        <f t="shared" si="1"/>
        <v>103409709.33</v>
      </c>
      <c r="U15" s="17">
        <f t="shared" si="8"/>
        <v>0.28569974545539706</v>
      </c>
      <c r="V15" s="17">
        <f t="shared" si="3"/>
        <v>0.71430025454460289</v>
      </c>
      <c r="W15" s="17">
        <f t="shared" si="9"/>
        <v>0.69190014934003952</v>
      </c>
      <c r="X15" s="17">
        <f t="shared" si="10"/>
        <v>1.9418408516765778E-2</v>
      </c>
      <c r="Y15" s="17">
        <f t="shared" si="11"/>
        <v>2.9804957224617147E-3</v>
      </c>
      <c r="Z15" s="17">
        <f>+N15/P15</f>
        <v>1.2009653359370261E-6</v>
      </c>
    </row>
    <row r="16" spans="1:26" x14ac:dyDescent="0.25">
      <c r="B16" s="2" t="s">
        <v>28</v>
      </c>
      <c r="C16" s="2">
        <v>2018</v>
      </c>
      <c r="D16" s="1">
        <v>858128</v>
      </c>
      <c r="E16" s="11">
        <v>25870207.679999992</v>
      </c>
      <c r="F16" s="1">
        <v>2618</v>
      </c>
      <c r="G16" s="11">
        <v>84195.83</v>
      </c>
      <c r="H16" s="1">
        <v>2122549</v>
      </c>
      <c r="I16" s="11">
        <v>66213126.669999994</v>
      </c>
      <c r="J16" s="8">
        <v>57010</v>
      </c>
      <c r="K16" s="11">
        <v>1735691.4999999998</v>
      </c>
      <c r="L16" s="8">
        <v>9196</v>
      </c>
      <c r="M16" s="11">
        <v>256305.13000000009</v>
      </c>
      <c r="N16" s="8">
        <v>1</v>
      </c>
      <c r="O16" s="11">
        <v>14.64</v>
      </c>
      <c r="P16" s="8">
        <f t="shared" ref="P16:Q19" si="12">L16+J16+H16+F16+D16+N16</f>
        <v>3049502</v>
      </c>
      <c r="Q16" s="11">
        <f t="shared" si="12"/>
        <v>94159541.449999988</v>
      </c>
      <c r="U16" s="17">
        <f t="shared" si="8"/>
        <v>0.28225788997678963</v>
      </c>
      <c r="V16" s="17">
        <f t="shared" si="3"/>
        <v>0.71774211002321042</v>
      </c>
      <c r="W16" s="17">
        <f t="shared" si="9"/>
        <v>0.69603135200436006</v>
      </c>
      <c r="X16" s="17">
        <f t="shared" si="10"/>
        <v>1.8694855750217575E-2</v>
      </c>
      <c r="Y16" s="17">
        <f t="shared" si="11"/>
        <v>3.015574346237517E-3</v>
      </c>
      <c r="Z16" s="17">
        <f>+N16/P16</f>
        <v>3.2792239519764211E-7</v>
      </c>
    </row>
    <row r="17" spans="1:26" x14ac:dyDescent="0.25">
      <c r="B17" s="2" t="s">
        <v>29</v>
      </c>
      <c r="C17" s="2">
        <v>2018</v>
      </c>
      <c r="D17" s="1">
        <v>965385</v>
      </c>
      <c r="E17" s="11">
        <v>29038238.539999999</v>
      </c>
      <c r="F17" s="1">
        <v>2739</v>
      </c>
      <c r="G17" s="11">
        <v>88927.73</v>
      </c>
      <c r="H17" s="1">
        <v>2404888</v>
      </c>
      <c r="I17" s="11">
        <v>74753714.420000002</v>
      </c>
      <c r="J17" s="8">
        <v>65694</v>
      </c>
      <c r="K17" s="11">
        <v>1992267.28</v>
      </c>
      <c r="L17" s="8">
        <v>10653</v>
      </c>
      <c r="M17" s="11">
        <v>297311.33</v>
      </c>
      <c r="N17" s="8">
        <v>0</v>
      </c>
      <c r="O17" s="11">
        <v>0</v>
      </c>
      <c r="P17" s="8">
        <f>L17+J17+H17+F17+D17+N17</f>
        <v>3449359</v>
      </c>
      <c r="Q17" s="11">
        <f t="shared" si="12"/>
        <v>106170459.30000001</v>
      </c>
      <c r="U17" s="17">
        <f t="shared" si="8"/>
        <v>0.28066779943751868</v>
      </c>
      <c r="V17" s="17">
        <f t="shared" si="3"/>
        <v>0.71933220056248137</v>
      </c>
      <c r="W17" s="17">
        <f t="shared" si="9"/>
        <v>0.69719852297194929</v>
      </c>
      <c r="X17" s="17">
        <f t="shared" si="10"/>
        <v>1.9045277687825476E-2</v>
      </c>
      <c r="Y17" s="17">
        <f t="shared" si="11"/>
        <v>3.0883999027065609E-3</v>
      </c>
      <c r="Z17" s="17">
        <f>+N17/P17</f>
        <v>0</v>
      </c>
    </row>
    <row r="18" spans="1:26" x14ac:dyDescent="0.25">
      <c r="B18" s="2" t="s">
        <v>30</v>
      </c>
      <c r="C18" s="2">
        <v>2018</v>
      </c>
      <c r="D18" s="1">
        <v>863172</v>
      </c>
      <c r="E18" s="11">
        <v>26205839.859999996</v>
      </c>
      <c r="F18" s="1">
        <v>6317</v>
      </c>
      <c r="G18" s="11">
        <v>196641.23</v>
      </c>
      <c r="H18" s="1">
        <v>2169355</v>
      </c>
      <c r="I18" s="11">
        <v>67855183.900000006</v>
      </c>
      <c r="J18" s="8">
        <v>57238</v>
      </c>
      <c r="K18" s="11">
        <v>1739391.3199999998</v>
      </c>
      <c r="L18" s="8">
        <v>9555</v>
      </c>
      <c r="M18" s="11">
        <v>266493.72000000003</v>
      </c>
      <c r="N18" s="8">
        <v>0</v>
      </c>
      <c r="O18" s="11">
        <v>0</v>
      </c>
      <c r="P18" s="8">
        <f>L18+J18+H18+F18+D18+N18</f>
        <v>3105637</v>
      </c>
      <c r="Q18" s="11">
        <f t="shared" si="12"/>
        <v>96263550.030000016</v>
      </c>
      <c r="U18" s="17">
        <f t="shared" si="8"/>
        <v>0.27997122651488243</v>
      </c>
      <c r="V18" s="17">
        <f t="shared" si="3"/>
        <v>0.72002877348511762</v>
      </c>
      <c r="W18" s="17">
        <f t="shared" si="9"/>
        <v>0.69852175254223203</v>
      </c>
      <c r="X18" s="17">
        <f t="shared" si="10"/>
        <v>1.8430357443577596E-2</v>
      </c>
      <c r="Y18" s="17">
        <f t="shared" si="11"/>
        <v>3.0766634993078714E-3</v>
      </c>
      <c r="Z18" s="17">
        <f>+N18/P18</f>
        <v>0</v>
      </c>
    </row>
    <row r="19" spans="1:26" x14ac:dyDescent="0.25">
      <c r="B19" s="2" t="s">
        <v>31</v>
      </c>
      <c r="C19" s="2">
        <v>2018</v>
      </c>
      <c r="D19" s="1">
        <v>776047</v>
      </c>
      <c r="E19" s="11">
        <v>23828710</v>
      </c>
      <c r="F19" s="1">
        <v>30551</v>
      </c>
      <c r="G19" s="11">
        <v>959926.34</v>
      </c>
      <c r="H19" s="1">
        <v>1946291</v>
      </c>
      <c r="I19" s="11">
        <v>61537638.529999986</v>
      </c>
      <c r="J19" s="8">
        <v>51129</v>
      </c>
      <c r="K19" s="11">
        <v>1579824.6900000002</v>
      </c>
      <c r="L19" s="8">
        <v>7885</v>
      </c>
      <c r="M19" s="11">
        <v>222121.22000000003</v>
      </c>
      <c r="N19" s="8">
        <v>1</v>
      </c>
      <c r="O19" s="11">
        <v>23.01</v>
      </c>
      <c r="P19" s="8">
        <f>L19+J19+H19+F19+D19+N19</f>
        <v>2811904</v>
      </c>
      <c r="Q19" s="11">
        <f t="shared" si="12"/>
        <v>88128243.789999992</v>
      </c>
      <c r="U19" s="17">
        <f t="shared" si="8"/>
        <v>0.28685118695375089</v>
      </c>
      <c r="V19" s="17">
        <f t="shared" si="3"/>
        <v>0.71314881304624911</v>
      </c>
      <c r="W19" s="17">
        <f t="shared" si="9"/>
        <v>0.69216125443827381</v>
      </c>
      <c r="X19" s="17">
        <f t="shared" si="10"/>
        <v>1.8183053191005098E-2</v>
      </c>
      <c r="Y19" s="17">
        <f t="shared" si="11"/>
        <v>2.8041497860524399E-3</v>
      </c>
      <c r="Z19" s="17">
        <f>+N19/P19</f>
        <v>3.5563091769847052E-7</v>
      </c>
    </row>
    <row r="20" spans="1:26" x14ac:dyDescent="0.25">
      <c r="U20" s="18"/>
      <c r="V20" s="19"/>
      <c r="W20" s="18"/>
      <c r="X20" s="18"/>
      <c r="Y20" s="18"/>
      <c r="Z20" s="18"/>
    </row>
    <row r="21" spans="1:26" x14ac:dyDescent="0.25">
      <c r="B21" s="3" t="s">
        <v>12</v>
      </c>
      <c r="C21" s="3"/>
      <c r="D21" s="4">
        <f t="shared" ref="D21:Q21" si="13">SUM(D8:D20)</f>
        <v>10701722</v>
      </c>
      <c r="E21" s="12">
        <f t="shared" si="13"/>
        <v>320511228.35000002</v>
      </c>
      <c r="F21" s="4">
        <f t="shared" si="13"/>
        <v>64501</v>
      </c>
      <c r="G21" s="12">
        <f t="shared" si="13"/>
        <v>2037215.27</v>
      </c>
      <c r="H21" s="4">
        <f t="shared" si="13"/>
        <v>25207961</v>
      </c>
      <c r="I21" s="12">
        <f t="shared" si="13"/>
        <v>784003871.43999994</v>
      </c>
      <c r="J21" s="4">
        <f t="shared" si="13"/>
        <v>723945</v>
      </c>
      <c r="K21" s="12">
        <f t="shared" si="13"/>
        <v>21860735.260000002</v>
      </c>
      <c r="L21" s="4">
        <f t="shared" si="13"/>
        <v>108974</v>
      </c>
      <c r="M21" s="12">
        <f t="shared" si="13"/>
        <v>3038085.0900000003</v>
      </c>
      <c r="N21" s="4">
        <f t="shared" si="13"/>
        <v>49</v>
      </c>
      <c r="O21" s="12">
        <f t="shared" si="13"/>
        <v>686.07999999999993</v>
      </c>
      <c r="P21" s="4">
        <f t="shared" si="13"/>
        <v>36807152</v>
      </c>
      <c r="Q21" s="12">
        <f t="shared" si="13"/>
        <v>1131451821.49</v>
      </c>
      <c r="U21" s="16">
        <f>+(D21+F21)/P21</f>
        <v>0.29250356017765244</v>
      </c>
      <c r="V21" s="16">
        <f>1-U21</f>
        <v>0.70749643982234756</v>
      </c>
      <c r="W21" s="16">
        <f>+H21/P21</f>
        <v>0.68486583803060885</v>
      </c>
      <c r="X21" s="16">
        <f>+J21/P21</f>
        <v>1.9668595929399808E-2</v>
      </c>
      <c r="Y21" s="16">
        <f>+L21/P21</f>
        <v>2.9606745993278698E-3</v>
      </c>
      <c r="Z21" s="16">
        <f>+N21/P21</f>
        <v>1.3312630110582856E-6</v>
      </c>
    </row>
    <row r="23" spans="1:26" x14ac:dyDescent="0.25">
      <c r="B23" s="5" t="s">
        <v>14</v>
      </c>
    </row>
    <row r="24" spans="1:26" x14ac:dyDescent="0.25">
      <c r="B24" s="5" t="s">
        <v>20</v>
      </c>
    </row>
    <row r="25" spans="1:26" x14ac:dyDescent="0.25">
      <c r="B25" s="5"/>
    </row>
    <row r="26" spans="1:26" x14ac:dyDescent="0.25">
      <c r="D26" s="89" t="s">
        <v>15</v>
      </c>
      <c r="E26" s="90"/>
      <c r="F26" s="89" t="s">
        <v>16</v>
      </c>
      <c r="G26" s="90"/>
      <c r="H26" s="89" t="s">
        <v>17</v>
      </c>
      <c r="I26" s="93"/>
      <c r="J26" s="89" t="s">
        <v>18</v>
      </c>
      <c r="K26" s="93"/>
      <c r="L26" s="89" t="s">
        <v>13</v>
      </c>
      <c r="M26" s="93"/>
      <c r="N26" s="89" t="s">
        <v>34</v>
      </c>
      <c r="O26" s="93"/>
      <c r="P26" s="89" t="s">
        <v>12</v>
      </c>
      <c r="Q26" s="93"/>
      <c r="U26" s="94" t="s">
        <v>42</v>
      </c>
      <c r="V26" s="94"/>
      <c r="W26" s="94"/>
      <c r="X26" s="94"/>
      <c r="Y26" s="94"/>
      <c r="Z26" s="94"/>
    </row>
    <row r="27" spans="1:26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U27" s="7" t="s">
        <v>38</v>
      </c>
      <c r="V27" s="10" t="s">
        <v>39</v>
      </c>
      <c r="W27" s="10" t="s">
        <v>40</v>
      </c>
      <c r="X27" s="10" t="s">
        <v>18</v>
      </c>
      <c r="Y27" s="10" t="s">
        <v>13</v>
      </c>
      <c r="Z27" s="10" t="s">
        <v>41</v>
      </c>
    </row>
    <row r="28" spans="1:26" x14ac:dyDescent="0.25">
      <c r="V28" s="9"/>
    </row>
    <row r="29" spans="1:26" x14ac:dyDescent="0.25">
      <c r="B29" s="2" t="s">
        <v>5</v>
      </c>
      <c r="C29" s="2">
        <v>2018</v>
      </c>
      <c r="D29" s="1">
        <v>1190139</v>
      </c>
      <c r="E29" s="11">
        <v>39444156.329999998</v>
      </c>
      <c r="F29" s="1">
        <v>2204</v>
      </c>
      <c r="G29" s="11">
        <v>91667.98000000001</v>
      </c>
      <c r="H29" s="1">
        <v>1513750</v>
      </c>
      <c r="I29" s="11">
        <v>46645894.940000005</v>
      </c>
      <c r="J29" s="8">
        <v>45653</v>
      </c>
      <c r="K29" s="11">
        <v>1469172.78</v>
      </c>
      <c r="L29" s="8">
        <v>5792</v>
      </c>
      <c r="M29" s="11">
        <v>186320.45999999996</v>
      </c>
      <c r="N29" s="8">
        <v>28</v>
      </c>
      <c r="O29" s="11">
        <v>795.58000000000015</v>
      </c>
      <c r="P29" s="8">
        <f t="shared" ref="P29:Q40" si="14">L29+J29+H29+F29+D29+N29</f>
        <v>2757566</v>
      </c>
      <c r="Q29" s="11">
        <f t="shared" si="14"/>
        <v>87838008.070000008</v>
      </c>
      <c r="U29" s="17">
        <f t="shared" ref="U29:U34" si="15">+(D29+F29)/P29</f>
        <v>0.43238965087327014</v>
      </c>
      <c r="V29" s="17">
        <f t="shared" ref="V29:V40" si="16">1-U29</f>
        <v>0.56761034912672992</v>
      </c>
      <c r="W29" s="17">
        <f t="shared" ref="W29:W34" si="17">+H29/P29</f>
        <v>0.54894425011042347</v>
      </c>
      <c r="X29" s="17">
        <f t="shared" ref="X29:X34" si="18">+J29/P29</f>
        <v>1.6555542097632478E-2</v>
      </c>
      <c r="Y29" s="17">
        <f t="shared" ref="Y29:Y34" si="19">+L29/P29</f>
        <v>2.1004030365909645E-3</v>
      </c>
      <c r="Z29" s="17">
        <f t="shared" ref="Z29:Z34" si="20">+N29/P29</f>
        <v>1.015388208296737E-5</v>
      </c>
    </row>
    <row r="30" spans="1:26" x14ac:dyDescent="0.25">
      <c r="B30" s="2" t="s">
        <v>6</v>
      </c>
      <c r="C30" s="2">
        <v>2018</v>
      </c>
      <c r="D30" s="1">
        <v>1133691</v>
      </c>
      <c r="E30" s="11">
        <v>38679865.130000003</v>
      </c>
      <c r="F30" s="1">
        <v>2245</v>
      </c>
      <c r="G30" s="11">
        <v>96816.43</v>
      </c>
      <c r="H30" s="1">
        <v>1509926</v>
      </c>
      <c r="I30" s="11">
        <v>48275117.479999997</v>
      </c>
      <c r="J30" s="8">
        <v>44371</v>
      </c>
      <c r="K30" s="11">
        <v>1496230.36</v>
      </c>
      <c r="L30" s="8">
        <v>5795</v>
      </c>
      <c r="M30" s="11">
        <v>196841.71</v>
      </c>
      <c r="N30" s="8">
        <v>6</v>
      </c>
      <c r="O30" s="11">
        <v>131.09</v>
      </c>
      <c r="P30" s="8">
        <f t="shared" si="14"/>
        <v>2696034</v>
      </c>
      <c r="Q30" s="11">
        <f t="shared" si="14"/>
        <v>88745002.200000003</v>
      </c>
      <c r="U30" s="17">
        <f t="shared" si="15"/>
        <v>0.42133593270708009</v>
      </c>
      <c r="V30" s="17">
        <f t="shared" si="16"/>
        <v>0.57866406729291997</v>
      </c>
      <c r="W30" s="17">
        <f t="shared" si="17"/>
        <v>0.56005450969831982</v>
      </c>
      <c r="X30" s="17">
        <f t="shared" si="18"/>
        <v>1.6457878498564928E-2</v>
      </c>
      <c r="Y30" s="17">
        <f t="shared" si="19"/>
        <v>2.1494536048135894E-3</v>
      </c>
      <c r="Z30" s="17">
        <f t="shared" si="20"/>
        <v>2.2254912215498768E-6</v>
      </c>
    </row>
    <row r="31" spans="1:26" x14ac:dyDescent="0.25">
      <c r="B31" s="2" t="s">
        <v>7</v>
      </c>
      <c r="C31" s="2">
        <v>2018</v>
      </c>
      <c r="D31" s="1">
        <v>1093831</v>
      </c>
      <c r="E31" s="11">
        <v>37637938.870000005</v>
      </c>
      <c r="F31" s="1">
        <v>2418</v>
      </c>
      <c r="G31" s="11">
        <v>101965.06</v>
      </c>
      <c r="H31" s="1">
        <v>1532515</v>
      </c>
      <c r="I31" s="11">
        <v>49552274.780000016</v>
      </c>
      <c r="J31" s="8">
        <v>44445</v>
      </c>
      <c r="K31" s="11">
        <v>1518921.5799999998</v>
      </c>
      <c r="L31" s="8">
        <v>5618</v>
      </c>
      <c r="M31" s="11">
        <v>194922.97999999998</v>
      </c>
      <c r="N31" s="8">
        <v>2</v>
      </c>
      <c r="O31" s="11">
        <v>37.409999999999997</v>
      </c>
      <c r="P31" s="8">
        <f t="shared" si="14"/>
        <v>2678829</v>
      </c>
      <c r="Q31" s="11">
        <f t="shared" si="14"/>
        <v>89006060.680000022</v>
      </c>
      <c r="U31" s="17">
        <f t="shared" si="15"/>
        <v>0.4092269420705838</v>
      </c>
      <c r="V31" s="17">
        <f t="shared" si="16"/>
        <v>0.59077305792941615</v>
      </c>
      <c r="W31" s="17">
        <f t="shared" si="17"/>
        <v>0.57208392174341849</v>
      </c>
      <c r="X31" s="17">
        <f t="shared" si="18"/>
        <v>1.6591204589766647E-2</v>
      </c>
      <c r="Y31" s="17">
        <f t="shared" si="19"/>
        <v>2.0971850013569364E-3</v>
      </c>
      <c r="Z31" s="17">
        <f t="shared" si="20"/>
        <v>7.4659487410357287E-7</v>
      </c>
    </row>
    <row r="32" spans="1:26" x14ac:dyDescent="0.25">
      <c r="B32" s="2" t="s">
        <v>8</v>
      </c>
      <c r="C32" s="2">
        <v>2018</v>
      </c>
      <c r="D32" s="1">
        <v>1116619</v>
      </c>
      <c r="E32" s="11">
        <v>38641663.029999994</v>
      </c>
      <c r="F32" s="1">
        <v>2624</v>
      </c>
      <c r="G32" s="11">
        <v>114391.57</v>
      </c>
      <c r="H32" s="1">
        <v>1591873</v>
      </c>
      <c r="I32" s="11">
        <v>51755737.79999999</v>
      </c>
      <c r="J32" s="8">
        <v>45034</v>
      </c>
      <c r="K32" s="11">
        <v>1529793.9099999997</v>
      </c>
      <c r="L32" s="8">
        <v>5928</v>
      </c>
      <c r="M32" s="11">
        <v>204470.33999999997</v>
      </c>
      <c r="N32" s="8">
        <v>0</v>
      </c>
      <c r="O32" s="11">
        <v>0</v>
      </c>
      <c r="P32" s="8">
        <f t="shared" si="14"/>
        <v>2762078</v>
      </c>
      <c r="Q32" s="11">
        <f t="shared" si="14"/>
        <v>92246056.649999976</v>
      </c>
      <c r="U32" s="17">
        <f t="shared" si="15"/>
        <v>0.40521773823910839</v>
      </c>
      <c r="V32" s="17">
        <f t="shared" si="16"/>
        <v>0.59478226176089155</v>
      </c>
      <c r="W32" s="17">
        <f t="shared" si="17"/>
        <v>0.57633166043826423</v>
      </c>
      <c r="X32" s="17">
        <f t="shared" si="18"/>
        <v>1.6304391114226317E-2</v>
      </c>
      <c r="Y32" s="17">
        <f t="shared" si="19"/>
        <v>2.1462102084010663E-3</v>
      </c>
      <c r="Z32" s="17">
        <f t="shared" si="20"/>
        <v>0</v>
      </c>
    </row>
    <row r="33" spans="1:26" x14ac:dyDescent="0.25">
      <c r="B33" s="2" t="s">
        <v>9</v>
      </c>
      <c r="C33" s="2">
        <v>2018</v>
      </c>
      <c r="D33" s="1">
        <v>1181802</v>
      </c>
      <c r="E33" s="11">
        <v>41377157.739999995</v>
      </c>
      <c r="F33" s="1">
        <v>2681</v>
      </c>
      <c r="G33" s="11">
        <v>114382.93000000001</v>
      </c>
      <c r="H33" s="1">
        <v>1709133</v>
      </c>
      <c r="I33" s="11">
        <v>56158431.120000005</v>
      </c>
      <c r="J33" s="8">
        <v>46459</v>
      </c>
      <c r="K33" s="11">
        <v>1597690.1400000001</v>
      </c>
      <c r="L33" s="8">
        <v>6491</v>
      </c>
      <c r="M33" s="11">
        <v>229095.67</v>
      </c>
      <c r="N33" s="8">
        <v>0</v>
      </c>
      <c r="O33" s="11">
        <v>0</v>
      </c>
      <c r="P33" s="8">
        <f t="shared" si="14"/>
        <v>2946566</v>
      </c>
      <c r="Q33" s="11">
        <f t="shared" si="14"/>
        <v>99476757.599999994</v>
      </c>
      <c r="U33" s="17">
        <f t="shared" si="15"/>
        <v>0.40198760183888638</v>
      </c>
      <c r="V33" s="17">
        <f t="shared" si="16"/>
        <v>0.59801239816111362</v>
      </c>
      <c r="W33" s="17">
        <f t="shared" si="17"/>
        <v>0.58004232723787619</v>
      </c>
      <c r="X33" s="17">
        <f t="shared" si="18"/>
        <v>1.57671676113822E-2</v>
      </c>
      <c r="Y33" s="17">
        <f t="shared" si="19"/>
        <v>2.2029033118552239E-3</v>
      </c>
      <c r="Z33" s="17">
        <f t="shared" si="20"/>
        <v>0</v>
      </c>
    </row>
    <row r="34" spans="1:26" x14ac:dyDescent="0.25">
      <c r="B34" s="2" t="s">
        <v>10</v>
      </c>
      <c r="C34" s="2">
        <v>2018</v>
      </c>
      <c r="D34" s="1">
        <v>1132959</v>
      </c>
      <c r="E34" s="11">
        <v>39944842.330000006</v>
      </c>
      <c r="F34" s="1">
        <v>2521</v>
      </c>
      <c r="G34" s="11">
        <v>104380.60999999999</v>
      </c>
      <c r="H34" s="1">
        <v>1679803</v>
      </c>
      <c r="I34" s="11">
        <v>55606652.580000021</v>
      </c>
      <c r="J34" s="8">
        <v>44713</v>
      </c>
      <c r="K34" s="11">
        <v>1535195.1399999997</v>
      </c>
      <c r="L34" s="8">
        <v>6128</v>
      </c>
      <c r="M34" s="11">
        <v>214522.06</v>
      </c>
      <c r="N34" s="8">
        <v>2</v>
      </c>
      <c r="O34" s="11">
        <v>57.260000000000005</v>
      </c>
      <c r="P34" s="8">
        <f t="shared" si="14"/>
        <v>2866126</v>
      </c>
      <c r="Q34" s="11">
        <f t="shared" si="14"/>
        <v>97405649.980000034</v>
      </c>
      <c r="U34" s="17">
        <f t="shared" si="15"/>
        <v>0.39617239437484603</v>
      </c>
      <c r="V34" s="17">
        <f t="shared" si="16"/>
        <v>0.60382760562515392</v>
      </c>
      <c r="W34" s="17">
        <f t="shared" si="17"/>
        <v>0.58608832968264479</v>
      </c>
      <c r="X34" s="17">
        <f t="shared" si="18"/>
        <v>1.5600500466483329E-2</v>
      </c>
      <c r="Y34" s="17">
        <f t="shared" si="19"/>
        <v>2.1380776699977599E-3</v>
      </c>
      <c r="Z34" s="17">
        <f t="shared" si="20"/>
        <v>6.9780602806715411E-7</v>
      </c>
    </row>
    <row r="35" spans="1:26" x14ac:dyDescent="0.25">
      <c r="B35" s="2" t="s">
        <v>11</v>
      </c>
      <c r="C35" s="2">
        <v>2018</v>
      </c>
      <c r="D35" s="1">
        <v>1082541</v>
      </c>
      <c r="E35" s="11">
        <v>38275289.119999997</v>
      </c>
      <c r="F35" s="1">
        <v>2738</v>
      </c>
      <c r="G35" s="11">
        <v>117263.82</v>
      </c>
      <c r="H35" s="1">
        <v>1642793</v>
      </c>
      <c r="I35" s="11">
        <v>54917546.229999989</v>
      </c>
      <c r="J35" s="8">
        <v>44522</v>
      </c>
      <c r="K35" s="11">
        <v>1562154.5299999998</v>
      </c>
      <c r="L35" s="8">
        <v>5805</v>
      </c>
      <c r="M35" s="11">
        <v>202061.89</v>
      </c>
      <c r="N35" s="8">
        <v>0</v>
      </c>
      <c r="O35" s="11">
        <v>0</v>
      </c>
      <c r="P35" s="8">
        <f t="shared" si="14"/>
        <v>2778399</v>
      </c>
      <c r="Q35" s="11">
        <f t="shared" si="14"/>
        <v>95074315.589999989</v>
      </c>
      <c r="U35" s="17">
        <f t="shared" ref="U35:U40" si="21">+(D35+F35)/P35</f>
        <v>0.39061308329005301</v>
      </c>
      <c r="V35" s="17">
        <f t="shared" si="16"/>
        <v>0.60938691670994705</v>
      </c>
      <c r="W35" s="17">
        <f t="shared" ref="W35:W40" si="22">+H35/P35</f>
        <v>0.59127324765089539</v>
      </c>
      <c r="X35" s="17">
        <f t="shared" ref="X35:X40" si="23">+J35/P35</f>
        <v>1.6024336317425971E-2</v>
      </c>
      <c r="Y35" s="17">
        <f t="shared" ref="Y35:Y40" si="24">+L35/P35</f>
        <v>2.089332741625663E-3</v>
      </c>
      <c r="Z35" s="17">
        <f t="shared" ref="Z35:Z40" si="25">+N35/P35</f>
        <v>0</v>
      </c>
    </row>
    <row r="36" spans="1:26" x14ac:dyDescent="0.25">
      <c r="B36" s="2" t="s">
        <v>4</v>
      </c>
      <c r="C36" s="2">
        <v>2018</v>
      </c>
      <c r="D36" s="1">
        <v>1201358</v>
      </c>
      <c r="E36" s="11">
        <v>42608977.61999999</v>
      </c>
      <c r="F36" s="1">
        <v>2877</v>
      </c>
      <c r="G36" s="11">
        <v>121234.96999999999</v>
      </c>
      <c r="H36" s="1">
        <v>1822298</v>
      </c>
      <c r="I36" s="11">
        <v>60682699.850000001</v>
      </c>
      <c r="J36" s="8">
        <v>48170</v>
      </c>
      <c r="K36" s="11">
        <v>1667965.71</v>
      </c>
      <c r="L36" s="8">
        <v>6406</v>
      </c>
      <c r="M36" s="11">
        <v>223612.04</v>
      </c>
      <c r="N36" s="8">
        <v>1</v>
      </c>
      <c r="O36" s="11">
        <v>15.25</v>
      </c>
      <c r="P36" s="8">
        <f t="shared" si="14"/>
        <v>3081110</v>
      </c>
      <c r="Q36" s="11">
        <f t="shared" si="14"/>
        <v>105304505.44</v>
      </c>
      <c r="U36" s="17">
        <f t="shared" si="21"/>
        <v>0.39084453330131025</v>
      </c>
      <c r="V36" s="17">
        <f t="shared" si="16"/>
        <v>0.60915546669868981</v>
      </c>
      <c r="W36" s="17">
        <f t="shared" si="22"/>
        <v>0.59144204523694388</v>
      </c>
      <c r="X36" s="17">
        <f t="shared" si="23"/>
        <v>1.5633976067066738E-2</v>
      </c>
      <c r="Y36" s="17">
        <f t="shared" si="24"/>
        <v>2.0791208363219751E-3</v>
      </c>
      <c r="Z36" s="17">
        <f t="shared" si="25"/>
        <v>3.2455835721541912E-7</v>
      </c>
    </row>
    <row r="37" spans="1:26" x14ac:dyDescent="0.25">
      <c r="B37" s="2" t="s">
        <v>28</v>
      </c>
      <c r="C37" s="2">
        <v>2018</v>
      </c>
      <c r="D37" s="1">
        <v>1083187</v>
      </c>
      <c r="E37" s="11">
        <v>38226815.489999995</v>
      </c>
      <c r="F37" s="1">
        <v>2534</v>
      </c>
      <c r="G37" s="11">
        <v>106010.47999999997</v>
      </c>
      <c r="H37" s="1">
        <v>1677260</v>
      </c>
      <c r="I37" s="11">
        <v>55913021.929999992</v>
      </c>
      <c r="J37" s="8">
        <v>42774</v>
      </c>
      <c r="K37" s="11">
        <v>1488524.11</v>
      </c>
      <c r="L37" s="8">
        <v>5884</v>
      </c>
      <c r="M37" s="11">
        <v>206247.40999999997</v>
      </c>
      <c r="N37" s="8">
        <v>2</v>
      </c>
      <c r="O37" s="11">
        <v>27.36</v>
      </c>
      <c r="P37" s="8">
        <f t="shared" si="14"/>
        <v>2811641</v>
      </c>
      <c r="Q37" s="11">
        <f t="shared" si="14"/>
        <v>95940646.779999986</v>
      </c>
      <c r="U37" s="17">
        <f t="shared" si="21"/>
        <v>0.38615207275751062</v>
      </c>
      <c r="V37" s="17">
        <f t="shared" si="16"/>
        <v>0.61384792724248938</v>
      </c>
      <c r="W37" s="17">
        <f t="shared" si="22"/>
        <v>0.59654130808307315</v>
      </c>
      <c r="X37" s="17">
        <f t="shared" si="23"/>
        <v>1.521317977650774E-2</v>
      </c>
      <c r="Y37" s="17">
        <f t="shared" si="24"/>
        <v>2.0927280545418136E-3</v>
      </c>
      <c r="Z37" s="17">
        <f t="shared" si="25"/>
        <v>7.1132836660156826E-7</v>
      </c>
    </row>
    <row r="38" spans="1:26" x14ac:dyDescent="0.25">
      <c r="B38" s="2" t="s">
        <v>29</v>
      </c>
      <c r="C38" s="2">
        <v>2018</v>
      </c>
      <c r="D38" s="1">
        <v>1218885</v>
      </c>
      <c r="E38" s="11">
        <v>42936071.850000001</v>
      </c>
      <c r="F38" s="1">
        <v>2811</v>
      </c>
      <c r="G38" s="11">
        <v>116479.03</v>
      </c>
      <c r="H38" s="1">
        <v>1886520</v>
      </c>
      <c r="I38" s="11">
        <v>62489093.779999994</v>
      </c>
      <c r="J38" s="8">
        <v>48704</v>
      </c>
      <c r="K38" s="11">
        <v>1679504.9299999997</v>
      </c>
      <c r="L38" s="8">
        <v>6413</v>
      </c>
      <c r="M38" s="11">
        <v>227320.07</v>
      </c>
      <c r="N38" s="8">
        <v>0</v>
      </c>
      <c r="O38" s="11">
        <v>0</v>
      </c>
      <c r="P38" s="8">
        <f t="shared" si="14"/>
        <v>3163333</v>
      </c>
      <c r="Q38" s="11">
        <f t="shared" si="14"/>
        <v>107448469.66</v>
      </c>
      <c r="U38" s="17">
        <f t="shared" si="21"/>
        <v>0.38620530939992725</v>
      </c>
      <c r="V38" s="17">
        <f t="shared" si="16"/>
        <v>0.61379469060007275</v>
      </c>
      <c r="W38" s="17">
        <f t="shared" si="22"/>
        <v>0.59637097959652052</v>
      </c>
      <c r="X38" s="17">
        <f t="shared" si="23"/>
        <v>1.5396418903732235E-2</v>
      </c>
      <c r="Y38" s="17">
        <f t="shared" si="24"/>
        <v>2.0272920998200316E-3</v>
      </c>
      <c r="Z38" s="17">
        <f t="shared" si="25"/>
        <v>0</v>
      </c>
    </row>
    <row r="39" spans="1:26" x14ac:dyDescent="0.25">
      <c r="B39" s="2" t="s">
        <v>30</v>
      </c>
      <c r="C39" s="2">
        <v>2018</v>
      </c>
      <c r="D39" s="1">
        <v>1101297</v>
      </c>
      <c r="E39" s="11">
        <v>39027101.259999998</v>
      </c>
      <c r="F39" s="1">
        <v>4136</v>
      </c>
      <c r="G39" s="11">
        <v>160302.14000000001</v>
      </c>
      <c r="H39" s="1">
        <v>1746460</v>
      </c>
      <c r="I39" s="11">
        <v>58242628.68999999</v>
      </c>
      <c r="J39" s="8">
        <v>44303</v>
      </c>
      <c r="K39" s="11">
        <v>1522800.7700000003</v>
      </c>
      <c r="L39" s="8">
        <v>6054</v>
      </c>
      <c r="M39" s="11">
        <v>214353.29999999996</v>
      </c>
      <c r="N39" s="8">
        <v>0</v>
      </c>
      <c r="O39" s="11">
        <v>0</v>
      </c>
      <c r="P39" s="8">
        <f t="shared" si="14"/>
        <v>2902250</v>
      </c>
      <c r="Q39" s="11">
        <f t="shared" si="14"/>
        <v>99167186.159999996</v>
      </c>
      <c r="U39" s="17">
        <f t="shared" si="21"/>
        <v>0.38088827633732447</v>
      </c>
      <c r="V39" s="17">
        <f t="shared" si="16"/>
        <v>0.61911172366267553</v>
      </c>
      <c r="W39" s="17">
        <f t="shared" si="22"/>
        <v>0.60176070290292016</v>
      </c>
      <c r="X39" s="17">
        <f t="shared" si="23"/>
        <v>1.5265052976139202E-2</v>
      </c>
      <c r="Y39" s="17">
        <f t="shared" si="24"/>
        <v>2.08596778361616E-3</v>
      </c>
      <c r="Z39" s="17">
        <f t="shared" si="25"/>
        <v>0</v>
      </c>
    </row>
    <row r="40" spans="1:26" x14ac:dyDescent="0.25">
      <c r="B40" s="2" t="s">
        <v>31</v>
      </c>
      <c r="C40" s="2">
        <v>2018</v>
      </c>
      <c r="D40" s="1">
        <v>1007251</v>
      </c>
      <c r="E40" s="11">
        <v>35402420.239999995</v>
      </c>
      <c r="F40" s="1">
        <v>20336</v>
      </c>
      <c r="G40" s="11">
        <v>662012.60999999987</v>
      </c>
      <c r="H40" s="1">
        <v>1636247</v>
      </c>
      <c r="I40" s="11">
        <v>54183506.969999999</v>
      </c>
      <c r="J40" s="8">
        <v>41393</v>
      </c>
      <c r="K40" s="11">
        <v>1420546.0199999998</v>
      </c>
      <c r="L40" s="8">
        <v>5455</v>
      </c>
      <c r="M40" s="11">
        <v>191329.49999999994</v>
      </c>
      <c r="N40" s="8">
        <v>7</v>
      </c>
      <c r="O40" s="11">
        <v>287.8</v>
      </c>
      <c r="P40" s="8">
        <f t="shared" si="14"/>
        <v>2710689</v>
      </c>
      <c r="Q40" s="11">
        <f t="shared" si="14"/>
        <v>91860103.140000001</v>
      </c>
      <c r="U40" s="17">
        <f t="shared" si="21"/>
        <v>0.37908701440851383</v>
      </c>
      <c r="V40" s="17">
        <f t="shared" si="16"/>
        <v>0.62091298559148611</v>
      </c>
      <c r="W40" s="17">
        <f t="shared" si="22"/>
        <v>0.60362771236390456</v>
      </c>
      <c r="X40" s="17">
        <f t="shared" si="23"/>
        <v>1.5270287369742527E-2</v>
      </c>
      <c r="Y40" s="17">
        <f t="shared" si="24"/>
        <v>2.0124034885595507E-3</v>
      </c>
      <c r="Z40" s="17">
        <f t="shared" si="25"/>
        <v>2.5823692795447947E-6</v>
      </c>
    </row>
    <row r="41" spans="1:26" x14ac:dyDescent="0.25">
      <c r="U41" s="18"/>
      <c r="V41" s="19"/>
      <c r="W41" s="18"/>
      <c r="X41" s="18"/>
      <c r="Y41" s="18"/>
      <c r="Z41" s="18"/>
    </row>
    <row r="42" spans="1:26" x14ac:dyDescent="0.25">
      <c r="B42" s="3" t="s">
        <v>12</v>
      </c>
      <c r="C42" s="3"/>
      <c r="D42" s="4">
        <f t="shared" ref="D42:Q42" si="26">SUM(D29:D41)</f>
        <v>13543560</v>
      </c>
      <c r="E42" s="12">
        <f t="shared" si="26"/>
        <v>472202299.01000005</v>
      </c>
      <c r="F42" s="4">
        <f t="shared" si="26"/>
        <v>50125</v>
      </c>
      <c r="G42" s="12">
        <f t="shared" si="26"/>
        <v>1906907.63</v>
      </c>
      <c r="H42" s="4">
        <f t="shared" si="26"/>
        <v>19948578</v>
      </c>
      <c r="I42" s="12">
        <f t="shared" si="26"/>
        <v>654422606.1500001</v>
      </c>
      <c r="J42" s="4">
        <f t="shared" si="26"/>
        <v>540541</v>
      </c>
      <c r="K42" s="12">
        <f t="shared" si="26"/>
        <v>18488499.979999997</v>
      </c>
      <c r="L42" s="4">
        <f t="shared" si="26"/>
        <v>71769</v>
      </c>
      <c r="M42" s="12">
        <f t="shared" si="26"/>
        <v>2491097.4299999997</v>
      </c>
      <c r="N42" s="4">
        <f t="shared" si="26"/>
        <v>48</v>
      </c>
      <c r="O42" s="12">
        <f t="shared" si="26"/>
        <v>1351.75</v>
      </c>
      <c r="P42" s="4">
        <f t="shared" si="26"/>
        <v>34154621</v>
      </c>
      <c r="Q42" s="12">
        <f t="shared" si="26"/>
        <v>1149512761.95</v>
      </c>
      <c r="U42" s="16">
        <f>+(D42+F42)/P42</f>
        <v>0.39800427005177424</v>
      </c>
      <c r="V42" s="16">
        <f>1-U42</f>
        <v>0.6019957299482257</v>
      </c>
      <c r="W42" s="16">
        <f>+H42/P42</f>
        <v>0.58406673580128443</v>
      </c>
      <c r="X42" s="16">
        <f>+J42/P42</f>
        <v>1.5826291850815737E-2</v>
      </c>
      <c r="Y42" s="16">
        <f>+L42/P42</f>
        <v>2.1012969226038257E-3</v>
      </c>
      <c r="Z42" s="16">
        <f>+N42/P42</f>
        <v>1.4053735217849438E-6</v>
      </c>
    </row>
    <row r="44" spans="1:26" x14ac:dyDescent="0.25">
      <c r="B44" s="5" t="s">
        <v>14</v>
      </c>
    </row>
    <row r="45" spans="1:26" x14ac:dyDescent="0.25">
      <c r="B45" s="5" t="s">
        <v>21</v>
      </c>
    </row>
    <row r="46" spans="1:26" x14ac:dyDescent="0.25">
      <c r="B46" s="5"/>
    </row>
    <row r="47" spans="1:26" x14ac:dyDescent="0.25">
      <c r="D47" s="89" t="s">
        <v>15</v>
      </c>
      <c r="E47" s="90"/>
      <c r="F47" s="89" t="s">
        <v>16</v>
      </c>
      <c r="G47" s="90"/>
      <c r="H47" s="89" t="s">
        <v>17</v>
      </c>
      <c r="I47" s="93"/>
      <c r="J47" s="89" t="s">
        <v>18</v>
      </c>
      <c r="K47" s="93"/>
      <c r="L47" s="89" t="s">
        <v>13</v>
      </c>
      <c r="M47" s="93"/>
      <c r="N47" s="89" t="s">
        <v>34</v>
      </c>
      <c r="O47" s="93"/>
      <c r="P47" s="89" t="s">
        <v>12</v>
      </c>
      <c r="Q47" s="93"/>
      <c r="U47" s="94" t="s">
        <v>42</v>
      </c>
      <c r="V47" s="94"/>
      <c r="W47" s="94"/>
      <c r="X47" s="94"/>
      <c r="Y47" s="94"/>
      <c r="Z47" s="94"/>
    </row>
    <row r="48" spans="1:26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U48" s="7" t="s">
        <v>38</v>
      </c>
      <c r="V48" s="10" t="s">
        <v>39</v>
      </c>
      <c r="W48" s="10" t="s">
        <v>40</v>
      </c>
      <c r="X48" s="10" t="s">
        <v>18</v>
      </c>
      <c r="Y48" s="10" t="s">
        <v>13</v>
      </c>
      <c r="Z48" s="10" t="s">
        <v>41</v>
      </c>
    </row>
    <row r="49" spans="2:26" x14ac:dyDescent="0.25">
      <c r="V49" s="9"/>
    </row>
    <row r="50" spans="2:26" x14ac:dyDescent="0.25">
      <c r="B50" s="2" t="s">
        <v>5</v>
      </c>
      <c r="C50" s="2">
        <v>2018</v>
      </c>
      <c r="D50" s="1">
        <v>522342</v>
      </c>
      <c r="E50" s="11">
        <v>17621244</v>
      </c>
      <c r="F50" s="1">
        <v>1462</v>
      </c>
      <c r="G50" s="11">
        <v>50507</v>
      </c>
      <c r="H50" s="1">
        <v>1829640</v>
      </c>
      <c r="I50" s="11">
        <v>60379103</v>
      </c>
      <c r="J50" s="8">
        <v>59461</v>
      </c>
      <c r="K50" s="11">
        <v>1953291</v>
      </c>
      <c r="L50" s="8">
        <v>24414</v>
      </c>
      <c r="M50" s="11">
        <v>801355</v>
      </c>
      <c r="N50" s="8">
        <v>15</v>
      </c>
      <c r="O50" s="11">
        <v>530</v>
      </c>
      <c r="P50" s="27">
        <f t="shared" ref="P50:P57" si="27">L50+J50+H50+F50+D50+N50</f>
        <v>2437334</v>
      </c>
      <c r="Q50" s="14">
        <f t="shared" ref="Q50:Q57" si="28">M50+K50+I50+G50+E50+O50</f>
        <v>80806030</v>
      </c>
      <c r="U50" s="17">
        <f t="shared" ref="U50:U61" si="29">+(D50+F50)/P50</f>
        <v>0.21490858454360379</v>
      </c>
      <c r="V50" s="17">
        <f t="shared" ref="V50:V61" si="30">1-U50</f>
        <v>0.78509141545639616</v>
      </c>
      <c r="W50" s="17">
        <f t="shared" ref="W50:W61" si="31">+H50/P50</f>
        <v>0.75067266119456755</v>
      </c>
      <c r="X50" s="17">
        <f t="shared" ref="X50:X61" si="32">+J50/P50</f>
        <v>2.4395917834814596E-2</v>
      </c>
      <c r="Y50" s="17">
        <f t="shared" ref="Y50:Y61" si="33">+L50/P50</f>
        <v>1.0016682161739015E-2</v>
      </c>
      <c r="Z50" s="17">
        <f t="shared" ref="Z50:Z61" si="34">+N50/P50</f>
        <v>6.154265275091555E-6</v>
      </c>
    </row>
    <row r="51" spans="2:26" x14ac:dyDescent="0.25">
      <c r="B51" s="2" t="s">
        <v>6</v>
      </c>
      <c r="C51" s="2">
        <v>2018</v>
      </c>
      <c r="D51" s="1">
        <v>506718</v>
      </c>
      <c r="E51" s="11">
        <v>18474890</v>
      </c>
      <c r="F51" s="1">
        <v>1479</v>
      </c>
      <c r="G51" s="11">
        <v>54853</v>
      </c>
      <c r="H51" s="1">
        <v>1809402</v>
      </c>
      <c r="I51" s="11">
        <v>64603612</v>
      </c>
      <c r="J51" s="8">
        <v>58409</v>
      </c>
      <c r="K51" s="11">
        <v>2074159</v>
      </c>
      <c r="L51" s="8">
        <v>24391</v>
      </c>
      <c r="M51" s="11">
        <v>869829</v>
      </c>
      <c r="N51" s="8">
        <v>44</v>
      </c>
      <c r="O51" s="11">
        <v>1880</v>
      </c>
      <c r="P51" s="27">
        <f t="shared" si="27"/>
        <v>2400443</v>
      </c>
      <c r="Q51" s="14">
        <f t="shared" si="28"/>
        <v>86079223</v>
      </c>
      <c r="U51" s="17">
        <f t="shared" si="29"/>
        <v>0.21170967192305754</v>
      </c>
      <c r="V51" s="17">
        <f t="shared" si="30"/>
        <v>0.78829032807694244</v>
      </c>
      <c r="W51" s="17">
        <f t="shared" si="31"/>
        <v>0.75377836507677953</v>
      </c>
      <c r="X51" s="17">
        <f t="shared" si="32"/>
        <v>2.4332591942403965E-2</v>
      </c>
      <c r="Y51" s="17">
        <f t="shared" si="33"/>
        <v>1.0161041107828847E-2</v>
      </c>
      <c r="Z51" s="17">
        <f t="shared" si="34"/>
        <v>1.8329949930075406E-5</v>
      </c>
    </row>
    <row r="52" spans="2:26" x14ac:dyDescent="0.25">
      <c r="B52" s="2" t="s">
        <v>7</v>
      </c>
      <c r="C52" s="2">
        <v>2018</v>
      </c>
      <c r="D52" s="1">
        <v>498527</v>
      </c>
      <c r="E52" s="11">
        <v>18179435</v>
      </c>
      <c r="F52" s="1">
        <v>1428</v>
      </c>
      <c r="G52" s="11">
        <v>52906</v>
      </c>
      <c r="H52" s="1">
        <v>1821963</v>
      </c>
      <c r="I52" s="11">
        <v>65052627</v>
      </c>
      <c r="J52" s="8">
        <v>57640</v>
      </c>
      <c r="K52" s="11">
        <v>2044598</v>
      </c>
      <c r="L52" s="8">
        <v>24794</v>
      </c>
      <c r="M52" s="11">
        <v>883348</v>
      </c>
      <c r="N52" s="8">
        <v>32</v>
      </c>
      <c r="O52" s="11">
        <v>1280</v>
      </c>
      <c r="P52" s="27">
        <f t="shared" si="27"/>
        <v>2404384</v>
      </c>
      <c r="Q52" s="14">
        <f t="shared" si="28"/>
        <v>86214194</v>
      </c>
      <c r="U52" s="17">
        <f t="shared" si="29"/>
        <v>0.207934755845988</v>
      </c>
      <c r="V52" s="17">
        <f t="shared" si="30"/>
        <v>0.79206524415401203</v>
      </c>
      <c r="W52" s="17">
        <f t="shared" si="31"/>
        <v>0.75776706216644263</v>
      </c>
      <c r="X52" s="17">
        <f t="shared" si="32"/>
        <v>2.3972876212784648E-2</v>
      </c>
      <c r="Y52" s="17">
        <f t="shared" si="33"/>
        <v>1.0311996752598586E-2</v>
      </c>
      <c r="Z52" s="17">
        <f t="shared" si="34"/>
        <v>1.3309022186139984E-5</v>
      </c>
    </row>
    <row r="53" spans="2:26" x14ac:dyDescent="0.25">
      <c r="B53" s="2" t="s">
        <v>8</v>
      </c>
      <c r="C53" s="2">
        <v>2018</v>
      </c>
      <c r="D53" s="1">
        <v>503805</v>
      </c>
      <c r="E53" s="11">
        <v>18431631</v>
      </c>
      <c r="F53" s="1">
        <v>1839</v>
      </c>
      <c r="G53" s="11">
        <v>67759</v>
      </c>
      <c r="H53" s="1">
        <v>1914241</v>
      </c>
      <c r="I53" s="11">
        <v>68541439</v>
      </c>
      <c r="J53" s="8">
        <v>60385</v>
      </c>
      <c r="K53" s="11">
        <v>2148885</v>
      </c>
      <c r="L53" s="8">
        <v>26187</v>
      </c>
      <c r="M53" s="11">
        <v>930147</v>
      </c>
      <c r="N53" s="8">
        <v>22</v>
      </c>
      <c r="O53" s="11">
        <v>876</v>
      </c>
      <c r="P53" s="27">
        <f t="shared" si="27"/>
        <v>2506479</v>
      </c>
      <c r="Q53" s="14">
        <f t="shared" si="28"/>
        <v>90120737</v>
      </c>
      <c r="U53" s="17">
        <f t="shared" si="29"/>
        <v>0.20173478413343979</v>
      </c>
      <c r="V53" s="17">
        <f t="shared" si="30"/>
        <v>0.79826521586656018</v>
      </c>
      <c r="W53" s="17">
        <f t="shared" si="31"/>
        <v>0.76371715063242107</v>
      </c>
      <c r="X53" s="17">
        <f t="shared" si="32"/>
        <v>2.4091564301955054E-2</v>
      </c>
      <c r="Y53" s="17">
        <f t="shared" si="33"/>
        <v>1.0447723679312694E-2</v>
      </c>
      <c r="Z53" s="17">
        <f t="shared" si="34"/>
        <v>8.7772528714583283E-6</v>
      </c>
    </row>
    <row r="54" spans="2:26" x14ac:dyDescent="0.25">
      <c r="B54" s="2" t="s">
        <v>9</v>
      </c>
      <c r="C54" s="2">
        <v>2018</v>
      </c>
      <c r="D54" s="1">
        <v>533624</v>
      </c>
      <c r="E54" s="11">
        <v>19530876</v>
      </c>
      <c r="F54" s="1">
        <v>1824</v>
      </c>
      <c r="G54" s="11">
        <v>68780</v>
      </c>
      <c r="H54" s="1">
        <v>2002620</v>
      </c>
      <c r="I54" s="11">
        <v>71769098</v>
      </c>
      <c r="J54" s="8">
        <v>60591</v>
      </c>
      <c r="K54" s="11">
        <v>2164815</v>
      </c>
      <c r="L54" s="8">
        <v>25357</v>
      </c>
      <c r="M54" s="11">
        <v>905697</v>
      </c>
      <c r="N54" s="8">
        <v>26</v>
      </c>
      <c r="O54" s="11">
        <v>998</v>
      </c>
      <c r="P54" s="27">
        <f t="shared" si="27"/>
        <v>2624042</v>
      </c>
      <c r="Q54" s="14">
        <f t="shared" si="28"/>
        <v>94440264</v>
      </c>
      <c r="U54" s="17">
        <f t="shared" si="29"/>
        <v>0.20405466071046119</v>
      </c>
      <c r="V54" s="17">
        <f t="shared" si="30"/>
        <v>0.79594533928953881</v>
      </c>
      <c r="W54" s="17">
        <f t="shared" si="31"/>
        <v>0.76318138200531849</v>
      </c>
      <c r="X54" s="17">
        <f t="shared" si="32"/>
        <v>2.3090712724872543E-2</v>
      </c>
      <c r="Y54" s="17">
        <f t="shared" si="33"/>
        <v>9.6633361813568529E-3</v>
      </c>
      <c r="Z54" s="17">
        <f t="shared" si="34"/>
        <v>9.90837799090106E-6</v>
      </c>
    </row>
    <row r="55" spans="2:26" x14ac:dyDescent="0.25">
      <c r="B55" s="2" t="s">
        <v>10</v>
      </c>
      <c r="C55" s="2">
        <v>2018</v>
      </c>
      <c r="D55" s="1">
        <v>501901</v>
      </c>
      <c r="E55" s="11">
        <v>18427469</v>
      </c>
      <c r="F55" s="1">
        <v>1536</v>
      </c>
      <c r="G55" s="11">
        <v>57964</v>
      </c>
      <c r="H55" s="1">
        <v>1911059</v>
      </c>
      <c r="I55" s="11">
        <v>68528025</v>
      </c>
      <c r="J55" s="8">
        <v>56823</v>
      </c>
      <c r="K55" s="11">
        <v>2032683</v>
      </c>
      <c r="L55" s="8">
        <v>24044</v>
      </c>
      <c r="M55" s="11">
        <v>857254</v>
      </c>
      <c r="N55" s="8">
        <v>27</v>
      </c>
      <c r="O55" s="11">
        <v>995</v>
      </c>
      <c r="P55" s="27">
        <f t="shared" si="27"/>
        <v>2495390</v>
      </c>
      <c r="Q55" s="14">
        <f t="shared" si="28"/>
        <v>89904390</v>
      </c>
      <c r="U55" s="17">
        <f t="shared" si="29"/>
        <v>0.20174682113817879</v>
      </c>
      <c r="V55" s="17">
        <f t="shared" si="30"/>
        <v>0.79825317886182123</v>
      </c>
      <c r="W55" s="17">
        <f t="shared" si="31"/>
        <v>0.76583580121744499</v>
      </c>
      <c r="X55" s="17">
        <f t="shared" si="32"/>
        <v>2.2771190074497374E-2</v>
      </c>
      <c r="Y55" s="17">
        <f t="shared" si="33"/>
        <v>9.6353676178873842E-3</v>
      </c>
      <c r="Z55" s="17">
        <f t="shared" si="34"/>
        <v>1.0819951991472276E-5</v>
      </c>
    </row>
    <row r="56" spans="2:26" x14ac:dyDescent="0.25">
      <c r="B56" s="2" t="s">
        <v>11</v>
      </c>
      <c r="C56" s="2">
        <v>2018</v>
      </c>
      <c r="D56" s="1">
        <v>457148</v>
      </c>
      <c r="E56" s="11">
        <v>16792422</v>
      </c>
      <c r="F56" s="1">
        <v>1524</v>
      </c>
      <c r="G56" s="11">
        <v>57302</v>
      </c>
      <c r="H56" s="1">
        <v>1716378</v>
      </c>
      <c r="I56" s="11">
        <v>61561500</v>
      </c>
      <c r="J56" s="8">
        <v>49119</v>
      </c>
      <c r="K56" s="11">
        <v>1741975</v>
      </c>
      <c r="L56" s="8">
        <v>23133</v>
      </c>
      <c r="M56" s="11">
        <v>821355</v>
      </c>
      <c r="N56" s="8">
        <v>17</v>
      </c>
      <c r="O56" s="11">
        <v>607</v>
      </c>
      <c r="P56" s="27">
        <f t="shared" si="27"/>
        <v>2247319</v>
      </c>
      <c r="Q56" s="14">
        <f t="shared" si="28"/>
        <v>80975161</v>
      </c>
      <c r="U56" s="17">
        <f t="shared" si="29"/>
        <v>0.2040974156316927</v>
      </c>
      <c r="V56" s="17">
        <f t="shared" si="30"/>
        <v>0.7959025843683073</v>
      </c>
      <c r="W56" s="17">
        <f t="shared" si="31"/>
        <v>0.76374471091998952</v>
      </c>
      <c r="X56" s="17">
        <f t="shared" si="32"/>
        <v>2.1856710151073346E-2</v>
      </c>
      <c r="Y56" s="17">
        <f t="shared" si="33"/>
        <v>1.0293598728084443E-2</v>
      </c>
      <c r="Z56" s="17">
        <f t="shared" si="34"/>
        <v>7.564569159963494E-6</v>
      </c>
    </row>
    <row r="57" spans="2:26" x14ac:dyDescent="0.25">
      <c r="B57" s="2" t="s">
        <v>4</v>
      </c>
      <c r="C57" s="2">
        <v>2018</v>
      </c>
      <c r="D57" s="1">
        <v>517627</v>
      </c>
      <c r="E57" s="11">
        <v>19028203</v>
      </c>
      <c r="F57" s="1">
        <v>1578</v>
      </c>
      <c r="G57" s="11">
        <v>59422</v>
      </c>
      <c r="H57" s="1">
        <v>1986968</v>
      </c>
      <c r="I57" s="11">
        <v>71234204</v>
      </c>
      <c r="J57" s="8">
        <v>58899</v>
      </c>
      <c r="K57" s="11">
        <v>2093719</v>
      </c>
      <c r="L57" s="8">
        <v>26530</v>
      </c>
      <c r="M57" s="11">
        <v>939406</v>
      </c>
      <c r="N57" s="8">
        <v>49</v>
      </c>
      <c r="O57" s="11">
        <v>1765</v>
      </c>
      <c r="P57" s="27">
        <f t="shared" si="27"/>
        <v>2591651</v>
      </c>
      <c r="Q57" s="14">
        <f t="shared" si="28"/>
        <v>93356719</v>
      </c>
      <c r="U57" s="17">
        <f t="shared" si="29"/>
        <v>0.20033754544882779</v>
      </c>
      <c r="V57" s="17">
        <f t="shared" si="30"/>
        <v>0.79966245455117224</v>
      </c>
      <c r="W57" s="17">
        <f t="shared" si="31"/>
        <v>0.76668039022229462</v>
      </c>
      <c r="X57" s="17">
        <f t="shared" si="32"/>
        <v>2.2726439632496813E-2</v>
      </c>
      <c r="Y57" s="17">
        <f t="shared" si="33"/>
        <v>1.0236717829676913E-2</v>
      </c>
      <c r="Z57" s="17">
        <f t="shared" si="34"/>
        <v>1.8906866703888757E-5</v>
      </c>
    </row>
    <row r="58" spans="2:26" x14ac:dyDescent="0.25">
      <c r="B58" s="2" t="s">
        <v>28</v>
      </c>
      <c r="C58" s="2">
        <v>2018</v>
      </c>
      <c r="D58" s="1">
        <v>508622</v>
      </c>
      <c r="E58" s="11">
        <v>18643220</v>
      </c>
      <c r="F58" s="1">
        <v>1426</v>
      </c>
      <c r="G58" s="11">
        <v>53574</v>
      </c>
      <c r="H58" s="1">
        <v>1938564</v>
      </c>
      <c r="I58" s="11">
        <v>69446136</v>
      </c>
      <c r="J58" s="8">
        <v>56787</v>
      </c>
      <c r="K58" s="11">
        <v>2020825</v>
      </c>
      <c r="L58" s="8">
        <v>24931</v>
      </c>
      <c r="M58" s="11">
        <v>884365</v>
      </c>
      <c r="N58" s="8">
        <v>47</v>
      </c>
      <c r="O58" s="11">
        <v>1795</v>
      </c>
      <c r="P58" s="27">
        <f t="shared" ref="P58:Q61" si="35">L58+J58+H58+F58+D58+N58</f>
        <v>2530377</v>
      </c>
      <c r="Q58" s="14">
        <f t="shared" si="35"/>
        <v>91049915</v>
      </c>
      <c r="U58" s="17">
        <f t="shared" si="29"/>
        <v>0.20156996368525323</v>
      </c>
      <c r="V58" s="17">
        <f t="shared" si="30"/>
        <v>0.79843003631474674</v>
      </c>
      <c r="W58" s="17">
        <f t="shared" si="31"/>
        <v>0.76611666957137214</v>
      </c>
      <c r="X58" s="17">
        <f t="shared" si="32"/>
        <v>2.2442110404892236E-2</v>
      </c>
      <c r="Y58" s="17">
        <f t="shared" si="33"/>
        <v>9.8526820311755914E-3</v>
      </c>
      <c r="Z58" s="17">
        <f t="shared" si="34"/>
        <v>1.8574307306776816E-5</v>
      </c>
    </row>
    <row r="59" spans="2:26" x14ac:dyDescent="0.25">
      <c r="B59" s="2" t="s">
        <v>29</v>
      </c>
      <c r="C59" s="2">
        <v>2018</v>
      </c>
      <c r="D59" s="1">
        <v>556545</v>
      </c>
      <c r="E59" s="11">
        <v>20417903</v>
      </c>
      <c r="F59" s="1">
        <v>1506</v>
      </c>
      <c r="G59" s="11">
        <v>56280</v>
      </c>
      <c r="H59" s="1">
        <v>2128827</v>
      </c>
      <c r="I59" s="11">
        <v>76234707</v>
      </c>
      <c r="J59" s="8">
        <v>62481</v>
      </c>
      <c r="K59" s="11">
        <v>2219673</v>
      </c>
      <c r="L59" s="8">
        <v>27515</v>
      </c>
      <c r="M59" s="11">
        <v>976565</v>
      </c>
      <c r="N59" s="8">
        <v>36</v>
      </c>
      <c r="O59" s="11">
        <v>1288</v>
      </c>
      <c r="P59" s="27">
        <f t="shared" si="35"/>
        <v>2776910</v>
      </c>
      <c r="Q59" s="14">
        <f t="shared" si="35"/>
        <v>99906416</v>
      </c>
      <c r="U59" s="17">
        <f t="shared" si="29"/>
        <v>0.2009611402602173</v>
      </c>
      <c r="V59" s="17">
        <f t="shared" si="30"/>
        <v>0.79903885973978273</v>
      </c>
      <c r="W59" s="17">
        <f t="shared" si="31"/>
        <v>0.76661721121678417</v>
      </c>
      <c r="X59" s="17">
        <f t="shared" si="32"/>
        <v>2.2500189059062051E-2</v>
      </c>
      <c r="Y59" s="17">
        <f t="shared" si="33"/>
        <v>9.9084954139673238E-3</v>
      </c>
      <c r="Z59" s="17">
        <f t="shared" si="34"/>
        <v>1.2964049969210381E-5</v>
      </c>
    </row>
    <row r="60" spans="2:26" x14ac:dyDescent="0.25">
      <c r="B60" s="2" t="s">
        <v>30</v>
      </c>
      <c r="C60" s="2">
        <v>2018</v>
      </c>
      <c r="D60" s="1">
        <v>511852</v>
      </c>
      <c r="E60" s="11">
        <v>18837278</v>
      </c>
      <c r="F60" s="1">
        <v>4080</v>
      </c>
      <c r="G60" s="11">
        <v>151878</v>
      </c>
      <c r="H60" s="1">
        <v>1993096</v>
      </c>
      <c r="I60" s="11">
        <v>71505000</v>
      </c>
      <c r="J60" s="8">
        <v>56028</v>
      </c>
      <c r="K60" s="11">
        <v>2009070</v>
      </c>
      <c r="L60" s="8">
        <v>23948</v>
      </c>
      <c r="M60" s="11">
        <v>851498</v>
      </c>
      <c r="N60" s="8">
        <v>21</v>
      </c>
      <c r="O60" s="11">
        <v>751</v>
      </c>
      <c r="P60" s="27">
        <f t="shared" si="35"/>
        <v>2589025</v>
      </c>
      <c r="Q60" s="14">
        <f t="shared" si="35"/>
        <v>93355475</v>
      </c>
      <c r="U60" s="17">
        <f t="shared" si="29"/>
        <v>0.19927656163999963</v>
      </c>
      <c r="V60" s="17">
        <f t="shared" si="30"/>
        <v>0.80072343836000037</v>
      </c>
      <c r="W60" s="17">
        <f t="shared" si="31"/>
        <v>0.76982493409681252</v>
      </c>
      <c r="X60" s="17">
        <f t="shared" si="32"/>
        <v>2.1640578982435474E-2</v>
      </c>
      <c r="Y60" s="17">
        <f t="shared" si="33"/>
        <v>9.2498141192147616E-3</v>
      </c>
      <c r="Z60" s="17">
        <f t="shared" si="34"/>
        <v>8.1111615376444795E-6</v>
      </c>
    </row>
    <row r="61" spans="2:26" x14ac:dyDescent="0.25">
      <c r="B61" s="2" t="s">
        <v>31</v>
      </c>
      <c r="C61" s="2">
        <v>2018</v>
      </c>
      <c r="D61" s="1">
        <v>444236</v>
      </c>
      <c r="E61" s="11">
        <v>16317760</v>
      </c>
      <c r="F61" s="1">
        <v>20821</v>
      </c>
      <c r="G61" s="11">
        <v>776669</v>
      </c>
      <c r="H61" s="1">
        <v>1714391</v>
      </c>
      <c r="I61" s="11">
        <v>61325041</v>
      </c>
      <c r="J61" s="8">
        <v>47496</v>
      </c>
      <c r="K61" s="11">
        <v>1694976</v>
      </c>
      <c r="L61" s="8">
        <v>20735</v>
      </c>
      <c r="M61" s="11">
        <v>735003</v>
      </c>
      <c r="N61" s="8">
        <v>29</v>
      </c>
      <c r="O61" s="11">
        <v>1039</v>
      </c>
      <c r="P61" s="27">
        <f t="shared" si="35"/>
        <v>2247708</v>
      </c>
      <c r="Q61" s="14">
        <f t="shared" si="35"/>
        <v>80850488</v>
      </c>
      <c r="U61" s="17">
        <f t="shared" si="29"/>
        <v>0.20690276494989562</v>
      </c>
      <c r="V61" s="17">
        <f t="shared" si="30"/>
        <v>0.79309723505010443</v>
      </c>
      <c r="W61" s="17">
        <f t="shared" si="31"/>
        <v>0.76272852167630312</v>
      </c>
      <c r="X61" s="17">
        <f t="shared" si="32"/>
        <v>2.1130858634662509E-2</v>
      </c>
      <c r="Y61" s="17">
        <f t="shared" si="33"/>
        <v>9.2249527073801404E-3</v>
      </c>
      <c r="Z61" s="17">
        <f t="shared" si="34"/>
        <v>1.2902031758573623E-5</v>
      </c>
    </row>
    <row r="62" spans="2:26" x14ac:dyDescent="0.25">
      <c r="U62" s="18"/>
      <c r="V62" s="19"/>
      <c r="W62" s="18"/>
      <c r="X62" s="18"/>
      <c r="Y62" s="18"/>
      <c r="Z62" s="18"/>
    </row>
    <row r="63" spans="2:26" x14ac:dyDescent="0.25">
      <c r="B63" s="3" t="s">
        <v>12</v>
      </c>
      <c r="C63" s="3"/>
      <c r="D63" s="4">
        <f t="shared" ref="D63:Q63" si="36">SUM(D50:D62)</f>
        <v>6062947</v>
      </c>
      <c r="E63" s="12">
        <f t="shared" si="36"/>
        <v>220702331</v>
      </c>
      <c r="F63" s="4">
        <f t="shared" si="36"/>
        <v>40503</v>
      </c>
      <c r="G63" s="12">
        <f t="shared" si="36"/>
        <v>1507894</v>
      </c>
      <c r="H63" s="4">
        <f t="shared" si="36"/>
        <v>22767149</v>
      </c>
      <c r="I63" s="12">
        <f t="shared" si="36"/>
        <v>810180492</v>
      </c>
      <c r="J63" s="4">
        <f t="shared" si="36"/>
        <v>684119</v>
      </c>
      <c r="K63" s="12">
        <f t="shared" si="36"/>
        <v>24198669</v>
      </c>
      <c r="L63" s="4">
        <f t="shared" si="36"/>
        <v>295979</v>
      </c>
      <c r="M63" s="12">
        <f t="shared" si="36"/>
        <v>10455822</v>
      </c>
      <c r="N63" s="4">
        <f t="shared" si="36"/>
        <v>365</v>
      </c>
      <c r="O63" s="12">
        <f t="shared" si="36"/>
        <v>13804</v>
      </c>
      <c r="P63" s="4">
        <f t="shared" si="36"/>
        <v>29851062</v>
      </c>
      <c r="Q63" s="12">
        <f t="shared" si="36"/>
        <v>1067059012</v>
      </c>
      <c r="U63" s="16">
        <f>+(D63+F63)/P63</f>
        <v>0.20446341239048715</v>
      </c>
      <c r="V63" s="16">
        <f>1-U63</f>
        <v>0.79553658760951285</v>
      </c>
      <c r="W63" s="16">
        <f>+H63/P63</f>
        <v>0.76269142451280292</v>
      </c>
      <c r="X63" s="16">
        <f>+J63/P63</f>
        <v>2.2917744099020664E-2</v>
      </c>
      <c r="Y63" s="16">
        <f>+L63/P63</f>
        <v>9.9151916270181616E-3</v>
      </c>
      <c r="Z63" s="16">
        <f>+N63/P63</f>
        <v>1.2227370671100412E-5</v>
      </c>
    </row>
    <row r="65" spans="1:31" x14ac:dyDescent="0.25">
      <c r="B65" s="5" t="s">
        <v>14</v>
      </c>
    </row>
    <row r="66" spans="1:31" x14ac:dyDescent="0.25">
      <c r="B66" s="5" t="s">
        <v>22</v>
      </c>
    </row>
    <row r="67" spans="1:31" x14ac:dyDescent="0.25">
      <c r="B67" s="5"/>
    </row>
    <row r="68" spans="1:31" x14ac:dyDescent="0.25">
      <c r="D68" s="89" t="s">
        <v>15</v>
      </c>
      <c r="E68" s="90"/>
      <c r="F68" s="89" t="s">
        <v>16</v>
      </c>
      <c r="G68" s="90"/>
      <c r="H68" s="89" t="s">
        <v>17</v>
      </c>
      <c r="I68" s="93"/>
      <c r="J68" s="89" t="s">
        <v>18</v>
      </c>
      <c r="K68" s="93"/>
      <c r="L68" s="89" t="s">
        <v>13</v>
      </c>
      <c r="M68" s="93"/>
      <c r="N68" s="89" t="s">
        <v>34</v>
      </c>
      <c r="O68" s="93"/>
      <c r="P68" s="89" t="s">
        <v>12</v>
      </c>
      <c r="Q68" s="93"/>
      <c r="U68" s="94" t="s">
        <v>42</v>
      </c>
      <c r="V68" s="94"/>
      <c r="W68" s="94"/>
      <c r="X68" s="94"/>
      <c r="Y68" s="94"/>
      <c r="Z68" s="94"/>
    </row>
    <row r="69" spans="1:3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U69" s="7" t="s">
        <v>38</v>
      </c>
      <c r="V69" s="10" t="s">
        <v>39</v>
      </c>
      <c r="W69" s="10" t="s">
        <v>40</v>
      </c>
      <c r="X69" s="10" t="s">
        <v>18</v>
      </c>
      <c r="Y69" s="10" t="s">
        <v>13</v>
      </c>
      <c r="Z69" s="10" t="s">
        <v>41</v>
      </c>
    </row>
    <row r="70" spans="1:31" x14ac:dyDescent="0.25">
      <c r="V70" s="9"/>
    </row>
    <row r="71" spans="1:31" x14ac:dyDescent="0.25">
      <c r="B71" s="2" t="s">
        <v>5</v>
      </c>
      <c r="C71" s="2">
        <v>2018</v>
      </c>
      <c r="D71" s="1">
        <v>697445</v>
      </c>
      <c r="E71" s="11">
        <v>25894032</v>
      </c>
      <c r="F71" s="1">
        <v>16216</v>
      </c>
      <c r="G71" s="11">
        <v>1330638</v>
      </c>
      <c r="H71" s="1">
        <v>1880333</v>
      </c>
      <c r="I71" s="11">
        <v>131528128</v>
      </c>
      <c r="J71" s="8">
        <v>233224</v>
      </c>
      <c r="K71" s="11">
        <v>20827055</v>
      </c>
      <c r="L71" s="8">
        <v>56651</v>
      </c>
      <c r="M71" s="11">
        <v>4186218</v>
      </c>
      <c r="N71" s="8">
        <v>1434</v>
      </c>
      <c r="O71" s="11">
        <v>100849</v>
      </c>
      <c r="P71" s="8">
        <f t="shared" ref="P71:P81" si="37">L71+J71+H71+F71+D71+N71</f>
        <v>2885303</v>
      </c>
      <c r="Q71" s="11">
        <f t="shared" ref="Q71:Q81" si="38">M71+K71+I71+G71+E71+O71</f>
        <v>183866920</v>
      </c>
      <c r="U71" s="17">
        <f t="shared" ref="U71:U76" si="39">+(D71+F71)/P71</f>
        <v>0.24734351990068287</v>
      </c>
      <c r="V71" s="17">
        <f t="shared" ref="V71:V82" si="40">1-U71</f>
        <v>0.75265648009931718</v>
      </c>
      <c r="W71" s="17">
        <f t="shared" ref="W71:W76" si="41">+H71/P71</f>
        <v>0.65169342699882815</v>
      </c>
      <c r="X71" s="17">
        <f t="shared" ref="X71:X76" si="42">+J71/P71</f>
        <v>8.0831718540479117E-2</v>
      </c>
      <c r="Y71" s="17">
        <f t="shared" ref="Y71:Y76" si="43">+L71/P71</f>
        <v>1.9634333031920737E-2</v>
      </c>
      <c r="Z71" s="17">
        <f t="shared" ref="Z71:Z76" si="44">+N71/P71</f>
        <v>4.9700152808907763E-4</v>
      </c>
      <c r="AB71" s="9">
        <v>1181085.047</v>
      </c>
      <c r="AC71" s="9">
        <f t="shared" ref="AC71:AC82" si="45">+AB71/H71</f>
        <v>0.62812546873346375</v>
      </c>
      <c r="AD71" s="25">
        <v>810154.90600000008</v>
      </c>
      <c r="AE71" s="26">
        <f>+AD71/I71</f>
        <v>6.1595562737728621E-3</v>
      </c>
    </row>
    <row r="72" spans="1:31" x14ac:dyDescent="0.25">
      <c r="B72" s="2" t="s">
        <v>6</v>
      </c>
      <c r="C72" s="2">
        <v>2018</v>
      </c>
      <c r="D72" s="1">
        <v>640891</v>
      </c>
      <c r="E72" s="11">
        <v>24646383</v>
      </c>
      <c r="F72" s="1">
        <v>16071</v>
      </c>
      <c r="G72" s="11">
        <v>1385024</v>
      </c>
      <c r="H72" s="1">
        <v>1790044</v>
      </c>
      <c r="I72" s="11">
        <v>128680107</v>
      </c>
      <c r="J72" s="8">
        <v>237683</v>
      </c>
      <c r="K72" s="11">
        <v>21307037</v>
      </c>
      <c r="L72" s="8">
        <v>51139</v>
      </c>
      <c r="M72" s="11">
        <v>3947925</v>
      </c>
      <c r="N72" s="8">
        <v>1545</v>
      </c>
      <c r="O72" s="11">
        <v>118339</v>
      </c>
      <c r="P72" s="8">
        <f t="shared" si="37"/>
        <v>2737373</v>
      </c>
      <c r="Q72" s="11">
        <f t="shared" si="38"/>
        <v>180084815</v>
      </c>
      <c r="U72" s="17">
        <f t="shared" si="39"/>
        <v>0.2399972528405884</v>
      </c>
      <c r="V72" s="17">
        <f t="shared" si="40"/>
        <v>0.76000274715941163</v>
      </c>
      <c r="W72" s="17">
        <f t="shared" si="41"/>
        <v>0.65392768906539223</v>
      </c>
      <c r="X72" s="17">
        <f t="shared" si="42"/>
        <v>8.6828868407776358E-2</v>
      </c>
      <c r="Y72" s="17">
        <f t="shared" si="43"/>
        <v>1.8681779940110464E-2</v>
      </c>
      <c r="Z72" s="17">
        <f t="shared" si="44"/>
        <v>5.6440974613251459E-4</v>
      </c>
      <c r="AB72" s="9">
        <v>1105133.2474</v>
      </c>
      <c r="AC72" s="9">
        <f t="shared" si="45"/>
        <v>0.61737769987776836</v>
      </c>
      <c r="AD72" s="25">
        <v>826435.90150000004</v>
      </c>
      <c r="AE72" s="26">
        <f t="shared" ref="AE72:AE82" si="46">+AD72/I72</f>
        <v>6.422406079441635E-3</v>
      </c>
    </row>
    <row r="73" spans="1:31" x14ac:dyDescent="0.25">
      <c r="B73" s="2" t="s">
        <v>7</v>
      </c>
      <c r="C73" s="2">
        <v>2018</v>
      </c>
      <c r="D73" s="1">
        <v>661358</v>
      </c>
      <c r="E73" s="11">
        <v>26679995</v>
      </c>
      <c r="F73" s="1">
        <v>15698</v>
      </c>
      <c r="G73" s="11">
        <v>1350885</v>
      </c>
      <c r="H73" s="1">
        <v>1935696</v>
      </c>
      <c r="I73" s="11">
        <v>143868958</v>
      </c>
      <c r="J73" s="8">
        <v>277182</v>
      </c>
      <c r="K73" s="11">
        <v>25022273</v>
      </c>
      <c r="L73" s="8">
        <v>51583</v>
      </c>
      <c r="M73" s="11">
        <v>4166616</v>
      </c>
      <c r="N73" s="8">
        <v>154</v>
      </c>
      <c r="O73" s="11">
        <v>16238</v>
      </c>
      <c r="P73" s="8">
        <f t="shared" si="37"/>
        <v>2941671</v>
      </c>
      <c r="Q73" s="11">
        <f t="shared" si="38"/>
        <v>201104965</v>
      </c>
      <c r="U73" s="17">
        <f t="shared" si="39"/>
        <v>0.23016034084029111</v>
      </c>
      <c r="V73" s="17">
        <f t="shared" si="40"/>
        <v>0.76983965915970887</v>
      </c>
      <c r="W73" s="17">
        <f t="shared" si="41"/>
        <v>0.65802599950844265</v>
      </c>
      <c r="X73" s="17">
        <f t="shared" si="42"/>
        <v>9.4226036834166707E-2</v>
      </c>
      <c r="Y73" s="17">
        <f t="shared" si="43"/>
        <v>1.7535271619429908E-2</v>
      </c>
      <c r="Z73" s="17">
        <f t="shared" si="44"/>
        <v>5.2351197669623827E-5</v>
      </c>
      <c r="AB73" s="9">
        <v>1165790.5186000001</v>
      </c>
      <c r="AC73" s="9">
        <f t="shared" si="45"/>
        <v>0.60225909367999941</v>
      </c>
      <c r="AD73" s="25">
        <v>975278.24500000011</v>
      </c>
      <c r="AE73" s="26">
        <f t="shared" si="46"/>
        <v>6.7789345148381499E-3</v>
      </c>
    </row>
    <row r="74" spans="1:31" x14ac:dyDescent="0.25">
      <c r="B74" s="2" t="s">
        <v>8</v>
      </c>
      <c r="C74" s="2">
        <v>2018</v>
      </c>
      <c r="D74" s="1">
        <v>630283</v>
      </c>
      <c r="E74" s="11">
        <v>25454390</v>
      </c>
      <c r="F74" s="1">
        <v>15612</v>
      </c>
      <c r="G74" s="11">
        <v>1395911</v>
      </c>
      <c r="H74" s="1">
        <v>1942109</v>
      </c>
      <c r="I74" s="11">
        <v>144429853</v>
      </c>
      <c r="J74" s="8">
        <v>254632</v>
      </c>
      <c r="K74" s="11">
        <v>24376112</v>
      </c>
      <c r="L74" s="8">
        <v>49482</v>
      </c>
      <c r="M74" s="11">
        <v>3983054</v>
      </c>
      <c r="N74" s="8">
        <v>128</v>
      </c>
      <c r="O74" s="11">
        <v>12790</v>
      </c>
      <c r="P74" s="8">
        <f t="shared" si="37"/>
        <v>2892246</v>
      </c>
      <c r="Q74" s="11">
        <f t="shared" si="38"/>
        <v>199652110</v>
      </c>
      <c r="U74" s="17">
        <f t="shared" si="39"/>
        <v>0.22331952399622992</v>
      </c>
      <c r="V74" s="17">
        <f t="shared" si="40"/>
        <v>0.7766804760037701</v>
      </c>
      <c r="W74" s="17">
        <f t="shared" si="41"/>
        <v>0.67148817908296876</v>
      </c>
      <c r="X74" s="17">
        <f t="shared" si="42"/>
        <v>8.8039537439069837E-2</v>
      </c>
      <c r="Y74" s="17">
        <f t="shared" si="43"/>
        <v>1.7108503218605887E-2</v>
      </c>
      <c r="Z74" s="17">
        <f t="shared" si="44"/>
        <v>4.4256263125612415E-5</v>
      </c>
      <c r="AB74" s="9">
        <v>1174174.5018</v>
      </c>
      <c r="AC74" s="9">
        <f t="shared" si="45"/>
        <v>0.60458733356366712</v>
      </c>
      <c r="AD74" s="25">
        <v>967767.37599999993</v>
      </c>
      <c r="AE74" s="26">
        <f t="shared" si="46"/>
        <v>6.7006048673330706E-3</v>
      </c>
    </row>
    <row r="75" spans="1:31" x14ac:dyDescent="0.25">
      <c r="B75" s="2" t="s">
        <v>9</v>
      </c>
      <c r="C75" s="2">
        <v>2018</v>
      </c>
      <c r="D75" s="1">
        <v>659625</v>
      </c>
      <c r="E75" s="11">
        <v>26631219</v>
      </c>
      <c r="F75" s="1">
        <v>16679</v>
      </c>
      <c r="G75" s="11">
        <v>1434569</v>
      </c>
      <c r="H75" s="1">
        <v>2033273</v>
      </c>
      <c r="I75" s="11">
        <v>150256232</v>
      </c>
      <c r="J75" s="8">
        <v>255181</v>
      </c>
      <c r="K75" s="11">
        <v>24412753</v>
      </c>
      <c r="L75" s="8">
        <v>53967</v>
      </c>
      <c r="M75" s="11">
        <v>4238507</v>
      </c>
      <c r="N75" s="8">
        <v>109</v>
      </c>
      <c r="O75" s="11">
        <v>10233</v>
      </c>
      <c r="P75" s="8">
        <f t="shared" si="37"/>
        <v>3018834</v>
      </c>
      <c r="Q75" s="11">
        <f t="shared" si="38"/>
        <v>206983513</v>
      </c>
      <c r="U75" s="17">
        <f t="shared" si="39"/>
        <v>0.22402821751709434</v>
      </c>
      <c r="V75" s="17">
        <f t="shared" si="40"/>
        <v>0.77597178248290566</v>
      </c>
      <c r="W75" s="17">
        <f t="shared" si="41"/>
        <v>0.67352925003494724</v>
      </c>
      <c r="X75" s="17">
        <f t="shared" si="42"/>
        <v>8.452965615201101E-2</v>
      </c>
      <c r="Y75" s="17">
        <f t="shared" si="43"/>
        <v>1.7876769640198832E-2</v>
      </c>
      <c r="Z75" s="17">
        <f t="shared" si="44"/>
        <v>3.6106655748543976E-5</v>
      </c>
      <c r="AB75" s="9">
        <v>1231017.76</v>
      </c>
      <c r="AC75" s="9">
        <f t="shared" si="45"/>
        <v>0.6054365350840738</v>
      </c>
      <c r="AD75" s="25">
        <v>997189.11750000017</v>
      </c>
      <c r="AE75" s="26">
        <f t="shared" si="46"/>
        <v>6.6365907372148139E-3</v>
      </c>
    </row>
    <row r="76" spans="1:31" x14ac:dyDescent="0.25">
      <c r="B76" s="2" t="s">
        <v>10</v>
      </c>
      <c r="C76" s="2">
        <v>2018</v>
      </c>
      <c r="D76" s="1">
        <v>644209</v>
      </c>
      <c r="E76" s="11">
        <v>26143273</v>
      </c>
      <c r="F76" s="1">
        <v>16711</v>
      </c>
      <c r="G76" s="11">
        <v>1461837</v>
      </c>
      <c r="H76" s="1">
        <v>2031308</v>
      </c>
      <c r="I76" s="11">
        <v>148576013</v>
      </c>
      <c r="J76" s="8">
        <v>254168</v>
      </c>
      <c r="K76" s="11">
        <v>24267521</v>
      </c>
      <c r="L76" s="8">
        <v>50599</v>
      </c>
      <c r="M76" s="11">
        <v>3933655</v>
      </c>
      <c r="N76" s="8">
        <v>86</v>
      </c>
      <c r="O76" s="11">
        <v>7624</v>
      </c>
      <c r="P76" s="8">
        <f t="shared" si="37"/>
        <v>2997081</v>
      </c>
      <c r="Q76" s="11">
        <f t="shared" si="38"/>
        <v>204389923</v>
      </c>
      <c r="U76" s="17">
        <f t="shared" si="39"/>
        <v>0.2205212338271805</v>
      </c>
      <c r="V76" s="17">
        <f t="shared" si="40"/>
        <v>0.77947876617281953</v>
      </c>
      <c r="W76" s="17">
        <f t="shared" si="41"/>
        <v>0.67776212921839618</v>
      </c>
      <c r="X76" s="17">
        <f t="shared" si="42"/>
        <v>8.4805182108858582E-2</v>
      </c>
      <c r="Y76" s="17">
        <f t="shared" si="43"/>
        <v>1.6882760259065405E-2</v>
      </c>
      <c r="Z76" s="17">
        <f t="shared" si="44"/>
        <v>2.8694586499330516E-5</v>
      </c>
      <c r="AB76" s="9">
        <v>1176772.06</v>
      </c>
      <c r="AC76" s="9">
        <f t="shared" si="45"/>
        <v>0.57931739549098415</v>
      </c>
      <c r="AD76" s="25">
        <v>1096518.3390000002</v>
      </c>
      <c r="AE76" s="26">
        <f t="shared" si="46"/>
        <v>7.3801841687594627E-3</v>
      </c>
    </row>
    <row r="77" spans="1:31" x14ac:dyDescent="0.25">
      <c r="B77" s="2" t="s">
        <v>11</v>
      </c>
      <c r="C77" s="2">
        <v>2018</v>
      </c>
      <c r="D77" s="1">
        <v>643832</v>
      </c>
      <c r="E77" s="11">
        <v>26443914</v>
      </c>
      <c r="F77" s="1">
        <v>16981</v>
      </c>
      <c r="G77" s="11">
        <v>1459391</v>
      </c>
      <c r="H77" s="1">
        <v>2040984</v>
      </c>
      <c r="I77" s="11">
        <v>148349995</v>
      </c>
      <c r="J77" s="8">
        <v>257269</v>
      </c>
      <c r="K77" s="11">
        <v>24721679</v>
      </c>
      <c r="L77" s="8">
        <v>52558</v>
      </c>
      <c r="M77" s="11">
        <v>4149886</v>
      </c>
      <c r="N77" s="8">
        <v>143</v>
      </c>
      <c r="O77" s="11">
        <v>14619</v>
      </c>
      <c r="P77" s="8">
        <f t="shared" si="37"/>
        <v>3011767</v>
      </c>
      <c r="Q77" s="11">
        <f t="shared" si="38"/>
        <v>205139484</v>
      </c>
      <c r="U77" s="17">
        <f t="shared" ref="U77:U82" si="47">+(D77+F77)/P77</f>
        <v>0.21941039927723494</v>
      </c>
      <c r="V77" s="17">
        <f t="shared" si="40"/>
        <v>0.78058960072276506</v>
      </c>
      <c r="W77" s="17">
        <f t="shared" ref="W77:W82" si="48">+H77/P77</f>
        <v>0.67766995255609086</v>
      </c>
      <c r="X77" s="17">
        <f t="shared" ref="X77:X82" si="49">+J77/P77</f>
        <v>8.5421282589257408E-2</v>
      </c>
      <c r="Y77" s="17">
        <f t="shared" ref="Y77:Y82" si="50">+L77/P77</f>
        <v>1.7450885144833582E-2</v>
      </c>
      <c r="Z77" s="17">
        <f t="shared" ref="Z77:Z82" si="51">+N77/P77</f>
        <v>4.7480432583264246E-5</v>
      </c>
      <c r="AB77" s="9">
        <v>1182169.54</v>
      </c>
      <c r="AC77" s="9">
        <f t="shared" si="45"/>
        <v>0.57921548625564923</v>
      </c>
      <c r="AD77" s="25">
        <v>1095345.3940000001</v>
      </c>
      <c r="AE77" s="26">
        <f t="shared" si="46"/>
        <v>7.383521610499549E-3</v>
      </c>
    </row>
    <row r="78" spans="1:31" x14ac:dyDescent="0.25">
      <c r="B78" s="2" t="s">
        <v>4</v>
      </c>
      <c r="C78" s="2">
        <v>2018</v>
      </c>
      <c r="D78" s="1">
        <v>667473</v>
      </c>
      <c r="E78" s="11">
        <v>28453361</v>
      </c>
      <c r="F78" s="1">
        <v>17995</v>
      </c>
      <c r="G78" s="11">
        <v>1613510</v>
      </c>
      <c r="H78" s="1">
        <v>2132276</v>
      </c>
      <c r="I78" s="11">
        <v>161164560</v>
      </c>
      <c r="J78" s="8">
        <v>263979</v>
      </c>
      <c r="K78" s="11">
        <v>26236466</v>
      </c>
      <c r="L78" s="8">
        <v>55047</v>
      </c>
      <c r="M78" s="11">
        <v>4520711</v>
      </c>
      <c r="N78" s="8">
        <v>115</v>
      </c>
      <c r="O78" s="11">
        <v>10924</v>
      </c>
      <c r="P78" s="8">
        <f t="shared" si="37"/>
        <v>3136885</v>
      </c>
      <c r="Q78" s="11">
        <f t="shared" si="38"/>
        <v>221999532</v>
      </c>
      <c r="U78" s="17">
        <f t="shared" si="47"/>
        <v>0.21851868971925972</v>
      </c>
      <c r="V78" s="17">
        <f t="shared" si="40"/>
        <v>0.7814813102807403</v>
      </c>
      <c r="W78" s="17">
        <f t="shared" si="48"/>
        <v>0.67974312096235601</v>
      </c>
      <c r="X78" s="17">
        <f t="shared" si="49"/>
        <v>8.4153228441590941E-2</v>
      </c>
      <c r="Y78" s="17">
        <f t="shared" si="50"/>
        <v>1.7548300304282751E-2</v>
      </c>
      <c r="Z78" s="17">
        <f t="shared" si="51"/>
        <v>3.6660572510627581E-5</v>
      </c>
      <c r="AB78" s="9">
        <v>1313431.08</v>
      </c>
      <c r="AC78" s="9">
        <f t="shared" si="45"/>
        <v>0.61597611191046564</v>
      </c>
      <c r="AD78" s="25">
        <v>1075101.2335000001</v>
      </c>
      <c r="AE78" s="26">
        <f t="shared" si="46"/>
        <v>6.6708290799168263E-3</v>
      </c>
    </row>
    <row r="79" spans="1:31" x14ac:dyDescent="0.25">
      <c r="B79" s="2" t="s">
        <v>28</v>
      </c>
      <c r="C79" s="2">
        <v>2018</v>
      </c>
      <c r="D79" s="1">
        <v>631917</v>
      </c>
      <c r="E79" s="11">
        <v>27447122</v>
      </c>
      <c r="F79" s="1">
        <v>16184</v>
      </c>
      <c r="G79" s="11">
        <v>1502733</v>
      </c>
      <c r="H79" s="1">
        <v>1991413</v>
      </c>
      <c r="I79" s="11">
        <v>152636844</v>
      </c>
      <c r="J79" s="8">
        <v>255560</v>
      </c>
      <c r="K79" s="11">
        <v>25588587</v>
      </c>
      <c r="L79" s="8">
        <v>50837</v>
      </c>
      <c r="M79" s="11">
        <v>4373176</v>
      </c>
      <c r="N79" s="8">
        <v>123</v>
      </c>
      <c r="O79" s="11">
        <v>11376</v>
      </c>
      <c r="P79" s="8">
        <f t="shared" si="37"/>
        <v>2946034</v>
      </c>
      <c r="Q79" s="11">
        <f t="shared" si="38"/>
        <v>211559838</v>
      </c>
      <c r="U79" s="17">
        <f t="shared" si="47"/>
        <v>0.21999101164480789</v>
      </c>
      <c r="V79" s="17">
        <f t="shared" si="40"/>
        <v>0.78000898835519217</v>
      </c>
      <c r="W79" s="17">
        <f t="shared" si="48"/>
        <v>0.67596402485511031</v>
      </c>
      <c r="X79" s="17">
        <f t="shared" si="49"/>
        <v>8.6747131906827965E-2</v>
      </c>
      <c r="Y79" s="17">
        <f t="shared" si="50"/>
        <v>1.7256080547610787E-2</v>
      </c>
      <c r="Z79" s="17">
        <f t="shared" si="51"/>
        <v>4.1751045643057754E-5</v>
      </c>
      <c r="AB79" s="9">
        <v>1162388.68</v>
      </c>
      <c r="AC79" s="9">
        <f t="shared" si="45"/>
        <v>0.58370045791606262</v>
      </c>
      <c r="AD79" s="25">
        <v>996174.54500000004</v>
      </c>
      <c r="AE79" s="26">
        <f t="shared" si="46"/>
        <v>6.5264356815448836E-3</v>
      </c>
    </row>
    <row r="80" spans="1:31" x14ac:dyDescent="0.25">
      <c r="B80" s="2" t="s">
        <v>29</v>
      </c>
      <c r="C80" s="2">
        <v>2018</v>
      </c>
      <c r="D80" s="1">
        <v>671396</v>
      </c>
      <c r="E80" s="11">
        <v>29467152</v>
      </c>
      <c r="F80" s="1">
        <v>17415</v>
      </c>
      <c r="G80" s="11">
        <v>1658798</v>
      </c>
      <c r="H80" s="1">
        <v>2145739</v>
      </c>
      <c r="I80" s="11">
        <v>164265395</v>
      </c>
      <c r="J80" s="8">
        <v>285897</v>
      </c>
      <c r="K80" s="11">
        <v>27987496</v>
      </c>
      <c r="L80" s="8">
        <v>55432</v>
      </c>
      <c r="M80" s="11">
        <v>4858400</v>
      </c>
      <c r="N80" s="8">
        <v>107</v>
      </c>
      <c r="O80" s="11">
        <v>9416</v>
      </c>
      <c r="P80" s="8">
        <f t="shared" si="37"/>
        <v>3175986</v>
      </c>
      <c r="Q80" s="11">
        <f t="shared" si="38"/>
        <v>228246657</v>
      </c>
      <c r="U80" s="17">
        <f t="shared" si="47"/>
        <v>0.21688099380790721</v>
      </c>
      <c r="V80" s="17">
        <f t="shared" si="40"/>
        <v>0.78311900619209274</v>
      </c>
      <c r="W80" s="17">
        <f t="shared" si="48"/>
        <v>0.67561349451792296</v>
      </c>
      <c r="X80" s="17">
        <f t="shared" si="49"/>
        <v>9.0018343909576429E-2</v>
      </c>
      <c r="Y80" s="17">
        <f t="shared" si="50"/>
        <v>1.7453477439762013E-2</v>
      </c>
      <c r="Z80" s="17">
        <f t="shared" si="51"/>
        <v>3.3690324831406684E-5</v>
      </c>
      <c r="AB80" s="9">
        <v>1247992.3799999999</v>
      </c>
      <c r="AC80" s="9">
        <f t="shared" si="45"/>
        <v>0.58161425038180314</v>
      </c>
      <c r="AD80" s="25">
        <v>1081970.5725</v>
      </c>
      <c r="AE80" s="26">
        <f t="shared" si="46"/>
        <v>6.5867224956297097E-3</v>
      </c>
    </row>
    <row r="81" spans="1:31" x14ac:dyDescent="0.25">
      <c r="B81" s="2" t="s">
        <v>30</v>
      </c>
      <c r="C81" s="2">
        <v>2018</v>
      </c>
      <c r="D81" s="1">
        <v>640881</v>
      </c>
      <c r="E81" s="11">
        <v>28340426</v>
      </c>
      <c r="F81" s="1">
        <v>16594</v>
      </c>
      <c r="G81" s="11">
        <v>1574300</v>
      </c>
      <c r="H81" s="1">
        <v>2081545</v>
      </c>
      <c r="I81" s="11">
        <v>158423844</v>
      </c>
      <c r="J81" s="8">
        <v>279698</v>
      </c>
      <c r="K81" s="11">
        <v>27645518</v>
      </c>
      <c r="L81" s="8">
        <v>53164</v>
      </c>
      <c r="M81" s="11">
        <v>4626548</v>
      </c>
      <c r="N81" s="8">
        <v>122</v>
      </c>
      <c r="O81" s="11">
        <v>11706</v>
      </c>
      <c r="P81" s="8">
        <f t="shared" si="37"/>
        <v>3072004</v>
      </c>
      <c r="Q81" s="11">
        <f t="shared" si="38"/>
        <v>220622342</v>
      </c>
      <c r="U81" s="17">
        <f t="shared" si="47"/>
        <v>0.21402153122196454</v>
      </c>
      <c r="V81" s="17">
        <f t="shared" si="40"/>
        <v>0.78597846877803546</v>
      </c>
      <c r="W81" s="17">
        <f t="shared" si="48"/>
        <v>0.67758538074820218</v>
      </c>
      <c r="X81" s="17">
        <f t="shared" si="49"/>
        <v>9.1047407490354837E-2</v>
      </c>
      <c r="Y81" s="17">
        <f t="shared" si="50"/>
        <v>1.7305967049522072E-2</v>
      </c>
      <c r="Z81" s="17">
        <f t="shared" si="51"/>
        <v>3.9713489956393285E-5</v>
      </c>
      <c r="AB81" s="9">
        <v>1211358.9900000002</v>
      </c>
      <c r="AC81" s="9">
        <f t="shared" si="45"/>
        <v>0.58195186267892374</v>
      </c>
      <c r="AD81" s="25">
        <v>1043590.855</v>
      </c>
      <c r="AE81" s="26">
        <f t="shared" si="46"/>
        <v>6.5873345113378256E-3</v>
      </c>
    </row>
    <row r="82" spans="1:31" x14ac:dyDescent="0.25">
      <c r="B82" s="2" t="s">
        <v>31</v>
      </c>
      <c r="C82" s="2">
        <v>2018</v>
      </c>
      <c r="D82" s="1">
        <v>655965</v>
      </c>
      <c r="E82" s="11">
        <v>29016720</v>
      </c>
      <c r="F82" s="1">
        <v>29275</v>
      </c>
      <c r="G82" s="11">
        <v>1936083</v>
      </c>
      <c r="H82" s="1">
        <v>2052103</v>
      </c>
      <c r="I82" s="11">
        <v>154107273</v>
      </c>
      <c r="J82" s="8">
        <v>284145</v>
      </c>
      <c r="K82" s="11">
        <v>28547154</v>
      </c>
      <c r="L82" s="8">
        <v>49117</v>
      </c>
      <c r="M82" s="11">
        <v>4293954</v>
      </c>
      <c r="N82" s="8">
        <v>112</v>
      </c>
      <c r="O82" s="11">
        <v>9225</v>
      </c>
      <c r="P82" s="8">
        <f>L82+J82+H82+F82+D82+N82</f>
        <v>3070717</v>
      </c>
      <c r="Q82" s="11">
        <f>M82+K82+I82+G82+E82+O82</f>
        <v>217910409</v>
      </c>
      <c r="U82" s="17">
        <f t="shared" si="47"/>
        <v>0.22315309421219864</v>
      </c>
      <c r="V82" s="17">
        <f t="shared" si="40"/>
        <v>0.77684690578780136</v>
      </c>
      <c r="W82" s="17">
        <f t="shared" si="48"/>
        <v>0.66828138184013697</v>
      </c>
      <c r="X82" s="17">
        <f t="shared" si="49"/>
        <v>9.2533763287206208E-2</v>
      </c>
      <c r="Y82" s="17">
        <f t="shared" si="50"/>
        <v>1.5995287094186798E-2</v>
      </c>
      <c r="Z82" s="17">
        <f t="shared" si="51"/>
        <v>3.6473566271330114E-5</v>
      </c>
      <c r="AB82" s="9">
        <v>1177373.1400000001</v>
      </c>
      <c r="AC82" s="9">
        <f t="shared" si="45"/>
        <v>0.57373978791512903</v>
      </c>
      <c r="AD82" s="25">
        <v>1022434.2075</v>
      </c>
      <c r="AE82" s="26">
        <f t="shared" si="46"/>
        <v>6.634561676397973E-3</v>
      </c>
    </row>
    <row r="83" spans="1:31" x14ac:dyDescent="0.25">
      <c r="U83" s="18"/>
      <c r="V83" s="19"/>
      <c r="W83" s="18"/>
      <c r="X83" s="18"/>
      <c r="Y83" s="18"/>
      <c r="Z83" s="18"/>
    </row>
    <row r="84" spans="1:31" x14ac:dyDescent="0.25">
      <c r="B84" s="3" t="s">
        <v>12</v>
      </c>
      <c r="C84" s="3"/>
      <c r="D84" s="4">
        <f t="shared" ref="D84:Q84" si="52">SUM(D71:D83)</f>
        <v>7845275</v>
      </c>
      <c r="E84" s="12">
        <f t="shared" si="52"/>
        <v>324617987</v>
      </c>
      <c r="F84" s="4">
        <f t="shared" si="52"/>
        <v>211431</v>
      </c>
      <c r="G84" s="12">
        <f t="shared" si="52"/>
        <v>18103679</v>
      </c>
      <c r="H84" s="4">
        <f t="shared" si="52"/>
        <v>24056823</v>
      </c>
      <c r="I84" s="12">
        <f t="shared" si="52"/>
        <v>1786287202</v>
      </c>
      <c r="J84" s="4">
        <f t="shared" si="52"/>
        <v>3138618</v>
      </c>
      <c r="K84" s="12">
        <f t="shared" si="52"/>
        <v>300939651</v>
      </c>
      <c r="L84" s="4">
        <f t="shared" si="52"/>
        <v>629576</v>
      </c>
      <c r="M84" s="12">
        <f t="shared" si="52"/>
        <v>51278650</v>
      </c>
      <c r="N84" s="4">
        <f t="shared" si="52"/>
        <v>4178</v>
      </c>
      <c r="O84" s="12">
        <f t="shared" si="52"/>
        <v>333339</v>
      </c>
      <c r="P84" s="4">
        <f t="shared" si="52"/>
        <v>35885901</v>
      </c>
      <c r="Q84" s="12">
        <f t="shared" si="52"/>
        <v>2481560508</v>
      </c>
      <c r="U84" s="16">
        <f>+(D84+F84)/P84</f>
        <v>0.22450895130095799</v>
      </c>
      <c r="V84" s="16">
        <f>1-U84</f>
        <v>0.77549104869904206</v>
      </c>
      <c r="W84" s="16">
        <f>+H84/P84</f>
        <v>0.67036976443757113</v>
      </c>
      <c r="X84" s="16">
        <f>+J84/P84</f>
        <v>8.7461033791516055E-2</v>
      </c>
      <c r="Y84" s="16">
        <f>+L84/P84</f>
        <v>1.754382591647901E-2</v>
      </c>
      <c r="Z84" s="16">
        <f>+N84/P84</f>
        <v>1.1642455347575082E-4</v>
      </c>
      <c r="AB84" s="12">
        <f>AVERAGE(AB71:AB83)</f>
        <v>1194057.2453999999</v>
      </c>
      <c r="AC84" s="12">
        <f>AVERAGE(AC71:AC83)</f>
        <v>0.59610845695733261</v>
      </c>
      <c r="AD84" s="12">
        <f>AVERAGE(AD71:AD83)</f>
        <v>998996.72437500011</v>
      </c>
      <c r="AE84" s="16">
        <f>AVERAGE(AE71:AE83)</f>
        <v>6.7056401413905639E-3</v>
      </c>
    </row>
    <row r="86" spans="1:31" x14ac:dyDescent="0.25">
      <c r="B86" s="5" t="s">
        <v>14</v>
      </c>
    </row>
    <row r="87" spans="1:31" x14ac:dyDescent="0.25">
      <c r="B87" s="5" t="s">
        <v>32</v>
      </c>
    </row>
    <row r="88" spans="1:31" x14ac:dyDescent="0.25">
      <c r="B88" s="5"/>
    </row>
    <row r="89" spans="1:31" x14ac:dyDescent="0.25">
      <c r="D89" s="89" t="s">
        <v>15</v>
      </c>
      <c r="E89" s="90"/>
      <c r="F89" s="89" t="s">
        <v>16</v>
      </c>
      <c r="G89" s="90"/>
      <c r="H89" s="89" t="s">
        <v>17</v>
      </c>
      <c r="I89" s="93"/>
      <c r="J89" s="89" t="s">
        <v>18</v>
      </c>
      <c r="K89" s="93"/>
      <c r="L89" s="89" t="s">
        <v>13</v>
      </c>
      <c r="M89" s="93"/>
      <c r="N89" s="89" t="s">
        <v>34</v>
      </c>
      <c r="O89" s="93"/>
      <c r="P89" s="89" t="s">
        <v>12</v>
      </c>
      <c r="Q89" s="93"/>
      <c r="U89" s="94" t="s">
        <v>42</v>
      </c>
      <c r="V89" s="94"/>
      <c r="W89" s="94"/>
      <c r="X89" s="94"/>
      <c r="Y89" s="94"/>
      <c r="Z89" s="94"/>
    </row>
    <row r="90" spans="1:3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U90" s="7" t="s">
        <v>38</v>
      </c>
      <c r="V90" s="10" t="s">
        <v>39</v>
      </c>
      <c r="W90" s="10" t="s">
        <v>40</v>
      </c>
      <c r="X90" s="10" t="s">
        <v>18</v>
      </c>
      <c r="Y90" s="10" t="s">
        <v>13</v>
      </c>
      <c r="Z90" s="10" t="s">
        <v>41</v>
      </c>
    </row>
    <row r="91" spans="1:31" x14ac:dyDescent="0.25">
      <c r="V91" s="9"/>
    </row>
    <row r="92" spans="1:31" x14ac:dyDescent="0.25">
      <c r="B92" s="2" t="s">
        <v>5</v>
      </c>
      <c r="C92" s="2">
        <v>2018</v>
      </c>
      <c r="D92" s="1">
        <v>9833</v>
      </c>
      <c r="E92" s="11">
        <v>762333</v>
      </c>
      <c r="F92" s="1">
        <v>742</v>
      </c>
      <c r="G92" s="11">
        <v>119685</v>
      </c>
      <c r="H92" s="1">
        <v>180580</v>
      </c>
      <c r="I92" s="11">
        <v>26807493</v>
      </c>
      <c r="J92" s="8">
        <v>25069</v>
      </c>
      <c r="K92" s="11">
        <v>4459961</v>
      </c>
      <c r="L92" s="8">
        <v>3906</v>
      </c>
      <c r="M92" s="11">
        <v>550165</v>
      </c>
      <c r="N92" s="8">
        <v>181</v>
      </c>
      <c r="O92" s="11">
        <v>37444</v>
      </c>
      <c r="P92" s="8">
        <f t="shared" ref="P92:P102" si="53">L92+J92+H92+F92+D92+N92</f>
        <v>220311</v>
      </c>
      <c r="Q92" s="11">
        <f t="shared" ref="Q92:Q102" si="54">M92+K92+I92+G92+E92+O92</f>
        <v>32737081</v>
      </c>
      <c r="U92" s="17">
        <f t="shared" ref="U92:U97" si="55">+(D92+F92)/P92</f>
        <v>4.8000326810735731E-2</v>
      </c>
      <c r="V92" s="17">
        <f t="shared" ref="V92:V103" si="56">1-U92</f>
        <v>0.95199967318926426</v>
      </c>
      <c r="W92" s="17">
        <f t="shared" ref="W92:W97" si="57">+H92/P92</f>
        <v>0.81965948136951849</v>
      </c>
      <c r="X92" s="17">
        <f t="shared" ref="X92:X97" si="58">+J92/P92</f>
        <v>0.11378914352892049</v>
      </c>
      <c r="Y92" s="17">
        <f t="shared" ref="Y92:Y97" si="59">+L92/P92</f>
        <v>1.7729482413497283E-2</v>
      </c>
      <c r="Z92" s="17">
        <f t="shared" ref="Z92:Z97" si="60">+N92/P92</f>
        <v>8.215658773279591E-4</v>
      </c>
      <c r="AB92" s="9">
        <v>120012.6188</v>
      </c>
      <c r="AC92" s="9">
        <f>+AB92/H92</f>
        <v>0.66459529737512457</v>
      </c>
      <c r="AD92" s="25">
        <v>201418.07050000003</v>
      </c>
      <c r="AE92" s="26">
        <f>+AD92/I92</f>
        <v>7.5134989497152912E-3</v>
      </c>
    </row>
    <row r="93" spans="1:31" x14ac:dyDescent="0.25">
      <c r="B93" s="2" t="s">
        <v>6</v>
      </c>
      <c r="C93" s="2">
        <v>2018</v>
      </c>
      <c r="D93" s="1">
        <v>8450</v>
      </c>
      <c r="E93" s="11">
        <v>688062</v>
      </c>
      <c r="F93" s="1">
        <v>738</v>
      </c>
      <c r="G93" s="11">
        <v>126192</v>
      </c>
      <c r="H93" s="1">
        <v>168656</v>
      </c>
      <c r="I93" s="11">
        <v>25629318</v>
      </c>
      <c r="J93" s="8">
        <v>24339</v>
      </c>
      <c r="K93" s="11">
        <v>4350404</v>
      </c>
      <c r="L93" s="8">
        <v>3412</v>
      </c>
      <c r="M93" s="11">
        <v>473624</v>
      </c>
      <c r="N93" s="8">
        <v>205</v>
      </c>
      <c r="O93" s="11">
        <v>43628</v>
      </c>
      <c r="P93" s="8">
        <f t="shared" si="53"/>
        <v>205800</v>
      </c>
      <c r="Q93" s="11">
        <f t="shared" si="54"/>
        <v>31311228</v>
      </c>
      <c r="U93" s="17">
        <f t="shared" si="55"/>
        <v>4.4645286686103014E-2</v>
      </c>
      <c r="V93" s="17">
        <f t="shared" si="56"/>
        <v>0.95535471331389699</v>
      </c>
      <c r="W93" s="17">
        <f t="shared" si="57"/>
        <v>0.81951409135082609</v>
      </c>
      <c r="X93" s="17">
        <f t="shared" si="58"/>
        <v>0.11826530612244898</v>
      </c>
      <c r="Y93" s="17">
        <f t="shared" si="59"/>
        <v>1.6579203109815355E-2</v>
      </c>
      <c r="Z93" s="17">
        <f t="shared" si="60"/>
        <v>9.9611273080660832E-4</v>
      </c>
      <c r="AB93" s="9">
        <v>112359.16059999999</v>
      </c>
      <c r="AC93" s="9">
        <f t="shared" ref="AC93:AC103" si="61">+AB93/H93</f>
        <v>0.66620316265060231</v>
      </c>
      <c r="AD93" s="25">
        <v>191429.27900000001</v>
      </c>
      <c r="AE93" s="26">
        <f t="shared" ref="AE93:AE103" si="62">+AD93/I93</f>
        <v>7.4691522809931972E-3</v>
      </c>
    </row>
    <row r="94" spans="1:31" x14ac:dyDescent="0.25">
      <c r="B94" s="2" t="s">
        <v>7</v>
      </c>
      <c r="C94" s="2">
        <v>2018</v>
      </c>
      <c r="D94" s="1">
        <v>10830</v>
      </c>
      <c r="E94" s="11">
        <v>874525</v>
      </c>
      <c r="F94" s="1">
        <v>734</v>
      </c>
      <c r="G94" s="11">
        <v>125943</v>
      </c>
      <c r="H94" s="1">
        <v>193386</v>
      </c>
      <c r="I94" s="11">
        <v>28796377</v>
      </c>
      <c r="J94" s="8">
        <v>27698</v>
      </c>
      <c r="K94" s="11">
        <v>4959141</v>
      </c>
      <c r="L94" s="8">
        <v>4104</v>
      </c>
      <c r="M94" s="11">
        <v>580887</v>
      </c>
      <c r="N94" s="8">
        <v>212</v>
      </c>
      <c r="O94" s="11">
        <v>44867</v>
      </c>
      <c r="P94" s="8">
        <f t="shared" si="53"/>
        <v>236964</v>
      </c>
      <c r="Q94" s="11">
        <f t="shared" si="54"/>
        <v>35381740</v>
      </c>
      <c r="U94" s="17">
        <f t="shared" si="55"/>
        <v>4.8800661703887513E-2</v>
      </c>
      <c r="V94" s="17">
        <f t="shared" si="56"/>
        <v>0.95119933829611247</v>
      </c>
      <c r="W94" s="17">
        <f t="shared" si="57"/>
        <v>0.81609864789588293</v>
      </c>
      <c r="X94" s="17">
        <f t="shared" si="58"/>
        <v>0.11688695329248325</v>
      </c>
      <c r="Y94" s="17">
        <f t="shared" si="59"/>
        <v>1.7319086443510406E-2</v>
      </c>
      <c r="Z94" s="17">
        <f t="shared" si="60"/>
        <v>8.9465066423591766E-4</v>
      </c>
      <c r="AB94" s="9">
        <v>128434.64</v>
      </c>
      <c r="AC94" s="9">
        <f t="shared" si="61"/>
        <v>0.6641361835913665</v>
      </c>
      <c r="AD94" s="25">
        <v>214593.26449999999</v>
      </c>
      <c r="AE94" s="26">
        <f t="shared" si="62"/>
        <v>7.452092480244997E-3</v>
      </c>
    </row>
    <row r="95" spans="1:31" x14ac:dyDescent="0.25">
      <c r="B95" s="2" t="s">
        <v>8</v>
      </c>
      <c r="C95" s="2">
        <v>2018</v>
      </c>
      <c r="D95" s="1">
        <v>9921</v>
      </c>
      <c r="E95" s="11">
        <v>817415</v>
      </c>
      <c r="F95" s="1">
        <v>734</v>
      </c>
      <c r="G95" s="11">
        <v>121880</v>
      </c>
      <c r="H95" s="1">
        <v>192726</v>
      </c>
      <c r="I95" s="11">
        <v>29277863</v>
      </c>
      <c r="J95" s="8">
        <v>28347</v>
      </c>
      <c r="K95" s="11">
        <v>5090490</v>
      </c>
      <c r="L95" s="8">
        <v>3859</v>
      </c>
      <c r="M95" s="11">
        <v>540898</v>
      </c>
      <c r="N95" s="8">
        <v>32</v>
      </c>
      <c r="O95" s="11">
        <v>6348</v>
      </c>
      <c r="P95" s="8">
        <f t="shared" si="53"/>
        <v>235619</v>
      </c>
      <c r="Q95" s="11">
        <f t="shared" si="54"/>
        <v>35854894</v>
      </c>
      <c r="U95" s="17">
        <f t="shared" si="55"/>
        <v>4.5221310675285099E-2</v>
      </c>
      <c r="V95" s="17">
        <f t="shared" si="56"/>
        <v>0.95477868932471488</v>
      </c>
      <c r="W95" s="17">
        <f t="shared" si="57"/>
        <v>0.81795610710511457</v>
      </c>
      <c r="X95" s="17">
        <f t="shared" si="58"/>
        <v>0.12030863385380636</v>
      </c>
      <c r="Y95" s="17">
        <f t="shared" si="59"/>
        <v>1.637813588887144E-2</v>
      </c>
      <c r="Z95" s="17">
        <f t="shared" si="60"/>
        <v>1.3581247692248926E-4</v>
      </c>
      <c r="AB95" s="9">
        <v>121875.77340000001</v>
      </c>
      <c r="AC95" s="9">
        <f t="shared" si="61"/>
        <v>0.63237847202764552</v>
      </c>
      <c r="AD95" s="25">
        <v>216445.85850000003</v>
      </c>
      <c r="AE95" s="26">
        <f t="shared" si="62"/>
        <v>7.3928161525996629E-3</v>
      </c>
    </row>
    <row r="96" spans="1:31" x14ac:dyDescent="0.25">
      <c r="B96" s="2" t="s">
        <v>9</v>
      </c>
      <c r="C96" s="2">
        <v>2018</v>
      </c>
      <c r="D96" s="1">
        <v>9040</v>
      </c>
      <c r="E96" s="11">
        <v>815553</v>
      </c>
      <c r="F96" s="1">
        <v>773</v>
      </c>
      <c r="G96" s="11">
        <v>125016</v>
      </c>
      <c r="H96" s="1">
        <v>193762</v>
      </c>
      <c r="I96" s="11">
        <v>29611245</v>
      </c>
      <c r="J96" s="8">
        <v>27481</v>
      </c>
      <c r="K96" s="11">
        <v>4954255</v>
      </c>
      <c r="L96" s="8">
        <v>4115</v>
      </c>
      <c r="M96" s="11">
        <v>599673</v>
      </c>
      <c r="N96" s="8">
        <v>4</v>
      </c>
      <c r="O96" s="11">
        <v>801</v>
      </c>
      <c r="P96" s="8">
        <f t="shared" si="53"/>
        <v>235175</v>
      </c>
      <c r="Q96" s="11">
        <f t="shared" si="54"/>
        <v>36106543</v>
      </c>
      <c r="U96" s="17">
        <f t="shared" si="55"/>
        <v>4.172637397682577E-2</v>
      </c>
      <c r="V96" s="17">
        <f t="shared" si="56"/>
        <v>0.95827362602317423</v>
      </c>
      <c r="W96" s="17">
        <f t="shared" si="57"/>
        <v>0.82390560221111941</v>
      </c>
      <c r="X96" s="17">
        <f t="shared" si="58"/>
        <v>0.11685340703731265</v>
      </c>
      <c r="Y96" s="17">
        <f t="shared" si="59"/>
        <v>1.7497608164133094E-2</v>
      </c>
      <c r="Z96" s="17">
        <f t="shared" si="60"/>
        <v>1.7008610609120866E-5</v>
      </c>
      <c r="AB96" s="9">
        <v>130241.10999999999</v>
      </c>
      <c r="AC96" s="9">
        <f t="shared" si="61"/>
        <v>0.67217054943693799</v>
      </c>
      <c r="AD96" s="25">
        <v>218368.05300000001</v>
      </c>
      <c r="AE96" s="26">
        <f t="shared" si="62"/>
        <v>7.3744975261931748E-3</v>
      </c>
    </row>
    <row r="97" spans="1:31" x14ac:dyDescent="0.25">
      <c r="B97" s="2" t="s">
        <v>10</v>
      </c>
      <c r="C97" s="2">
        <v>2018</v>
      </c>
      <c r="D97" s="1">
        <v>8702</v>
      </c>
      <c r="E97" s="11">
        <v>761000</v>
      </c>
      <c r="F97" s="1">
        <v>732</v>
      </c>
      <c r="G97" s="11">
        <v>121859</v>
      </c>
      <c r="H97" s="1">
        <v>184097</v>
      </c>
      <c r="I97" s="11">
        <v>27908173</v>
      </c>
      <c r="J97" s="8">
        <v>26748</v>
      </c>
      <c r="K97" s="11">
        <v>4782716</v>
      </c>
      <c r="L97" s="8">
        <v>3753</v>
      </c>
      <c r="M97" s="11">
        <v>547237</v>
      </c>
      <c r="N97" s="8">
        <v>7</v>
      </c>
      <c r="O97" s="11">
        <v>1233</v>
      </c>
      <c r="P97" s="8">
        <f t="shared" si="53"/>
        <v>224039</v>
      </c>
      <c r="Q97" s="11">
        <f t="shared" si="54"/>
        <v>34122218</v>
      </c>
      <c r="U97" s="17">
        <f t="shared" si="55"/>
        <v>4.2108739996161382E-2</v>
      </c>
      <c r="V97" s="17">
        <f t="shared" si="56"/>
        <v>0.95789126000383862</v>
      </c>
      <c r="W97" s="17">
        <f t="shared" si="57"/>
        <v>0.82171854007561185</v>
      </c>
      <c r="X97" s="17">
        <f t="shared" si="58"/>
        <v>0.11938992764652583</v>
      </c>
      <c r="Y97" s="17">
        <f t="shared" si="59"/>
        <v>1.6751547721602044E-2</v>
      </c>
      <c r="Z97" s="17">
        <f t="shared" si="60"/>
        <v>3.124456009891135E-5</v>
      </c>
      <c r="AB97" s="9">
        <v>118823.87</v>
      </c>
      <c r="AC97" s="9">
        <f t="shared" si="61"/>
        <v>0.64544164217776501</v>
      </c>
      <c r="AD97" s="25">
        <v>224676.89550000004</v>
      </c>
      <c r="AE97" s="26">
        <f t="shared" si="62"/>
        <v>8.0505769940583376E-3</v>
      </c>
    </row>
    <row r="98" spans="1:31" x14ac:dyDescent="0.25">
      <c r="B98" s="2" t="s">
        <v>11</v>
      </c>
      <c r="C98" s="2">
        <v>2018</v>
      </c>
      <c r="D98" s="1">
        <v>10535</v>
      </c>
      <c r="E98" s="11">
        <v>845699</v>
      </c>
      <c r="F98" s="1">
        <v>745</v>
      </c>
      <c r="G98" s="11">
        <v>120565</v>
      </c>
      <c r="H98" s="1">
        <v>197927</v>
      </c>
      <c r="I98" s="11">
        <v>28899015</v>
      </c>
      <c r="J98" s="8">
        <v>28023</v>
      </c>
      <c r="K98" s="11">
        <v>4919029</v>
      </c>
      <c r="L98" s="8">
        <v>3942</v>
      </c>
      <c r="M98" s="11">
        <v>584346</v>
      </c>
      <c r="N98" s="8">
        <v>10</v>
      </c>
      <c r="O98" s="11">
        <v>1571</v>
      </c>
      <c r="P98" s="8">
        <f t="shared" si="53"/>
        <v>241182</v>
      </c>
      <c r="Q98" s="11">
        <f t="shared" si="54"/>
        <v>35370225</v>
      </c>
      <c r="U98" s="17">
        <f t="shared" ref="U98:U103" si="63">+(D98+F98)/P98</f>
        <v>4.6769659427320448E-2</v>
      </c>
      <c r="V98" s="17">
        <f t="shared" si="56"/>
        <v>0.95323034057267952</v>
      </c>
      <c r="W98" s="17">
        <f t="shared" ref="W98:W103" si="64">+H98/P98</f>
        <v>0.82065411183255799</v>
      </c>
      <c r="X98" s="17">
        <f t="shared" ref="X98:X103" si="65">+J98/P98</f>
        <v>0.11619026295494689</v>
      </c>
      <c r="Y98" s="17">
        <f t="shared" ref="Y98:Y103" si="66">+L98/P98</f>
        <v>1.6344503321143369E-2</v>
      </c>
      <c r="Z98" s="17">
        <f t="shared" ref="Z98:Z103" si="67">+N98/P98</f>
        <v>4.146246403131245E-5</v>
      </c>
      <c r="AB98" s="9"/>
      <c r="AC98" s="9"/>
      <c r="AD98" s="25"/>
      <c r="AE98" s="26"/>
    </row>
    <row r="99" spans="1:31" x14ac:dyDescent="0.25">
      <c r="B99" s="2" t="s">
        <v>4</v>
      </c>
      <c r="C99" s="2">
        <v>2018</v>
      </c>
      <c r="D99" s="1">
        <v>9577</v>
      </c>
      <c r="E99" s="11">
        <v>790329</v>
      </c>
      <c r="F99" s="1">
        <v>724</v>
      </c>
      <c r="G99" s="11">
        <v>117788</v>
      </c>
      <c r="H99" s="1">
        <v>197770</v>
      </c>
      <c r="I99" s="11">
        <v>29564227</v>
      </c>
      <c r="J99" s="8">
        <v>28522</v>
      </c>
      <c r="K99" s="11">
        <v>5090913</v>
      </c>
      <c r="L99" s="8">
        <v>3927</v>
      </c>
      <c r="M99" s="11">
        <v>572186</v>
      </c>
      <c r="N99" s="8">
        <v>10</v>
      </c>
      <c r="O99" s="11">
        <v>1807</v>
      </c>
      <c r="P99" s="8">
        <f t="shared" si="53"/>
        <v>240530</v>
      </c>
      <c r="Q99" s="11">
        <f t="shared" si="54"/>
        <v>36137250</v>
      </c>
      <c r="U99" s="17">
        <f t="shared" si="63"/>
        <v>4.2826258678751089E-2</v>
      </c>
      <c r="V99" s="17">
        <f t="shared" si="56"/>
        <v>0.95717374132124888</v>
      </c>
      <c r="W99" s="17">
        <f t="shared" si="64"/>
        <v>0.82222591776493581</v>
      </c>
      <c r="X99" s="17">
        <f t="shared" si="65"/>
        <v>0.1185798029351848</v>
      </c>
      <c r="Y99" s="17">
        <f t="shared" si="66"/>
        <v>1.6326445765600963E-2</v>
      </c>
      <c r="Z99" s="17">
        <f t="shared" si="67"/>
        <v>4.1574855527377042E-5</v>
      </c>
      <c r="AB99" s="9">
        <v>128428.55</v>
      </c>
      <c r="AC99" s="9">
        <f t="shared" si="61"/>
        <v>0.64938337462709206</v>
      </c>
      <c r="AD99" s="25">
        <v>233775.62400000001</v>
      </c>
      <c r="AE99" s="26">
        <f t="shared" si="62"/>
        <v>7.9073815797720669E-3</v>
      </c>
    </row>
    <row r="100" spans="1:31" x14ac:dyDescent="0.25">
      <c r="B100" s="2" t="s">
        <v>28</v>
      </c>
      <c r="C100" s="2">
        <v>2018</v>
      </c>
      <c r="D100" s="1">
        <v>8717</v>
      </c>
      <c r="E100" s="11">
        <v>728687</v>
      </c>
      <c r="F100" s="1">
        <v>761</v>
      </c>
      <c r="G100" s="11">
        <v>129911</v>
      </c>
      <c r="H100" s="1">
        <v>185356</v>
      </c>
      <c r="I100" s="11">
        <v>27678476</v>
      </c>
      <c r="J100" s="8">
        <v>27669</v>
      </c>
      <c r="K100" s="11">
        <v>4965984</v>
      </c>
      <c r="L100" s="8">
        <v>3679</v>
      </c>
      <c r="M100" s="11">
        <v>526350</v>
      </c>
      <c r="N100" s="8">
        <v>3</v>
      </c>
      <c r="O100" s="11">
        <v>580</v>
      </c>
      <c r="P100" s="8">
        <f t="shared" si="53"/>
        <v>226185</v>
      </c>
      <c r="Q100" s="11">
        <f t="shared" si="54"/>
        <v>34029988</v>
      </c>
      <c r="U100" s="17">
        <f t="shared" si="63"/>
        <v>4.1903751353980147E-2</v>
      </c>
      <c r="V100" s="17">
        <f t="shared" si="56"/>
        <v>0.95809624864601983</v>
      </c>
      <c r="W100" s="17">
        <f t="shared" si="64"/>
        <v>0.81948847182616003</v>
      </c>
      <c r="X100" s="17">
        <f t="shared" si="65"/>
        <v>0.12232906691425161</v>
      </c>
      <c r="Y100" s="17">
        <f t="shared" si="66"/>
        <v>1.6265446426597698E-2</v>
      </c>
      <c r="Z100" s="17">
        <f t="shared" si="67"/>
        <v>1.3263479010544466E-5</v>
      </c>
      <c r="AB100" s="9">
        <v>120264.55</v>
      </c>
      <c r="AC100" s="9">
        <f t="shared" si="61"/>
        <v>0.64883008912579043</v>
      </c>
      <c r="AD100" s="25">
        <v>192678.29</v>
      </c>
      <c r="AE100" s="26">
        <f t="shared" si="62"/>
        <v>6.9613041556189732E-3</v>
      </c>
    </row>
    <row r="101" spans="1:31" x14ac:dyDescent="0.25">
      <c r="B101" s="2" t="s">
        <v>29</v>
      </c>
      <c r="C101" s="2">
        <v>2018</v>
      </c>
      <c r="D101" s="1">
        <v>9257</v>
      </c>
      <c r="E101" s="11">
        <v>770508</v>
      </c>
      <c r="F101" s="1">
        <v>780</v>
      </c>
      <c r="G101" s="11">
        <v>126684</v>
      </c>
      <c r="H101" s="1">
        <v>196255</v>
      </c>
      <c r="I101" s="11">
        <v>29020781</v>
      </c>
      <c r="J101" s="8">
        <v>29556</v>
      </c>
      <c r="K101" s="11">
        <v>5222653</v>
      </c>
      <c r="L101" s="8">
        <v>4222</v>
      </c>
      <c r="M101" s="11">
        <v>592669</v>
      </c>
      <c r="N101" s="8">
        <v>5</v>
      </c>
      <c r="O101" s="11">
        <v>1059</v>
      </c>
      <c r="P101" s="8">
        <f t="shared" si="53"/>
        <v>240075</v>
      </c>
      <c r="Q101" s="11">
        <f t="shared" si="54"/>
        <v>35734354</v>
      </c>
      <c r="U101" s="17">
        <f t="shared" si="63"/>
        <v>4.1807768405706547E-2</v>
      </c>
      <c r="V101" s="17">
        <f t="shared" si="56"/>
        <v>0.95819223159429345</v>
      </c>
      <c r="W101" s="17">
        <f t="shared" si="64"/>
        <v>0.8174737061334999</v>
      </c>
      <c r="X101" s="17">
        <f t="shared" si="65"/>
        <v>0.12311152764761012</v>
      </c>
      <c r="Y101" s="17">
        <f t="shared" si="66"/>
        <v>1.7586170988232844E-2</v>
      </c>
      <c r="Z101" s="17">
        <f t="shared" si="67"/>
        <v>2.0826824950536292E-5</v>
      </c>
      <c r="AB101" s="9">
        <v>126457.54000000001</v>
      </c>
      <c r="AC101" s="9">
        <f t="shared" si="61"/>
        <v>0.64435321393085532</v>
      </c>
      <c r="AD101" s="25">
        <v>205315.85</v>
      </c>
      <c r="AE101" s="26">
        <f t="shared" si="62"/>
        <v>7.074787201626311E-3</v>
      </c>
    </row>
    <row r="102" spans="1:31" x14ac:dyDescent="0.25">
      <c r="B102" s="2" t="s">
        <v>30</v>
      </c>
      <c r="C102" s="2">
        <v>2018</v>
      </c>
      <c r="D102" s="1">
        <v>10412</v>
      </c>
      <c r="E102" s="11">
        <v>835279</v>
      </c>
      <c r="F102" s="1">
        <v>788</v>
      </c>
      <c r="G102" s="11">
        <v>126084</v>
      </c>
      <c r="H102" s="1">
        <v>197175</v>
      </c>
      <c r="I102" s="11">
        <v>28792957</v>
      </c>
      <c r="J102" s="8">
        <v>29157</v>
      </c>
      <c r="K102" s="11">
        <v>5116548</v>
      </c>
      <c r="L102" s="8">
        <v>4319</v>
      </c>
      <c r="M102" s="11">
        <v>605855</v>
      </c>
      <c r="N102" s="8">
        <v>5</v>
      </c>
      <c r="O102" s="11">
        <v>602</v>
      </c>
      <c r="P102" s="8">
        <f t="shared" si="53"/>
        <v>241856</v>
      </c>
      <c r="Q102" s="11">
        <f t="shared" si="54"/>
        <v>35477325</v>
      </c>
      <c r="U102" s="17">
        <f t="shared" si="63"/>
        <v>4.6308547234718181E-2</v>
      </c>
      <c r="V102" s="17">
        <f t="shared" si="56"/>
        <v>0.95369145276528178</v>
      </c>
      <c r="W102" s="17">
        <f t="shared" si="64"/>
        <v>0.81525783937549612</v>
      </c>
      <c r="X102" s="17">
        <f t="shared" si="65"/>
        <v>0.12055520640381054</v>
      </c>
      <c r="Y102" s="17">
        <f t="shared" si="66"/>
        <v>1.7857733527388196E-2</v>
      </c>
      <c r="Z102" s="17">
        <f t="shared" si="67"/>
        <v>2.067345858692776E-5</v>
      </c>
      <c r="AB102" s="9">
        <v>126404.41</v>
      </c>
      <c r="AC102" s="9">
        <f t="shared" si="61"/>
        <v>0.64107726638772666</v>
      </c>
      <c r="AD102" s="25">
        <v>205694.47500000001</v>
      </c>
      <c r="AE102" s="26">
        <f t="shared" si="62"/>
        <v>7.1439163056437726E-3</v>
      </c>
    </row>
    <row r="103" spans="1:31" x14ac:dyDescent="0.25">
      <c r="B103" s="2" t="s">
        <v>31</v>
      </c>
      <c r="C103" s="2">
        <v>2018</v>
      </c>
      <c r="D103" s="1">
        <v>12726</v>
      </c>
      <c r="E103" s="11">
        <v>972478</v>
      </c>
      <c r="F103" s="1">
        <v>852</v>
      </c>
      <c r="G103" s="11">
        <v>133603</v>
      </c>
      <c r="H103" s="1">
        <v>196017</v>
      </c>
      <c r="I103" s="11">
        <v>27943080</v>
      </c>
      <c r="J103" s="8">
        <v>29221</v>
      </c>
      <c r="K103" s="11">
        <v>5107811</v>
      </c>
      <c r="L103" s="8">
        <v>4329</v>
      </c>
      <c r="M103" s="11">
        <v>603455</v>
      </c>
      <c r="N103" s="8">
        <v>0</v>
      </c>
      <c r="O103" s="11">
        <v>0</v>
      </c>
      <c r="P103" s="8">
        <f>L103+J103+H103+F103+D103+N103</f>
        <v>243145</v>
      </c>
      <c r="Q103" s="11">
        <f>M103+K103+I103+G103+E103+O103</f>
        <v>34760427</v>
      </c>
      <c r="U103" s="17">
        <f t="shared" si="63"/>
        <v>5.5843221123198089E-2</v>
      </c>
      <c r="V103" s="17">
        <f t="shared" si="56"/>
        <v>0.94415677887680194</v>
      </c>
      <c r="W103" s="17">
        <f t="shared" si="64"/>
        <v>0.80617327109338044</v>
      </c>
      <c r="X103" s="17">
        <f t="shared" si="65"/>
        <v>0.12017931686853524</v>
      </c>
      <c r="Y103" s="17">
        <f t="shared" si="66"/>
        <v>1.7804190914886178E-2</v>
      </c>
      <c r="Z103" s="17">
        <f t="shared" si="67"/>
        <v>0</v>
      </c>
      <c r="AB103" s="9">
        <v>124665.25</v>
      </c>
      <c r="AC103" s="9">
        <f t="shared" si="61"/>
        <v>0.63599203130340731</v>
      </c>
      <c r="AD103" s="25">
        <v>199612.07500000001</v>
      </c>
      <c r="AE103" s="26">
        <f t="shared" si="62"/>
        <v>7.1435244432610867E-3</v>
      </c>
    </row>
    <row r="104" spans="1:31" x14ac:dyDescent="0.25">
      <c r="U104" s="18"/>
      <c r="V104" s="19"/>
      <c r="W104" s="18"/>
      <c r="X104" s="18"/>
      <c r="Y104" s="18"/>
      <c r="Z104" s="18"/>
    </row>
    <row r="105" spans="1:31" x14ac:dyDescent="0.25">
      <c r="B105" s="3" t="s">
        <v>12</v>
      </c>
      <c r="C105" s="3"/>
      <c r="D105" s="4">
        <f t="shared" ref="D105:Q105" si="68">SUM(D92:D104)</f>
        <v>118000</v>
      </c>
      <c r="E105" s="12">
        <f t="shared" si="68"/>
        <v>9661868</v>
      </c>
      <c r="F105" s="4">
        <f t="shared" si="68"/>
        <v>9103</v>
      </c>
      <c r="G105" s="12">
        <f t="shared" si="68"/>
        <v>1495210</v>
      </c>
      <c r="H105" s="4">
        <f t="shared" si="68"/>
        <v>2283707</v>
      </c>
      <c r="I105" s="12">
        <f t="shared" si="68"/>
        <v>339929005</v>
      </c>
      <c r="J105" s="4">
        <f t="shared" si="68"/>
        <v>331830</v>
      </c>
      <c r="K105" s="12">
        <f t="shared" si="68"/>
        <v>59019905</v>
      </c>
      <c r="L105" s="4">
        <f t="shared" si="68"/>
        <v>47567</v>
      </c>
      <c r="M105" s="12">
        <f t="shared" si="68"/>
        <v>6777345</v>
      </c>
      <c r="N105" s="4">
        <f t="shared" si="68"/>
        <v>674</v>
      </c>
      <c r="O105" s="12">
        <f t="shared" si="68"/>
        <v>139940</v>
      </c>
      <c r="P105" s="4">
        <f t="shared" si="68"/>
        <v>2790881</v>
      </c>
      <c r="Q105" s="12">
        <f t="shared" si="68"/>
        <v>417023273</v>
      </c>
      <c r="U105" s="16">
        <f>+(D105+F105)/P105</f>
        <v>4.5542249920365645E-2</v>
      </c>
      <c r="V105" s="16">
        <f>1-U105</f>
        <v>0.9544577500796344</v>
      </c>
      <c r="W105" s="16">
        <f>+H105/P105</f>
        <v>0.81827458784520013</v>
      </c>
      <c r="X105" s="16">
        <f>+J105/P105</f>
        <v>0.11889793939619783</v>
      </c>
      <c r="Y105" s="16">
        <f>+L105/P105</f>
        <v>1.7043722036159909E-2</v>
      </c>
      <c r="Z105" s="16">
        <f>+N105/P105</f>
        <v>2.4150080207647692E-4</v>
      </c>
      <c r="AB105" s="12">
        <f>AVERAGE(AB92:AB104)</f>
        <v>123451.58843636363</v>
      </c>
      <c r="AC105" s="12">
        <f>AVERAGE(AC92:AC104)</f>
        <v>0.65132375296675593</v>
      </c>
      <c r="AD105" s="12">
        <f>AVERAGE(AD92:AD104)</f>
        <v>209455.24863636371</v>
      </c>
      <c r="AE105" s="16">
        <f>AVERAGE(AE92:AE104)</f>
        <v>7.4075952790660796E-3</v>
      </c>
    </row>
    <row r="106" spans="1:31" x14ac:dyDescent="0.25">
      <c r="L106" s="9"/>
      <c r="N106"/>
    </row>
    <row r="107" spans="1:31" x14ac:dyDescent="0.25">
      <c r="B107" s="5" t="s">
        <v>14</v>
      </c>
      <c r="L107" s="9"/>
      <c r="N107"/>
    </row>
    <row r="108" spans="1:31" x14ac:dyDescent="0.25">
      <c r="B108" s="5" t="s">
        <v>35</v>
      </c>
      <c r="L108" s="9"/>
      <c r="N108"/>
    </row>
    <row r="109" spans="1:31" x14ac:dyDescent="0.25">
      <c r="B109" s="5"/>
      <c r="L109" s="9"/>
      <c r="N109"/>
    </row>
    <row r="110" spans="1:31" x14ac:dyDescent="0.25">
      <c r="D110" s="89" t="s">
        <v>15</v>
      </c>
      <c r="E110" s="90"/>
      <c r="F110" s="89" t="s">
        <v>16</v>
      </c>
      <c r="G110" s="90"/>
      <c r="H110" s="89" t="s">
        <v>17</v>
      </c>
      <c r="I110" s="93"/>
      <c r="J110" s="89" t="s">
        <v>18</v>
      </c>
      <c r="K110" s="93"/>
      <c r="L110" s="89" t="s">
        <v>13</v>
      </c>
      <c r="M110" s="93"/>
      <c r="N110" s="89" t="s">
        <v>34</v>
      </c>
      <c r="O110" s="93"/>
      <c r="P110" s="89" t="s">
        <v>46</v>
      </c>
      <c r="Q110" s="90"/>
      <c r="R110" s="89" t="s">
        <v>12</v>
      </c>
      <c r="S110" s="93"/>
      <c r="U110" s="94" t="s">
        <v>42</v>
      </c>
      <c r="V110" s="94"/>
      <c r="W110" s="94"/>
      <c r="X110" s="94"/>
      <c r="Y110" s="94"/>
      <c r="Z110" s="94"/>
    </row>
    <row r="111" spans="1:3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U111" s="7" t="s">
        <v>38</v>
      </c>
      <c r="V111" s="10" t="s">
        <v>39</v>
      </c>
      <c r="W111" s="10" t="s">
        <v>40</v>
      </c>
      <c r="X111" s="10" t="s">
        <v>18</v>
      </c>
      <c r="Y111" s="10" t="s">
        <v>13</v>
      </c>
      <c r="Z111" s="10" t="s">
        <v>41</v>
      </c>
    </row>
    <row r="112" spans="1:31" x14ac:dyDescent="0.25">
      <c r="P112" s="9"/>
      <c r="S112" s="9"/>
      <c r="V112" s="9"/>
    </row>
    <row r="113" spans="2:31" x14ac:dyDescent="0.25">
      <c r="B113" s="2" t="s">
        <v>5</v>
      </c>
      <c r="C113" s="2">
        <v>2018</v>
      </c>
      <c r="D113" s="1">
        <v>0</v>
      </c>
      <c r="E113" s="11">
        <v>0</v>
      </c>
      <c r="F113" s="1">
        <v>0</v>
      </c>
      <c r="G113" s="11">
        <v>0</v>
      </c>
      <c r="H113" s="1">
        <v>0</v>
      </c>
      <c r="I113" s="11">
        <v>0</v>
      </c>
      <c r="J113" s="1">
        <v>0</v>
      </c>
      <c r="K113" s="11">
        <v>0</v>
      </c>
      <c r="L113" s="1">
        <v>0</v>
      </c>
      <c r="M113" s="11">
        <v>0</v>
      </c>
      <c r="N113" s="1">
        <v>0</v>
      </c>
      <c r="O113" s="11">
        <v>0</v>
      </c>
      <c r="P113" s="11"/>
      <c r="Q113" s="11"/>
      <c r="R113" s="8">
        <f t="shared" ref="R113:R124" si="69">L113+J113+H113+F113+D113+N113+P113</f>
        <v>0</v>
      </c>
      <c r="S113" s="11">
        <f t="shared" ref="S113:S124" si="70">M113+K113+I113+G113+E113+O113+Q113</f>
        <v>0</v>
      </c>
      <c r="U113" s="17"/>
      <c r="V113" s="17"/>
      <c r="W113" s="17"/>
      <c r="X113" s="17"/>
      <c r="Y113" s="17"/>
      <c r="Z113" s="17"/>
      <c r="AB113" s="9"/>
      <c r="AC113" s="9"/>
      <c r="AD113" s="25"/>
      <c r="AE113" s="26"/>
    </row>
    <row r="114" spans="2:31" x14ac:dyDescent="0.25">
      <c r="B114" s="2" t="s">
        <v>6</v>
      </c>
      <c r="C114" s="2">
        <v>2018</v>
      </c>
      <c r="D114" s="1">
        <v>0</v>
      </c>
      <c r="E114" s="11">
        <v>0</v>
      </c>
      <c r="F114" s="1">
        <v>0</v>
      </c>
      <c r="G114" s="11">
        <v>0</v>
      </c>
      <c r="H114" s="1">
        <v>0</v>
      </c>
      <c r="I114" s="11">
        <v>0</v>
      </c>
      <c r="J114" s="1">
        <v>0</v>
      </c>
      <c r="K114" s="11">
        <v>0</v>
      </c>
      <c r="L114" s="1">
        <v>0</v>
      </c>
      <c r="M114" s="11">
        <v>0</v>
      </c>
      <c r="N114" s="1">
        <v>0</v>
      </c>
      <c r="O114" s="11">
        <v>0</v>
      </c>
      <c r="P114" s="11"/>
      <c r="Q114" s="11"/>
      <c r="R114" s="8">
        <f t="shared" si="69"/>
        <v>0</v>
      </c>
      <c r="S114" s="11">
        <f t="shared" si="70"/>
        <v>0</v>
      </c>
      <c r="U114" s="17"/>
      <c r="V114" s="17"/>
      <c r="W114" s="17"/>
      <c r="X114" s="17"/>
      <c r="Y114" s="17"/>
      <c r="Z114" s="17"/>
      <c r="AB114" s="9"/>
      <c r="AC114" s="9"/>
      <c r="AD114" s="25"/>
      <c r="AE114" s="26"/>
    </row>
    <row r="115" spans="2:31" x14ac:dyDescent="0.25">
      <c r="B115" s="2" t="s">
        <v>7</v>
      </c>
      <c r="C115" s="2">
        <v>2018</v>
      </c>
      <c r="D115" s="1">
        <v>458</v>
      </c>
      <c r="E115" s="11">
        <v>36906</v>
      </c>
      <c r="F115" s="1">
        <v>25</v>
      </c>
      <c r="G115" s="11">
        <v>1960</v>
      </c>
      <c r="H115" s="1">
        <v>6296</v>
      </c>
      <c r="I115" s="11">
        <v>714203</v>
      </c>
      <c r="J115" s="8">
        <v>1864</v>
      </c>
      <c r="K115" s="11">
        <v>228521</v>
      </c>
      <c r="L115" s="8">
        <v>336</v>
      </c>
      <c r="M115" s="11">
        <v>38326</v>
      </c>
      <c r="N115" s="1">
        <v>0</v>
      </c>
      <c r="O115" s="11">
        <v>0</v>
      </c>
      <c r="P115" s="11"/>
      <c r="Q115" s="11"/>
      <c r="R115" s="8">
        <f t="shared" si="69"/>
        <v>8979</v>
      </c>
      <c r="S115" s="11">
        <f t="shared" si="70"/>
        <v>1019916</v>
      </c>
      <c r="U115" s="17">
        <f t="shared" ref="U115:U124" si="71">+(D115+F115+P115)/R115</f>
        <v>5.3792181757434013E-2</v>
      </c>
      <c r="V115" s="17">
        <f t="shared" ref="V115:V124" si="72">1-U115</f>
        <v>0.94620781824256595</v>
      </c>
      <c r="W115" s="17">
        <f t="shared" ref="W115:W124" si="73">+H115/R115</f>
        <v>0.70119166945094114</v>
      </c>
      <c r="X115" s="17">
        <f t="shared" ref="X115:X124" si="74">+J115/R115</f>
        <v>0.20759550061254037</v>
      </c>
      <c r="Y115" s="17">
        <f t="shared" ref="Y115:Y124" si="75">+L115/R115</f>
        <v>3.7420648179084533E-2</v>
      </c>
      <c r="Z115" s="17">
        <f t="shared" ref="Z115:Z124" si="76">+N115/R115</f>
        <v>0</v>
      </c>
      <c r="AB115" s="9">
        <v>4349.92</v>
      </c>
      <c r="AC115" s="9">
        <f t="shared" ref="AC115:AC124" si="77">+AB115/H115</f>
        <v>0.69090216010165184</v>
      </c>
      <c r="AD115" s="25">
        <v>6033.8075000000008</v>
      </c>
      <c r="AE115" s="26">
        <f t="shared" ref="AE115:AE124" si="78">+AD115/I115</f>
        <v>8.4483088141606814E-3</v>
      </c>
    </row>
    <row r="116" spans="2:31" x14ac:dyDescent="0.25">
      <c r="B116" s="2" t="s">
        <v>8</v>
      </c>
      <c r="C116" s="2">
        <v>2018</v>
      </c>
      <c r="D116" s="1">
        <v>2066</v>
      </c>
      <c r="E116" s="11">
        <v>185940</v>
      </c>
      <c r="F116" s="1">
        <v>143</v>
      </c>
      <c r="G116" s="11">
        <v>12559</v>
      </c>
      <c r="H116" s="1">
        <v>33274</v>
      </c>
      <c r="I116" s="11">
        <v>3929942</v>
      </c>
      <c r="J116" s="8">
        <v>9732</v>
      </c>
      <c r="K116" s="11">
        <v>1181430</v>
      </c>
      <c r="L116" s="8">
        <v>1665</v>
      </c>
      <c r="M116" s="11">
        <v>204018</v>
      </c>
      <c r="N116" s="8">
        <v>0</v>
      </c>
      <c r="O116" s="11">
        <v>0</v>
      </c>
      <c r="P116" s="11"/>
      <c r="Q116" s="11"/>
      <c r="R116" s="8">
        <f t="shared" si="69"/>
        <v>46880</v>
      </c>
      <c r="S116" s="11">
        <f t="shared" si="70"/>
        <v>5513889</v>
      </c>
      <c r="U116" s="17">
        <f t="shared" si="71"/>
        <v>4.7120307167235496E-2</v>
      </c>
      <c r="V116" s="17">
        <f t="shared" si="72"/>
        <v>0.95287969283276452</v>
      </c>
      <c r="W116" s="17">
        <f t="shared" si="73"/>
        <v>0.70976962457337889</v>
      </c>
      <c r="X116" s="17">
        <f t="shared" si="74"/>
        <v>0.20759385665529009</v>
      </c>
      <c r="Y116" s="17">
        <f t="shared" si="75"/>
        <v>3.5516211604095564E-2</v>
      </c>
      <c r="Z116" s="17">
        <f t="shared" si="76"/>
        <v>0</v>
      </c>
      <c r="AB116" s="9">
        <v>21065.440000000002</v>
      </c>
      <c r="AC116" s="9">
        <f t="shared" si="77"/>
        <v>0.63309010037867408</v>
      </c>
      <c r="AD116" s="25">
        <v>33086.823000000004</v>
      </c>
      <c r="AE116" s="26">
        <f t="shared" si="78"/>
        <v>8.4191631835787914E-3</v>
      </c>
    </row>
    <row r="117" spans="2:31" x14ac:dyDescent="0.25">
      <c r="B117" s="2" t="s">
        <v>9</v>
      </c>
      <c r="C117" s="2">
        <v>2018</v>
      </c>
      <c r="D117" s="1">
        <v>7822</v>
      </c>
      <c r="E117" s="11">
        <v>757428</v>
      </c>
      <c r="F117" s="1">
        <v>440</v>
      </c>
      <c r="G117" s="11">
        <v>40626</v>
      </c>
      <c r="H117" s="1">
        <v>133125</v>
      </c>
      <c r="I117" s="11">
        <v>16949352</v>
      </c>
      <c r="J117" s="8">
        <v>40743</v>
      </c>
      <c r="K117" s="11">
        <v>5091147</v>
      </c>
      <c r="L117" s="8">
        <v>7543</v>
      </c>
      <c r="M117" s="11">
        <v>969940</v>
      </c>
      <c r="N117" s="8">
        <v>6</v>
      </c>
      <c r="O117" s="11">
        <v>691</v>
      </c>
      <c r="P117" s="11"/>
      <c r="Q117" s="11"/>
      <c r="R117" s="8">
        <f t="shared" si="69"/>
        <v>189679</v>
      </c>
      <c r="S117" s="11">
        <f t="shared" si="70"/>
        <v>23809184</v>
      </c>
      <c r="U117" s="17">
        <f t="shared" si="71"/>
        <v>4.3557800283637094E-2</v>
      </c>
      <c r="V117" s="17">
        <f t="shared" si="72"/>
        <v>0.95644219971636291</v>
      </c>
      <c r="W117" s="17">
        <f t="shared" si="73"/>
        <v>0.70184364109890918</v>
      </c>
      <c r="X117" s="17">
        <f t="shared" si="74"/>
        <v>0.21479974061440643</v>
      </c>
      <c r="Y117" s="17">
        <f t="shared" si="75"/>
        <v>3.9767185613589273E-2</v>
      </c>
      <c r="Z117" s="17">
        <f t="shared" si="76"/>
        <v>3.1632389457979007E-5</v>
      </c>
      <c r="AB117" s="9">
        <v>85752.56</v>
      </c>
      <c r="AC117" s="9">
        <f t="shared" si="77"/>
        <v>0.6441506854460094</v>
      </c>
      <c r="AD117" s="25">
        <v>137181.16750000001</v>
      </c>
      <c r="AE117" s="26">
        <f t="shared" si="78"/>
        <v>8.09359363709008E-3</v>
      </c>
    </row>
    <row r="118" spans="2:31" x14ac:dyDescent="0.25">
      <c r="B118" s="2" t="s">
        <v>10</v>
      </c>
      <c r="C118" s="2">
        <v>2018</v>
      </c>
      <c r="D118" s="1">
        <v>9665</v>
      </c>
      <c r="E118" s="11">
        <v>870943</v>
      </c>
      <c r="F118" s="1">
        <v>556</v>
      </c>
      <c r="G118" s="11">
        <v>47077</v>
      </c>
      <c r="H118" s="1">
        <v>165523</v>
      </c>
      <c r="I118" s="11">
        <v>19911132</v>
      </c>
      <c r="J118" s="8">
        <v>54538</v>
      </c>
      <c r="K118" s="11">
        <v>6190804</v>
      </c>
      <c r="L118" s="8">
        <v>9300</v>
      </c>
      <c r="M118" s="11">
        <v>1074420</v>
      </c>
      <c r="N118" s="8">
        <v>5</v>
      </c>
      <c r="O118" s="11">
        <v>286</v>
      </c>
      <c r="P118" s="1">
        <v>6961</v>
      </c>
      <c r="Q118" s="11">
        <v>434339</v>
      </c>
      <c r="R118" s="8">
        <f t="shared" si="69"/>
        <v>246548</v>
      </c>
      <c r="S118" s="11">
        <f t="shared" si="70"/>
        <v>28529001</v>
      </c>
      <c r="U118" s="17">
        <f t="shared" si="71"/>
        <v>6.969028343365187E-2</v>
      </c>
      <c r="V118" s="17">
        <f t="shared" si="72"/>
        <v>0.93030971656634809</v>
      </c>
      <c r="W118" s="17">
        <f t="shared" si="73"/>
        <v>0.67136216882716548</v>
      </c>
      <c r="X118" s="17">
        <f t="shared" si="74"/>
        <v>0.22120641822282072</v>
      </c>
      <c r="Y118" s="17">
        <f t="shared" si="75"/>
        <v>3.7720849489754529E-2</v>
      </c>
      <c r="Z118" s="17">
        <f t="shared" si="76"/>
        <v>2.0280026607394909E-5</v>
      </c>
      <c r="AB118" s="9">
        <v>106523.28</v>
      </c>
      <c r="AC118" s="9">
        <f t="shared" si="77"/>
        <v>0.64355575962252975</v>
      </c>
      <c r="AD118" s="25">
        <v>165753.05799999999</v>
      </c>
      <c r="AE118" s="26">
        <f t="shared" si="78"/>
        <v>8.3246426170043974E-3</v>
      </c>
    </row>
    <row r="119" spans="2:31" x14ac:dyDescent="0.25">
      <c r="B119" s="2" t="s">
        <v>11</v>
      </c>
      <c r="C119" s="2">
        <v>2018</v>
      </c>
      <c r="D119" s="1">
        <v>13060</v>
      </c>
      <c r="E119" s="11">
        <v>1153168</v>
      </c>
      <c r="F119" s="1">
        <v>748</v>
      </c>
      <c r="G119" s="11">
        <v>60706</v>
      </c>
      <c r="H119" s="1">
        <v>191448</v>
      </c>
      <c r="I119" s="11">
        <v>22246784</v>
      </c>
      <c r="J119" s="8">
        <v>61858</v>
      </c>
      <c r="K119" s="11">
        <v>7046333</v>
      </c>
      <c r="L119" s="8">
        <v>9125</v>
      </c>
      <c r="M119" s="11">
        <v>998533</v>
      </c>
      <c r="N119" s="8">
        <v>30</v>
      </c>
      <c r="O119" s="11">
        <v>2394</v>
      </c>
      <c r="P119" s="11">
        <v>17116</v>
      </c>
      <c r="Q119" s="11">
        <v>1066235</v>
      </c>
      <c r="R119" s="8">
        <f t="shared" si="69"/>
        <v>293385</v>
      </c>
      <c r="S119" s="11">
        <f t="shared" si="70"/>
        <v>32574153</v>
      </c>
      <c r="U119" s="17">
        <f t="shared" si="71"/>
        <v>0.1054041617669615</v>
      </c>
      <c r="V119" s="17">
        <f t="shared" si="72"/>
        <v>0.89459583823303845</v>
      </c>
      <c r="W119" s="17">
        <f t="shared" si="73"/>
        <v>0.65254869880873256</v>
      </c>
      <c r="X119" s="17">
        <f t="shared" si="74"/>
        <v>0.21084240843942259</v>
      </c>
      <c r="Y119" s="17">
        <f t="shared" si="75"/>
        <v>3.1102476268384544E-2</v>
      </c>
      <c r="Z119" s="17">
        <f t="shared" si="76"/>
        <v>1.0225471649879851E-4</v>
      </c>
      <c r="AB119" s="9">
        <v>123486.31999999999</v>
      </c>
      <c r="AC119" s="9">
        <f t="shared" si="77"/>
        <v>0.64501232710709955</v>
      </c>
      <c r="AD119" s="25">
        <v>184731.00049999999</v>
      </c>
      <c r="AE119" s="26">
        <f t="shared" si="78"/>
        <v>8.3037170900746825E-3</v>
      </c>
    </row>
    <row r="120" spans="2:31" x14ac:dyDescent="0.25">
      <c r="B120" s="2" t="s">
        <v>4</v>
      </c>
      <c r="C120" s="2">
        <v>2018</v>
      </c>
      <c r="D120" s="1">
        <v>12715</v>
      </c>
      <c r="E120" s="11">
        <v>1124920</v>
      </c>
      <c r="F120" s="1">
        <v>1069</v>
      </c>
      <c r="G120" s="11">
        <v>122267</v>
      </c>
      <c r="H120" s="1">
        <v>205935</v>
      </c>
      <c r="I120" s="11">
        <v>24190873</v>
      </c>
      <c r="J120" s="8">
        <v>64392</v>
      </c>
      <c r="K120" s="11">
        <v>7266984</v>
      </c>
      <c r="L120" s="8">
        <v>9945</v>
      </c>
      <c r="M120" s="11">
        <v>1108560</v>
      </c>
      <c r="N120" s="8">
        <v>0</v>
      </c>
      <c r="O120" s="11">
        <v>0</v>
      </c>
      <c r="P120" s="11">
        <v>26278</v>
      </c>
      <c r="Q120" s="11">
        <v>1480899</v>
      </c>
      <c r="R120" s="8">
        <f t="shared" si="69"/>
        <v>320334</v>
      </c>
      <c r="S120" s="11">
        <f t="shared" si="70"/>
        <v>35294503</v>
      </c>
      <c r="U120" s="17">
        <f t="shared" si="71"/>
        <v>0.12506321526906292</v>
      </c>
      <c r="V120" s="17">
        <f t="shared" si="72"/>
        <v>0.87493678473093706</v>
      </c>
      <c r="W120" s="17">
        <f t="shared" si="73"/>
        <v>0.64287587330723561</v>
      </c>
      <c r="X120" s="17">
        <f t="shared" si="74"/>
        <v>0.20101519039502519</v>
      </c>
      <c r="Y120" s="17">
        <f t="shared" si="75"/>
        <v>3.104572102867632E-2</v>
      </c>
      <c r="Z120" s="17">
        <f t="shared" si="76"/>
        <v>0</v>
      </c>
      <c r="AB120" s="9">
        <v>133150.35</v>
      </c>
      <c r="AC120" s="9">
        <f t="shared" si="77"/>
        <v>0.6465649355379125</v>
      </c>
      <c r="AD120" s="25">
        <v>172621.12</v>
      </c>
      <c r="AE120" s="26">
        <f t="shared" si="78"/>
        <v>7.1357953886161942E-3</v>
      </c>
    </row>
    <row r="121" spans="2:31" x14ac:dyDescent="0.25">
      <c r="B121" s="2" t="s">
        <v>28</v>
      </c>
      <c r="C121" s="2">
        <v>2018</v>
      </c>
      <c r="D121" s="1">
        <v>10976</v>
      </c>
      <c r="E121" s="11">
        <v>992169</v>
      </c>
      <c r="F121" s="1">
        <v>1199</v>
      </c>
      <c r="G121" s="11">
        <v>137948</v>
      </c>
      <c r="H121" s="1">
        <v>193622</v>
      </c>
      <c r="I121" s="11">
        <v>23640129</v>
      </c>
      <c r="J121" s="8">
        <v>58957</v>
      </c>
      <c r="K121" s="11">
        <v>6774929</v>
      </c>
      <c r="L121" s="8">
        <v>9375</v>
      </c>
      <c r="M121" s="11">
        <v>1012994</v>
      </c>
      <c r="N121" s="8">
        <v>0</v>
      </c>
      <c r="O121" s="11">
        <v>0</v>
      </c>
      <c r="P121" s="11">
        <v>23619</v>
      </c>
      <c r="Q121" s="11">
        <v>1303612</v>
      </c>
      <c r="R121" s="8">
        <f t="shared" si="69"/>
        <v>297748</v>
      </c>
      <c r="S121" s="11">
        <f t="shared" si="70"/>
        <v>33861781</v>
      </c>
      <c r="U121" s="17">
        <f t="shared" si="71"/>
        <v>0.12021575291857543</v>
      </c>
      <c r="V121" s="17">
        <f t="shared" si="72"/>
        <v>0.87978424708142455</v>
      </c>
      <c r="W121" s="17">
        <f t="shared" si="73"/>
        <v>0.65028816314467264</v>
      </c>
      <c r="X121" s="17">
        <f t="shared" si="74"/>
        <v>0.19800972634576891</v>
      </c>
      <c r="Y121" s="17">
        <f t="shared" si="75"/>
        <v>3.1486357590982977E-2</v>
      </c>
      <c r="Z121" s="17">
        <f t="shared" si="76"/>
        <v>0</v>
      </c>
      <c r="AB121" s="9">
        <v>123652.67</v>
      </c>
      <c r="AC121" s="9">
        <f t="shared" si="77"/>
        <v>0.63862923634710933</v>
      </c>
      <c r="AD121" s="25">
        <v>174823.03750000001</v>
      </c>
      <c r="AE121" s="26">
        <f t="shared" si="78"/>
        <v>7.3951811980383017E-3</v>
      </c>
    </row>
    <row r="122" spans="2:31" x14ac:dyDescent="0.25">
      <c r="B122" s="2" t="s">
        <v>29</v>
      </c>
      <c r="C122" s="2">
        <v>2018</v>
      </c>
      <c r="D122" s="1">
        <v>12415</v>
      </c>
      <c r="E122" s="11">
        <v>1081029</v>
      </c>
      <c r="F122" s="1">
        <v>1398</v>
      </c>
      <c r="G122" s="11">
        <v>143849</v>
      </c>
      <c r="H122" s="1">
        <v>212382</v>
      </c>
      <c r="I122" s="11">
        <v>25771910</v>
      </c>
      <c r="J122" s="8">
        <v>65680</v>
      </c>
      <c r="K122" s="11">
        <v>7555599</v>
      </c>
      <c r="L122" s="8">
        <v>11883</v>
      </c>
      <c r="M122" s="11">
        <v>1284119</v>
      </c>
      <c r="N122" s="8">
        <v>1</v>
      </c>
      <c r="O122" s="11">
        <v>181</v>
      </c>
      <c r="P122" s="11">
        <v>25094</v>
      </c>
      <c r="Q122" s="11">
        <v>1385653</v>
      </c>
      <c r="R122" s="8">
        <f t="shared" si="69"/>
        <v>328853</v>
      </c>
      <c r="S122" s="11">
        <f t="shared" si="70"/>
        <v>37222340</v>
      </c>
      <c r="U122" s="17">
        <f t="shared" si="71"/>
        <v>0.1183112211231158</v>
      </c>
      <c r="V122" s="17">
        <f t="shared" si="72"/>
        <v>0.88168877887688424</v>
      </c>
      <c r="W122" s="17">
        <f t="shared" si="73"/>
        <v>0.64582655472201866</v>
      </c>
      <c r="X122" s="17">
        <f t="shared" si="74"/>
        <v>0.19972449696368894</v>
      </c>
      <c r="Y122" s="17">
        <f t="shared" si="75"/>
        <v>3.6134686318811143E-2</v>
      </c>
      <c r="Z122" s="17">
        <f t="shared" si="76"/>
        <v>3.0408723654642045E-6</v>
      </c>
      <c r="AB122" s="9">
        <v>137049.22</v>
      </c>
      <c r="AC122" s="9">
        <f t="shared" si="77"/>
        <v>0.64529583486359487</v>
      </c>
      <c r="AD122" s="25">
        <v>186090.9375</v>
      </c>
      <c r="AE122" s="26">
        <f t="shared" si="78"/>
        <v>7.2206886295971082E-3</v>
      </c>
    </row>
    <row r="123" spans="2:31" x14ac:dyDescent="0.25">
      <c r="B123" s="2" t="s">
        <v>30</v>
      </c>
      <c r="C123" s="2">
        <v>2018</v>
      </c>
      <c r="D123" s="1">
        <v>14316</v>
      </c>
      <c r="E123" s="11">
        <v>1213981</v>
      </c>
      <c r="F123" s="1">
        <v>1513</v>
      </c>
      <c r="G123" s="11">
        <v>186388</v>
      </c>
      <c r="H123" s="1">
        <v>213902</v>
      </c>
      <c r="I123" s="11">
        <v>25459707</v>
      </c>
      <c r="J123" s="8">
        <v>65740</v>
      </c>
      <c r="K123" s="11">
        <v>7507590</v>
      </c>
      <c r="L123" s="8">
        <v>11846</v>
      </c>
      <c r="M123" s="11">
        <v>1283585</v>
      </c>
      <c r="N123" s="8">
        <v>0</v>
      </c>
      <c r="O123" s="11">
        <v>0</v>
      </c>
      <c r="P123" s="11">
        <v>28445</v>
      </c>
      <c r="Q123" s="11">
        <v>1557904</v>
      </c>
      <c r="R123" s="8">
        <f t="shared" si="69"/>
        <v>335762</v>
      </c>
      <c r="S123" s="11">
        <f t="shared" si="70"/>
        <v>37209155</v>
      </c>
      <c r="U123" s="17">
        <f t="shared" si="71"/>
        <v>0.13186125886788858</v>
      </c>
      <c r="V123" s="17">
        <f t="shared" si="72"/>
        <v>0.86813874113211142</v>
      </c>
      <c r="W123" s="17">
        <f t="shared" si="73"/>
        <v>0.63706434915207799</v>
      </c>
      <c r="X123" s="17">
        <f t="shared" si="74"/>
        <v>0.1957934489310881</v>
      </c>
      <c r="Y123" s="17">
        <f t="shared" si="75"/>
        <v>3.5280943048945385E-2</v>
      </c>
      <c r="Z123" s="17">
        <f t="shared" si="76"/>
        <v>0</v>
      </c>
      <c r="AB123" s="9">
        <v>136810.98000000001</v>
      </c>
      <c r="AC123" s="9">
        <f t="shared" si="77"/>
        <v>0.63959654421183543</v>
      </c>
      <c r="AD123" s="25">
        <v>186974.71</v>
      </c>
      <c r="AE123" s="26">
        <f t="shared" si="78"/>
        <v>7.3439458670910857E-3</v>
      </c>
    </row>
    <row r="124" spans="2:31" x14ac:dyDescent="0.25">
      <c r="B124" s="2" t="s">
        <v>31</v>
      </c>
      <c r="C124" s="2">
        <v>2018</v>
      </c>
      <c r="D124" s="1">
        <v>16695</v>
      </c>
      <c r="E124" s="11">
        <v>1386521</v>
      </c>
      <c r="F124" s="1">
        <v>1121</v>
      </c>
      <c r="G124" s="11">
        <v>120556</v>
      </c>
      <c r="H124" s="1">
        <v>213810</v>
      </c>
      <c r="I124" s="11">
        <v>25101119</v>
      </c>
      <c r="J124" s="8">
        <v>66211</v>
      </c>
      <c r="K124" s="11">
        <v>7768978</v>
      </c>
      <c r="L124" s="8">
        <v>13134</v>
      </c>
      <c r="M124" s="11">
        <v>1446598</v>
      </c>
      <c r="N124" s="8">
        <v>0</v>
      </c>
      <c r="O124" s="11">
        <v>0</v>
      </c>
      <c r="P124" s="11">
        <v>37691</v>
      </c>
      <c r="Q124" s="11">
        <v>1917257</v>
      </c>
      <c r="R124" s="8">
        <f t="shared" si="69"/>
        <v>348662</v>
      </c>
      <c r="S124" s="11">
        <f t="shared" si="70"/>
        <v>37741029</v>
      </c>
      <c r="U124" s="17">
        <f t="shared" si="71"/>
        <v>0.15920002753382934</v>
      </c>
      <c r="V124" s="17">
        <f t="shared" si="72"/>
        <v>0.84079997246617066</v>
      </c>
      <c r="W124" s="17">
        <f t="shared" si="73"/>
        <v>0.61323000499050662</v>
      </c>
      <c r="X124" s="17">
        <f t="shared" si="74"/>
        <v>0.18990024723084248</v>
      </c>
      <c r="Y124" s="17">
        <f t="shared" si="75"/>
        <v>3.7669720244821632E-2</v>
      </c>
      <c r="Z124" s="17">
        <f t="shared" si="76"/>
        <v>0</v>
      </c>
      <c r="AB124" s="9">
        <v>135340.6</v>
      </c>
      <c r="AC124" s="9">
        <f t="shared" si="77"/>
        <v>0.63299471493381976</v>
      </c>
      <c r="AD124" s="25">
        <v>187092.29250000001</v>
      </c>
      <c r="AE124" s="26">
        <f t="shared" si="78"/>
        <v>7.4535439037598291E-3</v>
      </c>
    </row>
    <row r="125" spans="2:31" x14ac:dyDescent="0.25">
      <c r="P125" s="9"/>
      <c r="S125" s="9"/>
      <c r="U125" s="18"/>
      <c r="V125" s="19"/>
      <c r="W125" s="18"/>
      <c r="X125" s="18"/>
      <c r="Y125" s="18"/>
      <c r="Z125" s="18"/>
    </row>
    <row r="126" spans="2:31" x14ac:dyDescent="0.25">
      <c r="B126" s="3" t="s">
        <v>12</v>
      </c>
      <c r="C126" s="3"/>
      <c r="D126" s="4">
        <f t="shared" ref="D126:S126" si="79">SUM(D113:D125)</f>
        <v>100188</v>
      </c>
      <c r="E126" s="12">
        <f t="shared" si="79"/>
        <v>8803005</v>
      </c>
      <c r="F126" s="4">
        <f t="shared" si="79"/>
        <v>8212</v>
      </c>
      <c r="G126" s="12">
        <f t="shared" si="79"/>
        <v>873936</v>
      </c>
      <c r="H126" s="4">
        <f t="shared" si="79"/>
        <v>1569317</v>
      </c>
      <c r="I126" s="12">
        <f t="shared" si="79"/>
        <v>187915151</v>
      </c>
      <c r="J126" s="4">
        <f t="shared" si="79"/>
        <v>489715</v>
      </c>
      <c r="K126" s="12">
        <f t="shared" si="79"/>
        <v>56612315</v>
      </c>
      <c r="L126" s="4">
        <f t="shared" si="79"/>
        <v>84152</v>
      </c>
      <c r="M126" s="12">
        <f t="shared" si="79"/>
        <v>9421093</v>
      </c>
      <c r="N126" s="4">
        <f t="shared" si="79"/>
        <v>42</v>
      </c>
      <c r="O126" s="12">
        <f t="shared" si="79"/>
        <v>3552</v>
      </c>
      <c r="P126" s="4">
        <f>SUM(P113:P125)</f>
        <v>165204</v>
      </c>
      <c r="Q126" s="12">
        <f>SUM(Q113:Q125)</f>
        <v>9145899</v>
      </c>
      <c r="R126" s="4">
        <f t="shared" si="79"/>
        <v>2416830</v>
      </c>
      <c r="S126" s="12">
        <f t="shared" si="79"/>
        <v>272774951</v>
      </c>
      <c r="U126" s="16">
        <f>+(D126+F126)/R126</f>
        <v>4.4852141027709853E-2</v>
      </c>
      <c r="V126" s="16">
        <f>1-U126</f>
        <v>0.95514785897229015</v>
      </c>
      <c r="W126" s="16">
        <f>+H126/R126</f>
        <v>0.64932866606256956</v>
      </c>
      <c r="X126" s="16">
        <f>+J126/R126</f>
        <v>0.20262699486517463</v>
      </c>
      <c r="Y126" s="16">
        <f>+L126/R126</f>
        <v>3.4819163946160879E-2</v>
      </c>
      <c r="Z126" s="16">
        <f>+N126/R126</f>
        <v>1.7378135822544406E-5</v>
      </c>
      <c r="AB126" s="12">
        <f>AVERAGE(AB113:AB125)</f>
        <v>100718.13399999999</v>
      </c>
      <c r="AC126" s="12">
        <f>AVERAGE(AC113:AC125)</f>
        <v>0.64597922985502376</v>
      </c>
      <c r="AD126" s="12">
        <f>AVERAGE(AD113:AD125)</f>
        <v>143438.7954</v>
      </c>
      <c r="AE126" s="16">
        <f>AVERAGE(AE113:AE125)</f>
        <v>7.8138580329011158E-3</v>
      </c>
    </row>
    <row r="128" spans="2:31" x14ac:dyDescent="0.25">
      <c r="B128" s="5" t="s">
        <v>14</v>
      </c>
    </row>
    <row r="129" spans="1:26" x14ac:dyDescent="0.25">
      <c r="B129" s="5" t="s">
        <v>36</v>
      </c>
    </row>
    <row r="130" spans="1:26" x14ac:dyDescent="0.25">
      <c r="B130" s="5"/>
    </row>
    <row r="131" spans="1:26" x14ac:dyDescent="0.25">
      <c r="D131" s="89" t="s">
        <v>15</v>
      </c>
      <c r="E131" s="90"/>
      <c r="F131" s="89" t="s">
        <v>16</v>
      </c>
      <c r="G131" s="90"/>
      <c r="H131" s="89" t="s">
        <v>17</v>
      </c>
      <c r="I131" s="93"/>
      <c r="J131" s="89" t="s">
        <v>18</v>
      </c>
      <c r="K131" s="93"/>
      <c r="L131" s="89" t="s">
        <v>13</v>
      </c>
      <c r="M131" s="93"/>
      <c r="N131" s="89" t="s">
        <v>34</v>
      </c>
      <c r="O131" s="93"/>
      <c r="P131" s="89" t="s">
        <v>12</v>
      </c>
      <c r="Q131" s="93"/>
      <c r="U131" s="91" t="s">
        <v>42</v>
      </c>
      <c r="V131" s="92"/>
      <c r="W131" s="92"/>
      <c r="X131" s="92"/>
      <c r="Y131" s="92"/>
      <c r="Z131" s="92"/>
    </row>
    <row r="132" spans="1:26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U132" s="7" t="s">
        <v>38</v>
      </c>
      <c r="V132" s="10" t="s">
        <v>39</v>
      </c>
      <c r="W132" s="10" t="s">
        <v>40</v>
      </c>
      <c r="X132" s="10" t="s">
        <v>18</v>
      </c>
      <c r="Y132" s="10" t="s">
        <v>13</v>
      </c>
      <c r="Z132" s="10" t="s">
        <v>41</v>
      </c>
    </row>
    <row r="133" spans="1:26" x14ac:dyDescent="0.25">
      <c r="V133" s="9"/>
    </row>
    <row r="134" spans="1:26" x14ac:dyDescent="0.25">
      <c r="B134" s="2" t="s">
        <v>5</v>
      </c>
      <c r="C134" s="2">
        <v>2018</v>
      </c>
      <c r="D134" s="1">
        <v>0</v>
      </c>
      <c r="E134" s="11">
        <v>0</v>
      </c>
      <c r="F134" s="1">
        <v>0</v>
      </c>
      <c r="G134" s="11">
        <v>0</v>
      </c>
      <c r="H134" s="1">
        <v>0</v>
      </c>
      <c r="I134" s="11">
        <v>0</v>
      </c>
      <c r="J134" s="1">
        <v>0</v>
      </c>
      <c r="K134" s="11">
        <v>0</v>
      </c>
      <c r="L134" s="1">
        <v>0</v>
      </c>
      <c r="M134" s="11">
        <v>0</v>
      </c>
      <c r="N134" s="1">
        <v>0</v>
      </c>
      <c r="O134" s="11">
        <v>0</v>
      </c>
      <c r="P134" s="8">
        <f t="shared" ref="P134:P145" si="80">L134+J134+H134+F134+D134+N134</f>
        <v>0</v>
      </c>
      <c r="Q134" s="11">
        <f t="shared" ref="Q134:Q145" si="81">M134+K134+I134+G134+E134+O134</f>
        <v>0</v>
      </c>
      <c r="U134" s="17"/>
      <c r="V134" s="17"/>
      <c r="W134" s="17"/>
      <c r="X134" s="17"/>
      <c r="Y134" s="17"/>
      <c r="Z134" s="17"/>
    </row>
    <row r="135" spans="1:26" x14ac:dyDescent="0.25">
      <c r="B135" s="2" t="s">
        <v>6</v>
      </c>
      <c r="C135" s="2">
        <v>2018</v>
      </c>
      <c r="D135" s="1">
        <v>0</v>
      </c>
      <c r="E135" s="11">
        <v>0</v>
      </c>
      <c r="F135" s="1">
        <v>0</v>
      </c>
      <c r="G135" s="11">
        <v>0</v>
      </c>
      <c r="H135" s="1">
        <v>0</v>
      </c>
      <c r="I135" s="11">
        <v>0</v>
      </c>
      <c r="J135" s="1">
        <v>0</v>
      </c>
      <c r="K135" s="11">
        <v>0</v>
      </c>
      <c r="L135" s="1">
        <v>0</v>
      </c>
      <c r="M135" s="11">
        <v>0</v>
      </c>
      <c r="N135" s="1">
        <v>0</v>
      </c>
      <c r="O135" s="11">
        <v>0</v>
      </c>
      <c r="P135" s="8">
        <f t="shared" si="80"/>
        <v>0</v>
      </c>
      <c r="Q135" s="11">
        <f t="shared" si="81"/>
        <v>0</v>
      </c>
      <c r="U135" s="17"/>
      <c r="V135" s="17"/>
      <c r="W135" s="17"/>
      <c r="X135" s="17"/>
      <c r="Y135" s="17"/>
      <c r="Z135" s="17"/>
    </row>
    <row r="136" spans="1:26" x14ac:dyDescent="0.25">
      <c r="B136" s="2" t="s">
        <v>7</v>
      </c>
      <c r="C136" s="2">
        <v>2018</v>
      </c>
      <c r="D136" s="1">
        <v>1187</v>
      </c>
      <c r="E136" s="11">
        <v>85482</v>
      </c>
      <c r="F136" s="1">
        <v>105</v>
      </c>
      <c r="G136" s="11">
        <v>9912</v>
      </c>
      <c r="H136" s="1">
        <v>0</v>
      </c>
      <c r="I136" s="11">
        <v>0</v>
      </c>
      <c r="J136" s="1">
        <v>0</v>
      </c>
      <c r="K136" s="11">
        <v>0</v>
      </c>
      <c r="L136" s="1">
        <v>0</v>
      </c>
      <c r="M136" s="11">
        <v>0</v>
      </c>
      <c r="N136" s="1">
        <v>65</v>
      </c>
      <c r="O136" s="11">
        <v>7722</v>
      </c>
      <c r="P136" s="8">
        <f t="shared" si="80"/>
        <v>1357</v>
      </c>
      <c r="Q136" s="11">
        <f t="shared" si="81"/>
        <v>103116</v>
      </c>
      <c r="U136" s="17">
        <f t="shared" ref="U136:U142" si="82">+(D136+F136)/P136</f>
        <v>0.95210022107590275</v>
      </c>
      <c r="V136" s="17">
        <f t="shared" ref="V136:V142" si="83">1-U136</f>
        <v>4.7899778924097247E-2</v>
      </c>
      <c r="W136" s="17">
        <f t="shared" ref="W136:W142" si="84">+H136/P136</f>
        <v>0</v>
      </c>
      <c r="X136" s="17">
        <f t="shared" ref="X136:X142" si="85">+J136/P136</f>
        <v>0</v>
      </c>
      <c r="Y136" s="17">
        <f t="shared" ref="Y136:Y142" si="86">+L136/P136</f>
        <v>0</v>
      </c>
      <c r="Z136" s="17">
        <f t="shared" ref="Z136:Z142" si="87">+N136/P136</f>
        <v>4.7899778924097275E-2</v>
      </c>
    </row>
    <row r="137" spans="1:26" x14ac:dyDescent="0.25">
      <c r="B137" s="2" t="s">
        <v>8</v>
      </c>
      <c r="C137" s="2">
        <v>2018</v>
      </c>
      <c r="D137" s="1">
        <v>2127</v>
      </c>
      <c r="E137" s="11">
        <v>153599</v>
      </c>
      <c r="F137" s="1">
        <v>216</v>
      </c>
      <c r="G137" s="11">
        <v>22097</v>
      </c>
      <c r="H137" s="1">
        <v>0</v>
      </c>
      <c r="I137" s="11">
        <v>0</v>
      </c>
      <c r="J137" s="1">
        <v>0</v>
      </c>
      <c r="K137" s="11">
        <v>0</v>
      </c>
      <c r="L137" s="1">
        <v>0</v>
      </c>
      <c r="M137" s="11">
        <v>0</v>
      </c>
      <c r="N137" s="8">
        <v>112</v>
      </c>
      <c r="O137" s="11">
        <v>12767</v>
      </c>
      <c r="P137" s="8">
        <f t="shared" si="80"/>
        <v>2455</v>
      </c>
      <c r="Q137" s="11">
        <f t="shared" si="81"/>
        <v>188463</v>
      </c>
      <c r="U137" s="17">
        <f t="shared" si="82"/>
        <v>0.95437881873727093</v>
      </c>
      <c r="V137" s="17">
        <f t="shared" si="83"/>
        <v>4.5621181262729071E-2</v>
      </c>
      <c r="W137" s="17">
        <f t="shared" si="84"/>
        <v>0</v>
      </c>
      <c r="X137" s="17">
        <f t="shared" si="85"/>
        <v>0</v>
      </c>
      <c r="Y137" s="17">
        <f t="shared" si="86"/>
        <v>0</v>
      </c>
      <c r="Z137" s="17">
        <f t="shared" si="87"/>
        <v>4.5621181262729127E-2</v>
      </c>
    </row>
    <row r="138" spans="1:26" x14ac:dyDescent="0.25">
      <c r="B138" s="2" t="s">
        <v>9</v>
      </c>
      <c r="C138" s="2">
        <v>2018</v>
      </c>
      <c r="D138" s="1">
        <v>2443</v>
      </c>
      <c r="E138" s="11">
        <v>182602</v>
      </c>
      <c r="F138" s="1">
        <v>199</v>
      </c>
      <c r="G138" s="11">
        <v>20468</v>
      </c>
      <c r="H138" s="1">
        <v>0</v>
      </c>
      <c r="I138" s="11">
        <v>0</v>
      </c>
      <c r="J138" s="1">
        <v>0</v>
      </c>
      <c r="K138" s="11">
        <v>0</v>
      </c>
      <c r="L138" s="1">
        <v>0</v>
      </c>
      <c r="M138" s="11">
        <v>0</v>
      </c>
      <c r="N138" s="8">
        <v>96</v>
      </c>
      <c r="O138" s="11">
        <v>11523</v>
      </c>
      <c r="P138" s="8">
        <f t="shared" si="80"/>
        <v>2738</v>
      </c>
      <c r="Q138" s="11">
        <f t="shared" si="81"/>
        <v>214593</v>
      </c>
      <c r="U138" s="17">
        <f t="shared" si="82"/>
        <v>0.96493791088385683</v>
      </c>
      <c r="V138" s="17">
        <f t="shared" si="83"/>
        <v>3.5062089116143169E-2</v>
      </c>
      <c r="W138" s="17">
        <f t="shared" si="84"/>
        <v>0</v>
      </c>
      <c r="X138" s="17">
        <f t="shared" si="85"/>
        <v>0</v>
      </c>
      <c r="Y138" s="17">
        <f t="shared" si="86"/>
        <v>0</v>
      </c>
      <c r="Z138" s="17">
        <f t="shared" si="87"/>
        <v>3.5062089116143169E-2</v>
      </c>
    </row>
    <row r="139" spans="1:26" x14ac:dyDescent="0.25">
      <c r="B139" s="2" t="s">
        <v>10</v>
      </c>
      <c r="C139" s="2">
        <v>2018</v>
      </c>
      <c r="D139" s="1">
        <v>2057</v>
      </c>
      <c r="E139" s="11">
        <v>153545</v>
      </c>
      <c r="F139" s="1">
        <v>233</v>
      </c>
      <c r="G139" s="11">
        <v>26021</v>
      </c>
      <c r="H139" s="1">
        <v>0</v>
      </c>
      <c r="I139" s="11">
        <v>0</v>
      </c>
      <c r="J139" s="1">
        <v>0</v>
      </c>
      <c r="K139" s="11">
        <v>0</v>
      </c>
      <c r="L139" s="1">
        <v>0</v>
      </c>
      <c r="M139" s="11">
        <v>0</v>
      </c>
      <c r="N139" s="8">
        <v>99</v>
      </c>
      <c r="O139" s="11">
        <v>10221</v>
      </c>
      <c r="P139" s="8">
        <f t="shared" si="80"/>
        <v>2389</v>
      </c>
      <c r="Q139" s="11">
        <f t="shared" si="81"/>
        <v>189787</v>
      </c>
      <c r="U139" s="17">
        <f t="shared" si="82"/>
        <v>0.95856006697362917</v>
      </c>
      <c r="V139" s="17">
        <f t="shared" si="83"/>
        <v>4.1439933026370834E-2</v>
      </c>
      <c r="W139" s="17">
        <f t="shared" si="84"/>
        <v>0</v>
      </c>
      <c r="X139" s="17">
        <f t="shared" si="85"/>
        <v>0</v>
      </c>
      <c r="Y139" s="17">
        <f t="shared" si="86"/>
        <v>0</v>
      </c>
      <c r="Z139" s="17">
        <f t="shared" si="87"/>
        <v>4.1439933026370869E-2</v>
      </c>
    </row>
    <row r="140" spans="1:26" x14ac:dyDescent="0.25">
      <c r="B140" s="2" t="s">
        <v>11</v>
      </c>
      <c r="C140" s="2">
        <v>2018</v>
      </c>
      <c r="D140" s="1">
        <v>2363</v>
      </c>
      <c r="E140" s="11">
        <v>173072</v>
      </c>
      <c r="F140" s="1">
        <v>261</v>
      </c>
      <c r="G140" s="11">
        <v>29148</v>
      </c>
      <c r="H140" s="1">
        <v>0</v>
      </c>
      <c r="I140" s="11">
        <v>0</v>
      </c>
      <c r="J140" s="1">
        <v>0</v>
      </c>
      <c r="K140" s="11">
        <v>0</v>
      </c>
      <c r="L140" s="1">
        <v>0</v>
      </c>
      <c r="M140" s="11">
        <v>0</v>
      </c>
      <c r="N140" s="8">
        <v>107</v>
      </c>
      <c r="O140" s="11">
        <v>12201</v>
      </c>
      <c r="P140" s="8">
        <f t="shared" si="80"/>
        <v>2731</v>
      </c>
      <c r="Q140" s="11">
        <f t="shared" si="81"/>
        <v>214421</v>
      </c>
      <c r="U140" s="17">
        <f t="shared" si="82"/>
        <v>0.9608202123764189</v>
      </c>
      <c r="V140" s="17">
        <f t="shared" si="83"/>
        <v>3.9179787623581097E-2</v>
      </c>
      <c r="W140" s="17">
        <f t="shared" si="84"/>
        <v>0</v>
      </c>
      <c r="X140" s="17">
        <f t="shared" si="85"/>
        <v>0</v>
      </c>
      <c r="Y140" s="17">
        <f t="shared" si="86"/>
        <v>0</v>
      </c>
      <c r="Z140" s="17">
        <f t="shared" si="87"/>
        <v>3.9179787623581104E-2</v>
      </c>
    </row>
    <row r="141" spans="1:26" x14ac:dyDescent="0.25">
      <c r="B141" s="2" t="s">
        <v>4</v>
      </c>
      <c r="C141" s="2">
        <v>2018</v>
      </c>
      <c r="D141" s="1">
        <v>2280</v>
      </c>
      <c r="E141" s="11">
        <v>167698</v>
      </c>
      <c r="F141" s="1">
        <v>293</v>
      </c>
      <c r="G141" s="11">
        <v>33281</v>
      </c>
      <c r="H141" s="1">
        <v>0</v>
      </c>
      <c r="I141" s="11">
        <v>0</v>
      </c>
      <c r="J141" s="1">
        <v>0</v>
      </c>
      <c r="K141" s="11">
        <v>0</v>
      </c>
      <c r="L141" s="1">
        <v>0</v>
      </c>
      <c r="M141" s="11">
        <v>0</v>
      </c>
      <c r="N141" s="8">
        <v>133</v>
      </c>
      <c r="O141" s="11">
        <v>15356</v>
      </c>
      <c r="P141" s="8">
        <f t="shared" si="80"/>
        <v>2706</v>
      </c>
      <c r="Q141" s="11">
        <f t="shared" si="81"/>
        <v>216335</v>
      </c>
      <c r="U141" s="17">
        <f t="shared" si="82"/>
        <v>0.95084996304508496</v>
      </c>
      <c r="V141" s="17">
        <f t="shared" si="83"/>
        <v>4.9150036954915044E-2</v>
      </c>
      <c r="W141" s="17">
        <f t="shared" si="84"/>
        <v>0</v>
      </c>
      <c r="X141" s="17">
        <f t="shared" si="85"/>
        <v>0</v>
      </c>
      <c r="Y141" s="17">
        <f t="shared" si="86"/>
        <v>0</v>
      </c>
      <c r="Z141" s="17">
        <f t="shared" si="87"/>
        <v>4.9150036954915002E-2</v>
      </c>
    </row>
    <row r="142" spans="1:26" x14ac:dyDescent="0.25">
      <c r="B142" s="2" t="s">
        <v>28</v>
      </c>
      <c r="C142" s="2">
        <v>2018</v>
      </c>
      <c r="D142" s="1">
        <v>1942</v>
      </c>
      <c r="E142" s="11">
        <v>147628</v>
      </c>
      <c r="F142" s="1">
        <v>407</v>
      </c>
      <c r="G142" s="11">
        <v>43708</v>
      </c>
      <c r="H142" s="1">
        <v>0</v>
      </c>
      <c r="I142" s="11">
        <v>0</v>
      </c>
      <c r="J142" s="1">
        <v>0</v>
      </c>
      <c r="K142" s="11">
        <v>0</v>
      </c>
      <c r="L142" s="1">
        <v>0</v>
      </c>
      <c r="M142" s="11">
        <v>0</v>
      </c>
      <c r="N142" s="8">
        <v>114</v>
      </c>
      <c r="O142" s="11">
        <v>13984</v>
      </c>
      <c r="P142" s="8">
        <f t="shared" si="80"/>
        <v>2463</v>
      </c>
      <c r="Q142" s="11">
        <f t="shared" si="81"/>
        <v>205320</v>
      </c>
      <c r="U142" s="17">
        <f t="shared" si="82"/>
        <v>0.95371498172959801</v>
      </c>
      <c r="V142" s="17">
        <f t="shared" si="83"/>
        <v>4.628501827040199E-2</v>
      </c>
      <c r="W142" s="17">
        <f t="shared" si="84"/>
        <v>0</v>
      </c>
      <c r="X142" s="17">
        <f t="shared" si="85"/>
        <v>0</v>
      </c>
      <c r="Y142" s="17">
        <f t="shared" si="86"/>
        <v>0</v>
      </c>
      <c r="Z142" s="17">
        <f t="shared" si="87"/>
        <v>4.6285018270401948E-2</v>
      </c>
    </row>
    <row r="143" spans="1:26" x14ac:dyDescent="0.25">
      <c r="B143" s="2" t="s">
        <v>29</v>
      </c>
      <c r="C143" s="2">
        <v>2018</v>
      </c>
      <c r="D143" s="1">
        <v>2272</v>
      </c>
      <c r="E143" s="11">
        <v>178362</v>
      </c>
      <c r="F143" s="1">
        <v>406</v>
      </c>
      <c r="G143" s="11">
        <v>45961</v>
      </c>
      <c r="H143" s="1">
        <v>0</v>
      </c>
      <c r="I143" s="11">
        <v>0</v>
      </c>
      <c r="J143" s="1">
        <v>0</v>
      </c>
      <c r="K143" s="11">
        <v>0</v>
      </c>
      <c r="L143" s="1">
        <v>0</v>
      </c>
      <c r="M143" s="11">
        <v>0</v>
      </c>
      <c r="N143" s="8">
        <v>116</v>
      </c>
      <c r="O143" s="11">
        <v>13648</v>
      </c>
      <c r="P143" s="8">
        <f t="shared" si="80"/>
        <v>2794</v>
      </c>
      <c r="Q143" s="11">
        <f t="shared" si="81"/>
        <v>237971</v>
      </c>
      <c r="U143" s="17"/>
      <c r="V143" s="17"/>
      <c r="W143" s="17"/>
      <c r="X143" s="17"/>
      <c r="Y143" s="17"/>
      <c r="Z143" s="17"/>
    </row>
    <row r="144" spans="1:26" x14ac:dyDescent="0.25">
      <c r="B144" s="2" t="s">
        <v>30</v>
      </c>
      <c r="C144" s="2">
        <v>2018</v>
      </c>
      <c r="D144" s="1">
        <v>2419</v>
      </c>
      <c r="E144" s="11">
        <v>188668</v>
      </c>
      <c r="F144" s="1">
        <v>326</v>
      </c>
      <c r="G144" s="11">
        <v>35572</v>
      </c>
      <c r="H144" s="1">
        <v>0</v>
      </c>
      <c r="I144" s="11">
        <v>0</v>
      </c>
      <c r="J144" s="1">
        <v>0</v>
      </c>
      <c r="K144" s="11">
        <v>0</v>
      </c>
      <c r="L144" s="8">
        <v>598</v>
      </c>
      <c r="M144" s="11">
        <v>69303</v>
      </c>
      <c r="N144" s="8">
        <v>102</v>
      </c>
      <c r="O144" s="11">
        <v>12506</v>
      </c>
      <c r="P144" s="8">
        <f t="shared" si="80"/>
        <v>3445</v>
      </c>
      <c r="Q144" s="11">
        <f t="shared" si="81"/>
        <v>306049</v>
      </c>
      <c r="U144" s="17"/>
      <c r="V144" s="17"/>
      <c r="W144" s="17"/>
      <c r="X144" s="17"/>
      <c r="Y144" s="17"/>
      <c r="Z144" s="17"/>
    </row>
    <row r="145" spans="1:26" x14ac:dyDescent="0.25">
      <c r="B145" s="2" t="s">
        <v>31</v>
      </c>
      <c r="C145" s="2">
        <v>2018</v>
      </c>
      <c r="D145" s="1">
        <v>2880</v>
      </c>
      <c r="E145" s="11">
        <v>222527</v>
      </c>
      <c r="F145" s="1">
        <v>265</v>
      </c>
      <c r="G145" s="11">
        <v>27141</v>
      </c>
      <c r="H145" s="1">
        <v>0</v>
      </c>
      <c r="I145" s="11">
        <v>0</v>
      </c>
      <c r="J145" s="8">
        <v>0</v>
      </c>
      <c r="K145" s="11">
        <v>0</v>
      </c>
      <c r="L145" s="8">
        <v>3358</v>
      </c>
      <c r="M145" s="11">
        <v>371957</v>
      </c>
      <c r="N145" s="8">
        <v>78</v>
      </c>
      <c r="O145" s="11">
        <v>8743</v>
      </c>
      <c r="P145" s="8">
        <f t="shared" si="80"/>
        <v>6581</v>
      </c>
      <c r="Q145" s="11">
        <f t="shared" si="81"/>
        <v>630368</v>
      </c>
      <c r="U145" s="17"/>
      <c r="V145" s="17"/>
      <c r="W145" s="17"/>
      <c r="X145" s="17"/>
      <c r="Y145" s="17"/>
      <c r="Z145" s="17"/>
    </row>
    <row r="146" spans="1:26" x14ac:dyDescent="0.25">
      <c r="U146" s="18"/>
      <c r="V146" s="19"/>
      <c r="W146" s="18"/>
      <c r="X146" s="18"/>
      <c r="Y146" s="18"/>
      <c r="Z146" s="18"/>
    </row>
    <row r="147" spans="1:26" x14ac:dyDescent="0.25">
      <c r="B147" s="3" t="s">
        <v>12</v>
      </c>
      <c r="C147" s="3"/>
      <c r="D147" s="4">
        <f t="shared" ref="D147:Q147" si="88">SUM(D134:D146)</f>
        <v>21970</v>
      </c>
      <c r="E147" s="12">
        <f t="shared" si="88"/>
        <v>1653183</v>
      </c>
      <c r="F147" s="4">
        <f t="shared" si="88"/>
        <v>2711</v>
      </c>
      <c r="G147" s="12">
        <f t="shared" si="88"/>
        <v>293309</v>
      </c>
      <c r="H147" s="4">
        <f t="shared" si="88"/>
        <v>0</v>
      </c>
      <c r="I147" s="12">
        <f t="shared" si="88"/>
        <v>0</v>
      </c>
      <c r="J147" s="4">
        <f t="shared" si="88"/>
        <v>0</v>
      </c>
      <c r="K147" s="12">
        <f t="shared" si="88"/>
        <v>0</v>
      </c>
      <c r="L147" s="4">
        <f t="shared" si="88"/>
        <v>3956</v>
      </c>
      <c r="M147" s="12">
        <f t="shared" si="88"/>
        <v>441260</v>
      </c>
      <c r="N147" s="4">
        <f t="shared" si="88"/>
        <v>1022</v>
      </c>
      <c r="O147" s="12">
        <f t="shared" si="88"/>
        <v>118671</v>
      </c>
      <c r="P147" s="4">
        <f t="shared" si="88"/>
        <v>29659</v>
      </c>
      <c r="Q147" s="12">
        <f t="shared" si="88"/>
        <v>2506423</v>
      </c>
      <c r="U147" s="16">
        <f>+(D147+F147)/P147</f>
        <v>0.83215887251761689</v>
      </c>
      <c r="V147" s="16">
        <f>1-U147</f>
        <v>0.16784112748238311</v>
      </c>
      <c r="W147" s="16">
        <f>+H147/P147</f>
        <v>0</v>
      </c>
      <c r="X147" s="16">
        <f>+J147/P147</f>
        <v>0</v>
      </c>
      <c r="Y147" s="16">
        <f>+L147/P147</f>
        <v>0.13338278431504771</v>
      </c>
      <c r="Z147" s="16">
        <f>+N147/P147</f>
        <v>3.4458343167335377E-2</v>
      </c>
    </row>
    <row r="149" spans="1:26" x14ac:dyDescent="0.25">
      <c r="B149" s="5" t="s">
        <v>14</v>
      </c>
    </row>
    <row r="150" spans="1:26" x14ac:dyDescent="0.25">
      <c r="B150" s="5" t="s">
        <v>33</v>
      </c>
    </row>
    <row r="151" spans="1:26" x14ac:dyDescent="0.25">
      <c r="B151" s="5"/>
    </row>
    <row r="152" spans="1:26" x14ac:dyDescent="0.25">
      <c r="D152" s="89" t="s">
        <v>15</v>
      </c>
      <c r="E152" s="90"/>
      <c r="F152" s="89" t="s">
        <v>16</v>
      </c>
      <c r="G152" s="90"/>
      <c r="H152" s="89" t="s">
        <v>17</v>
      </c>
      <c r="I152" s="93"/>
      <c r="J152" s="89" t="s">
        <v>18</v>
      </c>
      <c r="K152" s="93"/>
      <c r="L152" s="89" t="s">
        <v>13</v>
      </c>
      <c r="M152" s="93"/>
      <c r="N152" s="89" t="s">
        <v>34</v>
      </c>
      <c r="O152" s="93"/>
      <c r="P152" s="89" t="s">
        <v>46</v>
      </c>
      <c r="Q152" s="93"/>
      <c r="R152" s="89" t="s">
        <v>44</v>
      </c>
      <c r="S152" s="93"/>
      <c r="U152" s="94" t="s">
        <v>42</v>
      </c>
      <c r="V152" s="94"/>
      <c r="W152" s="94"/>
      <c r="X152" s="94"/>
      <c r="Y152" s="94"/>
      <c r="Z152" s="92"/>
    </row>
    <row r="153" spans="1:26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U153" s="7" t="s">
        <v>38</v>
      </c>
      <c r="V153" s="10" t="s">
        <v>39</v>
      </c>
      <c r="W153" s="10" t="s">
        <v>40</v>
      </c>
      <c r="X153" s="10" t="s">
        <v>18</v>
      </c>
      <c r="Y153" s="10" t="s">
        <v>13</v>
      </c>
      <c r="Z153" s="24" t="s">
        <v>41</v>
      </c>
    </row>
    <row r="154" spans="1:26" x14ac:dyDescent="0.25">
      <c r="P154" s="9"/>
      <c r="S154" s="9"/>
      <c r="V154" s="9"/>
    </row>
    <row r="155" spans="1:26" x14ac:dyDescent="0.25">
      <c r="B155" s="2" t="s">
        <v>5</v>
      </c>
      <c r="C155" s="2">
        <v>2018</v>
      </c>
      <c r="D155" s="1">
        <f>+D92+D71+D50+D29+D8+D113+D134</f>
        <v>3356021</v>
      </c>
      <c r="E155" s="11">
        <f t="shared" ref="E155:O155" si="89">+E92+E71+E50+E29+E8+E113+E134</f>
        <v>109085170.58</v>
      </c>
      <c r="F155" s="1">
        <f t="shared" si="89"/>
        <v>23223</v>
      </c>
      <c r="G155" s="11">
        <f t="shared" si="89"/>
        <v>1666915.29</v>
      </c>
      <c r="H155" s="1">
        <f t="shared" si="89"/>
        <v>7342036</v>
      </c>
      <c r="I155" s="11">
        <f t="shared" si="89"/>
        <v>320106963.31</v>
      </c>
      <c r="J155" s="8">
        <f t="shared" si="89"/>
        <v>424628</v>
      </c>
      <c r="K155" s="11">
        <f t="shared" si="89"/>
        <v>30385529.400000002</v>
      </c>
      <c r="L155" s="8">
        <f t="shared" si="89"/>
        <v>99444</v>
      </c>
      <c r="M155" s="11">
        <f t="shared" si="89"/>
        <v>5943313.4900000002</v>
      </c>
      <c r="N155" s="8">
        <f t="shared" si="89"/>
        <v>1666</v>
      </c>
      <c r="O155" s="11">
        <f t="shared" si="89"/>
        <v>139670.00999999998</v>
      </c>
      <c r="P155" s="8">
        <f t="shared" ref="P155:P166" si="90">+P113</f>
        <v>0</v>
      </c>
      <c r="Q155" s="11">
        <f t="shared" ref="Q155:Q166" si="91">+Q113</f>
        <v>0</v>
      </c>
      <c r="R155" s="8">
        <f>L155+J155+H155+F155+D155+N155+P155</f>
        <v>11247018</v>
      </c>
      <c r="S155" s="11">
        <f t="shared" ref="S155:S166" si="92">M155+K155+I155+G155+E155+O155+Q155</f>
        <v>467327562.07999998</v>
      </c>
      <c r="U155" s="17">
        <f t="shared" ref="U155:U163" si="93">+(D155+F155+P155)/R155</f>
        <v>0.30045688554957412</v>
      </c>
      <c r="V155" s="17">
        <f t="shared" ref="V155:V163" si="94">1-U155</f>
        <v>0.69954311445042583</v>
      </c>
      <c r="W155" s="17">
        <f t="shared" ref="W155:W163" si="95">+H155/R155</f>
        <v>0.65279845733331265</v>
      </c>
      <c r="X155" s="17">
        <f t="shared" ref="X155:X163" si="96">+J155/R155</f>
        <v>3.7754718628528916E-2</v>
      </c>
      <c r="Y155" s="17">
        <f t="shared" ref="Y155:Y163" si="97">+L155/R155</f>
        <v>8.841810335859691E-3</v>
      </c>
      <c r="Z155" s="17">
        <f t="shared" ref="Z155:Z163" si="98">+N155/R155</f>
        <v>1.4812815272457108E-4</v>
      </c>
    </row>
    <row r="156" spans="1:26" x14ac:dyDescent="0.25">
      <c r="B156" s="2" t="s">
        <v>6</v>
      </c>
      <c r="C156" s="2">
        <v>2018</v>
      </c>
      <c r="D156" s="1">
        <f t="shared" ref="D156:O156" si="99">+D93+D72+D51+D30+D9+D114+D135</f>
        <v>3193574</v>
      </c>
      <c r="E156" s="11">
        <f t="shared" si="99"/>
        <v>109583755.66</v>
      </c>
      <c r="F156" s="1">
        <f t="shared" si="99"/>
        <v>23044</v>
      </c>
      <c r="G156" s="11">
        <f t="shared" si="99"/>
        <v>1742009.41</v>
      </c>
      <c r="H156" s="1">
        <f t="shared" si="99"/>
        <v>7230186</v>
      </c>
      <c r="I156" s="11">
        <f t="shared" si="99"/>
        <v>327985843.82999998</v>
      </c>
      <c r="J156" s="8">
        <f t="shared" si="99"/>
        <v>425529</v>
      </c>
      <c r="K156" s="11">
        <f t="shared" si="99"/>
        <v>31046936.050000001</v>
      </c>
      <c r="L156" s="8">
        <f t="shared" si="99"/>
        <v>93677</v>
      </c>
      <c r="M156" s="11">
        <f t="shared" si="99"/>
        <v>5739513.3600000003</v>
      </c>
      <c r="N156" s="8">
        <f t="shared" si="99"/>
        <v>1813</v>
      </c>
      <c r="O156" s="11">
        <f t="shared" si="99"/>
        <v>164196.32</v>
      </c>
      <c r="P156" s="8">
        <f t="shared" si="90"/>
        <v>0</v>
      </c>
      <c r="Q156" s="11">
        <f t="shared" si="91"/>
        <v>0</v>
      </c>
      <c r="R156" s="8">
        <f t="shared" ref="R156:R166" si="100">L156+J156+H156+F156+D156+N156+P156</f>
        <v>10967823</v>
      </c>
      <c r="S156" s="11">
        <f t="shared" si="92"/>
        <v>476262254.63000005</v>
      </c>
      <c r="U156" s="17">
        <f t="shared" si="93"/>
        <v>0.29327770880328757</v>
      </c>
      <c r="V156" s="17">
        <f t="shared" si="94"/>
        <v>0.70672229119671237</v>
      </c>
      <c r="W156" s="17">
        <f t="shared" si="95"/>
        <v>0.65921796878013073</v>
      </c>
      <c r="X156" s="17">
        <f t="shared" si="96"/>
        <v>3.8797945590478618E-2</v>
      </c>
      <c r="Y156" s="17">
        <f t="shared" si="97"/>
        <v>8.5410751067007563E-3</v>
      </c>
      <c r="Z156" s="17">
        <f t="shared" si="98"/>
        <v>1.6530171940229158E-4</v>
      </c>
    </row>
    <row r="157" spans="1:26" x14ac:dyDescent="0.25">
      <c r="B157" s="2" t="s">
        <v>7</v>
      </c>
      <c r="C157" s="2">
        <v>2018</v>
      </c>
      <c r="D157" s="1">
        <f t="shared" ref="D157:O157" si="101">+D94+D73+D52+D31+D10+D115+D136</f>
        <v>3146480</v>
      </c>
      <c r="E157" s="11">
        <f t="shared" si="101"/>
        <v>110148491.49000001</v>
      </c>
      <c r="F157" s="1">
        <f t="shared" si="101"/>
        <v>23187</v>
      </c>
      <c r="G157" s="11">
        <f t="shared" si="101"/>
        <v>1731422.8900000001</v>
      </c>
      <c r="H157" s="1">
        <f t="shared" si="101"/>
        <v>7457707</v>
      </c>
      <c r="I157" s="11">
        <f t="shared" si="101"/>
        <v>349815163.12</v>
      </c>
      <c r="J157" s="8">
        <f t="shared" si="101"/>
        <v>468750</v>
      </c>
      <c r="K157" s="11">
        <f t="shared" si="101"/>
        <v>35599121.850000001</v>
      </c>
      <c r="L157" s="8">
        <f t="shared" si="101"/>
        <v>94984</v>
      </c>
      <c r="M157" s="11">
        <f t="shared" si="101"/>
        <v>6105353.25</v>
      </c>
      <c r="N157" s="8">
        <f t="shared" si="101"/>
        <v>470</v>
      </c>
      <c r="O157" s="11">
        <f t="shared" si="101"/>
        <v>70256.47</v>
      </c>
      <c r="P157" s="8">
        <f t="shared" si="90"/>
        <v>0</v>
      </c>
      <c r="Q157" s="11">
        <f t="shared" si="91"/>
        <v>0</v>
      </c>
      <c r="R157" s="8">
        <f t="shared" si="100"/>
        <v>11191578</v>
      </c>
      <c r="S157" s="11">
        <f t="shared" si="92"/>
        <v>503469809.07000005</v>
      </c>
      <c r="T157" s="13"/>
      <c r="U157" s="17">
        <f t="shared" si="93"/>
        <v>0.28321895268031017</v>
      </c>
      <c r="V157" s="17">
        <f t="shared" si="94"/>
        <v>0.71678104731968983</v>
      </c>
      <c r="W157" s="17">
        <f t="shared" si="95"/>
        <v>0.66636778120118534</v>
      </c>
      <c r="X157" s="17">
        <f t="shared" si="96"/>
        <v>4.1884173974393958E-2</v>
      </c>
      <c r="Y157" s="17">
        <f t="shared" si="97"/>
        <v>8.4870962790055161E-3</v>
      </c>
      <c r="Z157" s="17">
        <f t="shared" si="98"/>
        <v>4.1995865104992342E-5</v>
      </c>
    </row>
    <row r="158" spans="1:26" x14ac:dyDescent="0.25">
      <c r="B158" s="2" t="s">
        <v>8</v>
      </c>
      <c r="C158" s="2">
        <v>2018</v>
      </c>
      <c r="D158" s="1">
        <f t="shared" ref="D158:O158" si="102">+D95+D74+D53+D32+D11+D116+D137</f>
        <v>3152204</v>
      </c>
      <c r="E158" s="11">
        <f t="shared" si="102"/>
        <v>110476647.84999999</v>
      </c>
      <c r="F158" s="1">
        <f t="shared" si="102"/>
        <v>24097</v>
      </c>
      <c r="G158" s="11">
        <f t="shared" si="102"/>
        <v>1829013.9600000002</v>
      </c>
      <c r="H158" s="1">
        <f t="shared" si="102"/>
        <v>7712935</v>
      </c>
      <c r="I158" s="11">
        <f t="shared" si="102"/>
        <v>362031109.44</v>
      </c>
      <c r="J158" s="8">
        <f t="shared" si="102"/>
        <v>459703</v>
      </c>
      <c r="K158" s="11">
        <f t="shared" si="102"/>
        <v>36203750.310000002</v>
      </c>
      <c r="L158" s="8">
        <f t="shared" si="102"/>
        <v>95831</v>
      </c>
      <c r="M158" s="11">
        <f t="shared" si="102"/>
        <v>6108595.2699999996</v>
      </c>
      <c r="N158" s="8">
        <f t="shared" si="102"/>
        <v>299</v>
      </c>
      <c r="O158" s="11">
        <f t="shared" si="102"/>
        <v>32844.15</v>
      </c>
      <c r="P158" s="8">
        <f t="shared" si="90"/>
        <v>0</v>
      </c>
      <c r="Q158" s="11">
        <f t="shared" si="91"/>
        <v>0</v>
      </c>
      <c r="R158" s="8">
        <f t="shared" si="100"/>
        <v>11445069</v>
      </c>
      <c r="S158" s="11">
        <f t="shared" si="92"/>
        <v>516681960.9799999</v>
      </c>
      <c r="U158" s="17">
        <f t="shared" si="93"/>
        <v>0.27752571871781639</v>
      </c>
      <c r="V158" s="17">
        <f t="shared" si="94"/>
        <v>0.72247428128218361</v>
      </c>
      <c r="W158" s="17">
        <f t="shared" si="95"/>
        <v>0.67390899958750794</v>
      </c>
      <c r="X158" s="17">
        <f t="shared" si="96"/>
        <v>4.0166031327552504E-2</v>
      </c>
      <c r="Y158" s="17">
        <f t="shared" si="97"/>
        <v>8.3731255792341662E-3</v>
      </c>
      <c r="Z158" s="17">
        <f t="shared" si="98"/>
        <v>2.612478788900268E-5</v>
      </c>
    </row>
    <row r="159" spans="1:26" x14ac:dyDescent="0.25">
      <c r="B159" s="2" t="s">
        <v>9</v>
      </c>
      <c r="C159" s="2">
        <v>2018</v>
      </c>
      <c r="D159" s="1">
        <f t="shared" ref="D159:O159" si="103">+D96+D75+D54+D33+D12+D117+D138</f>
        <v>3334093</v>
      </c>
      <c r="E159" s="11">
        <f t="shared" si="103"/>
        <v>117613783.65000001</v>
      </c>
      <c r="F159" s="1">
        <f t="shared" si="103"/>
        <v>25594</v>
      </c>
      <c r="G159" s="11">
        <f t="shared" si="103"/>
        <v>1900562.41</v>
      </c>
      <c r="H159" s="1">
        <f t="shared" si="103"/>
        <v>8269023</v>
      </c>
      <c r="I159" s="11">
        <f t="shared" si="103"/>
        <v>393535705.49000001</v>
      </c>
      <c r="J159" s="8">
        <f t="shared" si="103"/>
        <v>494557</v>
      </c>
      <c r="K159" s="11">
        <f t="shared" si="103"/>
        <v>40158208.740000002</v>
      </c>
      <c r="L159" s="8">
        <f t="shared" si="103"/>
        <v>107195</v>
      </c>
      <c r="M159" s="11">
        <f t="shared" si="103"/>
        <v>7213749.9399999995</v>
      </c>
      <c r="N159" s="8">
        <f t="shared" si="103"/>
        <v>247</v>
      </c>
      <c r="O159" s="11">
        <f t="shared" si="103"/>
        <v>24307.190000000002</v>
      </c>
      <c r="P159" s="8">
        <f t="shared" si="90"/>
        <v>0</v>
      </c>
      <c r="Q159" s="11">
        <f t="shared" si="91"/>
        <v>0</v>
      </c>
      <c r="R159" s="8">
        <f t="shared" si="100"/>
        <v>12230709</v>
      </c>
      <c r="S159" s="11">
        <f t="shared" si="92"/>
        <v>560446317.42000008</v>
      </c>
      <c r="U159" s="17">
        <f t="shared" si="93"/>
        <v>0.2746927426692925</v>
      </c>
      <c r="V159" s="17">
        <f t="shared" si="94"/>
        <v>0.72530725733070756</v>
      </c>
      <c r="W159" s="17">
        <f t="shared" si="95"/>
        <v>0.67608697091885683</v>
      </c>
      <c r="X159" s="17">
        <f t="shared" si="96"/>
        <v>4.0435677114057739E-2</v>
      </c>
      <c r="Y159" s="17">
        <f t="shared" si="97"/>
        <v>8.7644142297883133E-3</v>
      </c>
      <c r="Z159" s="17">
        <f t="shared" si="98"/>
        <v>2.0195068004643067E-5</v>
      </c>
    </row>
    <row r="160" spans="1:26" x14ac:dyDescent="0.25">
      <c r="B160" s="2" t="s">
        <v>10</v>
      </c>
      <c r="C160" s="2">
        <v>2018</v>
      </c>
      <c r="D160" s="1">
        <f t="shared" ref="D160:O160" si="104">+D97+D76+D55+D34+D13+D118+D139</f>
        <v>3188435</v>
      </c>
      <c r="E160" s="11">
        <f t="shared" si="104"/>
        <v>113072884.67000002</v>
      </c>
      <c r="F160" s="1">
        <f t="shared" si="104"/>
        <v>25063</v>
      </c>
      <c r="G160" s="11">
        <f t="shared" si="104"/>
        <v>1910626.2399999998</v>
      </c>
      <c r="H160" s="1">
        <f t="shared" si="104"/>
        <v>8089968</v>
      </c>
      <c r="I160" s="11">
        <f t="shared" si="104"/>
        <v>386797789.44000006</v>
      </c>
      <c r="J160" s="8">
        <f t="shared" si="104"/>
        <v>497967</v>
      </c>
      <c r="K160" s="11">
        <f t="shared" si="104"/>
        <v>40662268.219999999</v>
      </c>
      <c r="L160" s="8">
        <f t="shared" si="104"/>
        <v>102741</v>
      </c>
      <c r="M160" s="11">
        <f t="shared" si="104"/>
        <v>6877313.0899999999</v>
      </c>
      <c r="N160" s="8">
        <f t="shared" si="104"/>
        <v>229</v>
      </c>
      <c r="O160" s="11">
        <f t="shared" si="104"/>
        <v>20439.150000000001</v>
      </c>
      <c r="P160" s="8">
        <f t="shared" si="90"/>
        <v>6961</v>
      </c>
      <c r="Q160" s="11">
        <f t="shared" si="91"/>
        <v>434339</v>
      </c>
      <c r="R160" s="8">
        <f t="shared" si="100"/>
        <v>11911364</v>
      </c>
      <c r="S160" s="11">
        <f t="shared" si="92"/>
        <v>549775659.81000006</v>
      </c>
      <c r="U160" s="17">
        <f t="shared" si="93"/>
        <v>0.270368616054383</v>
      </c>
      <c r="V160" s="17">
        <f t="shared" si="94"/>
        <v>0.729631383945617</v>
      </c>
      <c r="W160" s="17">
        <f t="shared" si="95"/>
        <v>0.67918065470923394</v>
      </c>
      <c r="X160" s="17">
        <f t="shared" si="96"/>
        <v>4.1806043371691103E-2</v>
      </c>
      <c r="Y160" s="17">
        <f t="shared" si="97"/>
        <v>8.6254605266029988E-3</v>
      </c>
      <c r="Z160" s="17">
        <f t="shared" si="98"/>
        <v>1.9225338088904007E-5</v>
      </c>
    </row>
    <row r="161" spans="1:26" x14ac:dyDescent="0.25">
      <c r="B161" s="2" t="s">
        <v>11</v>
      </c>
      <c r="C161" s="2">
        <v>2018</v>
      </c>
      <c r="D161" s="1">
        <f t="shared" ref="D161:O161" si="105">+D98+D77+D56+D35+D14+D119+D140</f>
        <v>3063443</v>
      </c>
      <c r="E161" s="11">
        <f t="shared" si="105"/>
        <v>109554017.43000001</v>
      </c>
      <c r="F161" s="1">
        <f t="shared" si="105"/>
        <v>25705</v>
      </c>
      <c r="G161" s="11">
        <f t="shared" si="105"/>
        <v>1931155.77</v>
      </c>
      <c r="H161" s="1">
        <f t="shared" si="105"/>
        <v>7838186</v>
      </c>
      <c r="I161" s="11">
        <f t="shared" si="105"/>
        <v>380738996.23000002</v>
      </c>
      <c r="J161" s="8">
        <f t="shared" si="105"/>
        <v>500468</v>
      </c>
      <c r="K161" s="11">
        <f t="shared" si="105"/>
        <v>41835183.350000001</v>
      </c>
      <c r="L161" s="8">
        <f t="shared" si="105"/>
        <v>102802</v>
      </c>
      <c r="M161" s="11">
        <f t="shared" si="105"/>
        <v>6993749.71</v>
      </c>
      <c r="N161" s="8">
        <f t="shared" si="105"/>
        <v>310</v>
      </c>
      <c r="O161" s="11">
        <f t="shared" si="105"/>
        <v>31447.88</v>
      </c>
      <c r="P161" s="8">
        <f t="shared" si="90"/>
        <v>17116</v>
      </c>
      <c r="Q161" s="11">
        <f t="shared" si="91"/>
        <v>1066235</v>
      </c>
      <c r="R161" s="8">
        <f t="shared" si="100"/>
        <v>11548030</v>
      </c>
      <c r="S161" s="11">
        <f t="shared" si="92"/>
        <v>542150785.37</v>
      </c>
      <c r="U161" s="17">
        <f t="shared" si="93"/>
        <v>0.26898648514075563</v>
      </c>
      <c r="V161" s="17">
        <f t="shared" si="94"/>
        <v>0.73101351485924437</v>
      </c>
      <c r="W161" s="17">
        <f t="shared" si="95"/>
        <v>0.67874659140996341</v>
      </c>
      <c r="X161" s="17">
        <f t="shared" si="96"/>
        <v>4.3337954612171943E-2</v>
      </c>
      <c r="Y161" s="17">
        <f t="shared" si="97"/>
        <v>8.9021244316130118E-3</v>
      </c>
      <c r="Z161" s="17">
        <f t="shared" si="98"/>
        <v>2.6844405496002348E-5</v>
      </c>
    </row>
    <row r="162" spans="1:26" x14ac:dyDescent="0.25">
      <c r="B162" s="2" t="s">
        <v>4</v>
      </c>
      <c r="C162" s="2">
        <v>2018</v>
      </c>
      <c r="D162" s="1">
        <f t="shared" ref="D162:O162" si="106">+D99+D78+D57+D36+D15+D120+D141</f>
        <v>3359619</v>
      </c>
      <c r="E162" s="11">
        <f t="shared" si="106"/>
        <v>120876327.10999998</v>
      </c>
      <c r="F162" s="1">
        <f t="shared" si="106"/>
        <v>27514</v>
      </c>
      <c r="G162" s="11">
        <f t="shared" si="106"/>
        <v>2164229.54</v>
      </c>
      <c r="H162" s="1">
        <f t="shared" si="106"/>
        <v>8649727</v>
      </c>
      <c r="I162" s="11">
        <f t="shared" si="106"/>
        <v>419186442.84000003</v>
      </c>
      <c r="J162" s="8">
        <f t="shared" si="106"/>
        <v>528638</v>
      </c>
      <c r="K162" s="11">
        <f t="shared" si="106"/>
        <v>44336835.700000003</v>
      </c>
      <c r="L162" s="8">
        <f t="shared" si="106"/>
        <v>111782</v>
      </c>
      <c r="M162" s="11">
        <f t="shared" si="106"/>
        <v>7643888.7300000004</v>
      </c>
      <c r="N162" s="8">
        <f t="shared" si="106"/>
        <v>312</v>
      </c>
      <c r="O162" s="11">
        <f t="shared" si="106"/>
        <v>29930.85</v>
      </c>
      <c r="P162" s="8">
        <f t="shared" si="90"/>
        <v>26278</v>
      </c>
      <c r="Q162" s="11">
        <f t="shared" si="91"/>
        <v>1480899</v>
      </c>
      <c r="R162" s="8">
        <f t="shared" si="100"/>
        <v>12703870</v>
      </c>
      <c r="S162" s="11">
        <f t="shared" si="92"/>
        <v>595718553.7700001</v>
      </c>
      <c r="U162" s="17">
        <f t="shared" si="93"/>
        <v>0.26869064308750013</v>
      </c>
      <c r="V162" s="17">
        <f t="shared" si="94"/>
        <v>0.73130935691249987</v>
      </c>
      <c r="W162" s="17">
        <f t="shared" si="95"/>
        <v>0.68087338740084713</v>
      </c>
      <c r="X162" s="17">
        <f t="shared" si="96"/>
        <v>4.1612359068535811E-2</v>
      </c>
      <c r="Y162" s="17">
        <f t="shared" si="97"/>
        <v>8.7990509978455381E-3</v>
      </c>
      <c r="Z162" s="17">
        <f t="shared" si="98"/>
        <v>2.4559445271401551E-5</v>
      </c>
    </row>
    <row r="163" spans="1:26" x14ac:dyDescent="0.25">
      <c r="B163" s="2" t="s">
        <v>28</v>
      </c>
      <c r="C163" s="2">
        <v>2018</v>
      </c>
      <c r="D163" s="1">
        <f t="shared" ref="D163:O163" si="107">+D100+D79+D58+D37+D16+D121+D142</f>
        <v>3103489</v>
      </c>
      <c r="E163" s="11">
        <f t="shared" si="107"/>
        <v>112055849.16999999</v>
      </c>
      <c r="F163" s="1">
        <f t="shared" si="107"/>
        <v>25129</v>
      </c>
      <c r="G163" s="11">
        <f t="shared" si="107"/>
        <v>2058080.31</v>
      </c>
      <c r="H163" s="1">
        <f t="shared" si="107"/>
        <v>8108764</v>
      </c>
      <c r="I163" s="11">
        <f t="shared" si="107"/>
        <v>395527733.60000002</v>
      </c>
      <c r="J163" s="8">
        <f t="shared" si="107"/>
        <v>498757</v>
      </c>
      <c r="K163" s="11">
        <f t="shared" si="107"/>
        <v>42574540.609999999</v>
      </c>
      <c r="L163" s="8">
        <f t="shared" si="107"/>
        <v>103902</v>
      </c>
      <c r="M163" s="11">
        <f t="shared" si="107"/>
        <v>7259437.54</v>
      </c>
      <c r="N163" s="8">
        <f t="shared" si="107"/>
        <v>290</v>
      </c>
      <c r="O163" s="11">
        <f t="shared" si="107"/>
        <v>27777</v>
      </c>
      <c r="P163" s="8">
        <f t="shared" si="90"/>
        <v>23619</v>
      </c>
      <c r="Q163" s="11">
        <f t="shared" si="91"/>
        <v>1303612</v>
      </c>
      <c r="R163" s="8">
        <f t="shared" si="100"/>
        <v>11863950</v>
      </c>
      <c r="S163" s="11">
        <f t="shared" si="92"/>
        <v>560807030.23000002</v>
      </c>
      <c r="U163" s="17">
        <f t="shared" si="93"/>
        <v>0.26569877654575413</v>
      </c>
      <c r="V163" s="17">
        <f t="shared" si="94"/>
        <v>0.73430122345424587</v>
      </c>
      <c r="W163" s="17">
        <f t="shared" si="95"/>
        <v>0.68347927966655286</v>
      </c>
      <c r="X163" s="17">
        <f t="shared" si="96"/>
        <v>4.2039708528778356E-2</v>
      </c>
      <c r="Y163" s="17">
        <f t="shared" si="97"/>
        <v>8.7577914606855219E-3</v>
      </c>
      <c r="Z163" s="17">
        <f t="shared" si="98"/>
        <v>2.4443798229088964E-5</v>
      </c>
    </row>
    <row r="164" spans="1:26" x14ac:dyDescent="0.25">
      <c r="B164" s="2" t="s">
        <v>29</v>
      </c>
      <c r="C164" s="2">
        <v>2018</v>
      </c>
      <c r="D164" s="1">
        <f t="shared" ref="D164:O164" si="108">+D101+D80+D59+D38+D17+D122+D143</f>
        <v>3436155</v>
      </c>
      <c r="E164" s="11">
        <f t="shared" si="108"/>
        <v>123889264.38999999</v>
      </c>
      <c r="F164" s="1">
        <f t="shared" si="108"/>
        <v>27055</v>
      </c>
      <c r="G164" s="11">
        <f t="shared" si="108"/>
        <v>2236978.7599999998</v>
      </c>
      <c r="H164" s="1">
        <f t="shared" si="108"/>
        <v>8974611</v>
      </c>
      <c r="I164" s="11">
        <f t="shared" si="108"/>
        <v>432535601.19999999</v>
      </c>
      <c r="J164" s="8">
        <f t="shared" si="108"/>
        <v>558012</v>
      </c>
      <c r="K164" s="11">
        <f t="shared" si="108"/>
        <v>46657193.210000001</v>
      </c>
      <c r="L164" s="8">
        <f t="shared" si="108"/>
        <v>116118</v>
      </c>
      <c r="M164" s="11">
        <f t="shared" si="108"/>
        <v>8236384.4000000004</v>
      </c>
      <c r="N164" s="8">
        <f t="shared" si="108"/>
        <v>265</v>
      </c>
      <c r="O164" s="11">
        <f t="shared" si="108"/>
        <v>25592</v>
      </c>
      <c r="P164" s="8">
        <f t="shared" si="90"/>
        <v>25094</v>
      </c>
      <c r="Q164" s="11">
        <f t="shared" si="91"/>
        <v>1385653</v>
      </c>
      <c r="R164" s="8">
        <f t="shared" si="100"/>
        <v>13137310</v>
      </c>
      <c r="S164" s="11">
        <f t="shared" si="92"/>
        <v>614966666.96000004</v>
      </c>
      <c r="U164" s="17"/>
      <c r="V164" s="17"/>
      <c r="W164" s="17"/>
      <c r="X164" s="17"/>
      <c r="Y164" s="17"/>
      <c r="Z164" s="17"/>
    </row>
    <row r="165" spans="1:26" x14ac:dyDescent="0.25">
      <c r="B165" s="2" t="s">
        <v>30</v>
      </c>
      <c r="C165" s="2">
        <v>2018</v>
      </c>
      <c r="D165" s="1">
        <f t="shared" ref="D165:O165" si="109">+D102+D81+D60+D39+D18+D123+D144</f>
        <v>3144349</v>
      </c>
      <c r="E165" s="11">
        <f t="shared" si="109"/>
        <v>114648573.11999999</v>
      </c>
      <c r="F165" s="1">
        <f t="shared" si="109"/>
        <v>33754</v>
      </c>
      <c r="G165" s="11">
        <f t="shared" si="109"/>
        <v>2431165.37</v>
      </c>
      <c r="H165" s="1">
        <f t="shared" si="109"/>
        <v>8401533</v>
      </c>
      <c r="I165" s="11">
        <f t="shared" si="109"/>
        <v>410279320.59000003</v>
      </c>
      <c r="J165" s="8">
        <f t="shared" si="109"/>
        <v>532164</v>
      </c>
      <c r="K165" s="11">
        <f t="shared" si="109"/>
        <v>45540918.090000004</v>
      </c>
      <c r="L165" s="8">
        <f t="shared" si="109"/>
        <v>109484</v>
      </c>
      <c r="M165" s="11">
        <f t="shared" si="109"/>
        <v>7917636.0199999996</v>
      </c>
      <c r="N165" s="8">
        <f t="shared" si="109"/>
        <v>250</v>
      </c>
      <c r="O165" s="11">
        <f t="shared" si="109"/>
        <v>25565</v>
      </c>
      <c r="P165" s="8">
        <f t="shared" si="90"/>
        <v>28445</v>
      </c>
      <c r="Q165" s="11">
        <f t="shared" si="91"/>
        <v>1557904</v>
      </c>
      <c r="R165" s="8">
        <f t="shared" si="100"/>
        <v>12249979</v>
      </c>
      <c r="S165" s="11">
        <f t="shared" si="92"/>
        <v>582401082.19000006</v>
      </c>
      <c r="U165" s="17"/>
      <c r="V165" s="17"/>
      <c r="W165" s="17"/>
      <c r="X165" s="17"/>
      <c r="Y165" s="17"/>
      <c r="Z165" s="17"/>
    </row>
    <row r="166" spans="1:26" x14ac:dyDescent="0.25">
      <c r="B166" s="2" t="s">
        <v>31</v>
      </c>
      <c r="C166" s="2">
        <v>2018</v>
      </c>
      <c r="D166" s="1">
        <f t="shared" ref="D166:O166" si="110">+D103+D82+D61+D40+D19+D124+D145</f>
        <v>2915800</v>
      </c>
      <c r="E166" s="11">
        <f t="shared" si="110"/>
        <v>107147136.23999999</v>
      </c>
      <c r="F166" s="1">
        <f t="shared" si="110"/>
        <v>103221</v>
      </c>
      <c r="G166" s="11">
        <f t="shared" si="110"/>
        <v>4615990.95</v>
      </c>
      <c r="H166" s="1">
        <f t="shared" si="110"/>
        <v>7758859</v>
      </c>
      <c r="I166" s="11">
        <f t="shared" si="110"/>
        <v>384197658.5</v>
      </c>
      <c r="J166" s="8">
        <f t="shared" si="110"/>
        <v>519595</v>
      </c>
      <c r="K166" s="11">
        <f t="shared" si="110"/>
        <v>46119289.710000001</v>
      </c>
      <c r="L166" s="8">
        <f t="shared" si="110"/>
        <v>104013</v>
      </c>
      <c r="M166" s="11">
        <f t="shared" si="110"/>
        <v>7864417.7199999997</v>
      </c>
      <c r="N166" s="8">
        <f t="shared" si="110"/>
        <v>227</v>
      </c>
      <c r="O166" s="11">
        <f t="shared" si="110"/>
        <v>19317.809999999998</v>
      </c>
      <c r="P166" s="8">
        <f t="shared" si="90"/>
        <v>37691</v>
      </c>
      <c r="Q166" s="11">
        <f t="shared" si="91"/>
        <v>1917257</v>
      </c>
      <c r="R166" s="8">
        <f t="shared" si="100"/>
        <v>11439406</v>
      </c>
      <c r="S166" s="11">
        <f t="shared" si="92"/>
        <v>551881067.92999995</v>
      </c>
      <c r="U166" s="17"/>
      <c r="V166" s="17"/>
      <c r="W166" s="17"/>
      <c r="X166" s="17"/>
      <c r="Y166" s="17"/>
      <c r="Z166" s="17"/>
    </row>
    <row r="167" spans="1:26" x14ac:dyDescent="0.25">
      <c r="P167" s="9"/>
      <c r="S167" s="9"/>
      <c r="U167" s="18"/>
      <c r="V167" s="19"/>
      <c r="W167" s="18"/>
      <c r="X167" s="18"/>
      <c r="Y167" s="18"/>
      <c r="Z167" s="18"/>
    </row>
    <row r="168" spans="1:26" x14ac:dyDescent="0.25">
      <c r="B168" s="3" t="s">
        <v>12</v>
      </c>
      <c r="C168" s="3"/>
      <c r="D168" s="4">
        <f t="shared" ref="D168:O168" si="111">SUM(D155:D167)</f>
        <v>38393662</v>
      </c>
      <c r="E168" s="12">
        <f t="shared" si="111"/>
        <v>1358151901.3599999</v>
      </c>
      <c r="F168" s="4">
        <f t="shared" si="111"/>
        <v>386586</v>
      </c>
      <c r="G168" s="12">
        <f t="shared" si="111"/>
        <v>26218150.899999999</v>
      </c>
      <c r="H168" s="4">
        <f t="shared" si="111"/>
        <v>95833535</v>
      </c>
      <c r="I168" s="12">
        <f t="shared" si="111"/>
        <v>4562738327.5900002</v>
      </c>
      <c r="J168" s="4">
        <f t="shared" si="111"/>
        <v>5908768</v>
      </c>
      <c r="K168" s="12">
        <f t="shared" si="111"/>
        <v>481119775.23999995</v>
      </c>
      <c r="L168" s="4">
        <f t="shared" si="111"/>
        <v>1241973</v>
      </c>
      <c r="M168" s="12">
        <f t="shared" si="111"/>
        <v>83903352.519999996</v>
      </c>
      <c r="N168" s="4">
        <f t="shared" si="111"/>
        <v>6378</v>
      </c>
      <c r="O168" s="12">
        <f t="shared" si="111"/>
        <v>611343.83000000007</v>
      </c>
      <c r="P168" s="4">
        <f>SUM(P155:P167)</f>
        <v>165204</v>
      </c>
      <c r="Q168" s="12">
        <f>SUM(Q155:Q167)</f>
        <v>9145899</v>
      </c>
      <c r="R168" s="4">
        <f>SUM(R155:R167)</f>
        <v>141936106</v>
      </c>
      <c r="S168" s="12">
        <f>SUM(S155:S167)</f>
        <v>6521888750.4400005</v>
      </c>
      <c r="U168" s="16">
        <f>+(D168+F168)/R168</f>
        <v>0.27322327695815468</v>
      </c>
      <c r="V168" s="16">
        <f>1-U168</f>
        <v>0.72677672304184537</v>
      </c>
      <c r="W168" s="16">
        <f>+H168/R168</f>
        <v>0.67518785530159608</v>
      </c>
      <c r="X168" s="16">
        <f>+J168/R168</f>
        <v>4.162977389276834E-2</v>
      </c>
      <c r="Y168" s="16">
        <f>+L168/R168</f>
        <v>8.7502259643504662E-3</v>
      </c>
      <c r="Z168" s="16">
        <f>+N168/R168</f>
        <v>4.4935712129512697E-5</v>
      </c>
    </row>
    <row r="169" spans="1:26" x14ac:dyDescent="0.25">
      <c r="F169" s="15"/>
      <c r="H169" s="15"/>
    </row>
    <row r="170" spans="1:26" x14ac:dyDescent="0.25">
      <c r="B170" s="5" t="s">
        <v>14</v>
      </c>
    </row>
    <row r="171" spans="1:26" x14ac:dyDescent="0.25">
      <c r="B171" s="5" t="s">
        <v>47</v>
      </c>
    </row>
    <row r="172" spans="1:26" x14ac:dyDescent="0.25">
      <c r="B172" s="5"/>
    </row>
    <row r="173" spans="1:26" x14ac:dyDescent="0.25">
      <c r="D173" s="89" t="s">
        <v>23</v>
      </c>
      <c r="E173" s="90"/>
      <c r="F173" s="89" t="s">
        <v>24</v>
      </c>
      <c r="G173" s="90"/>
      <c r="H173" s="89" t="s">
        <v>18</v>
      </c>
      <c r="I173" s="90"/>
      <c r="J173" s="89" t="s">
        <v>13</v>
      </c>
      <c r="K173" s="90"/>
      <c r="L173" s="89" t="s">
        <v>37</v>
      </c>
      <c r="M173" s="90"/>
      <c r="N173" s="89" t="s">
        <v>43</v>
      </c>
      <c r="O173" s="93"/>
      <c r="R173" s="89" t="s">
        <v>45</v>
      </c>
      <c r="S173" s="93"/>
    </row>
    <row r="174" spans="1:26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R174" s="7" t="s">
        <v>2</v>
      </c>
      <c r="S174" s="10" t="s">
        <v>3</v>
      </c>
    </row>
    <row r="175" spans="1:26" x14ac:dyDescent="0.25">
      <c r="N175"/>
      <c r="S175" s="9"/>
    </row>
    <row r="176" spans="1:26" x14ac:dyDescent="0.25">
      <c r="B176" s="2" t="s">
        <v>5</v>
      </c>
      <c r="C176" s="2">
        <v>2018</v>
      </c>
      <c r="D176" s="1">
        <v>409408</v>
      </c>
      <c r="E176" s="11">
        <v>10101461.099999998</v>
      </c>
      <c r="F176" s="1">
        <v>353338</v>
      </c>
      <c r="G176" s="11">
        <v>24164593</v>
      </c>
      <c r="H176" s="1">
        <v>482295</v>
      </c>
      <c r="I176" s="11">
        <v>39418439</v>
      </c>
      <c r="J176" s="8">
        <v>238029</v>
      </c>
      <c r="K176" s="11">
        <v>11892201</v>
      </c>
      <c r="L176" s="8">
        <v>1390</v>
      </c>
      <c r="M176" s="11">
        <v>101576</v>
      </c>
      <c r="N176" s="8">
        <f>+J176+H176+F176+D176+L176</f>
        <v>1484460</v>
      </c>
      <c r="O176" s="11">
        <f t="shared" ref="O176:O187" si="112">+K176+I176+G176+E176+M176</f>
        <v>85678270.099999994</v>
      </c>
      <c r="R176" s="20">
        <f t="shared" ref="R176:R187" si="113">+N176+R155</f>
        <v>12731478</v>
      </c>
      <c r="S176" s="21">
        <f t="shared" ref="S176:S187" si="114">+O176+S155</f>
        <v>553005832.17999995</v>
      </c>
    </row>
    <row r="177" spans="2:19" x14ac:dyDescent="0.25">
      <c r="B177" s="2" t="s">
        <v>6</v>
      </c>
      <c r="C177" s="2">
        <v>2018</v>
      </c>
      <c r="D177" s="1">
        <v>400083</v>
      </c>
      <c r="E177" s="11">
        <v>10533006.84</v>
      </c>
      <c r="F177" s="1">
        <v>404777</v>
      </c>
      <c r="G177" s="11">
        <v>27710104</v>
      </c>
      <c r="H177" s="1">
        <v>361447</v>
      </c>
      <c r="I177" s="11">
        <v>34251966</v>
      </c>
      <c r="J177" s="8">
        <v>228199</v>
      </c>
      <c r="K177" s="11">
        <v>12085618</v>
      </c>
      <c r="L177" s="8">
        <v>1142</v>
      </c>
      <c r="M177" s="11">
        <v>97821</v>
      </c>
      <c r="N177" s="8">
        <f t="shared" ref="N177:N187" si="115">+J177+H177+F177+D177+L177</f>
        <v>1395648</v>
      </c>
      <c r="O177" s="11">
        <f t="shared" si="112"/>
        <v>84678515.840000004</v>
      </c>
      <c r="R177" s="20">
        <f t="shared" si="113"/>
        <v>12363471</v>
      </c>
      <c r="S177" s="21">
        <f t="shared" si="114"/>
        <v>560940770.47000003</v>
      </c>
    </row>
    <row r="178" spans="2:19" x14ac:dyDescent="0.25">
      <c r="B178" s="2" t="s">
        <v>7</v>
      </c>
      <c r="C178" s="2">
        <v>2018</v>
      </c>
      <c r="D178" s="1">
        <v>427174</v>
      </c>
      <c r="E178" s="11">
        <v>12643115.470000001</v>
      </c>
      <c r="F178" s="1">
        <v>452623</v>
      </c>
      <c r="G178" s="11">
        <v>31907724</v>
      </c>
      <c r="H178" s="1">
        <v>466488</v>
      </c>
      <c r="I178" s="11">
        <v>43683837</v>
      </c>
      <c r="J178" s="8">
        <v>246237</v>
      </c>
      <c r="K178" s="11">
        <v>13734332</v>
      </c>
      <c r="L178" s="8">
        <v>1473</v>
      </c>
      <c r="M178" s="11">
        <v>117703</v>
      </c>
      <c r="N178" s="8">
        <f t="shared" si="115"/>
        <v>1593995</v>
      </c>
      <c r="O178" s="11">
        <f t="shared" si="112"/>
        <v>102086711.47</v>
      </c>
      <c r="R178" s="20">
        <f t="shared" si="113"/>
        <v>12785573</v>
      </c>
      <c r="S178" s="21">
        <f t="shared" si="114"/>
        <v>605556520.54000008</v>
      </c>
    </row>
    <row r="179" spans="2:19" x14ac:dyDescent="0.25">
      <c r="B179" s="2" t="s">
        <v>8</v>
      </c>
      <c r="C179" s="2">
        <v>2018</v>
      </c>
      <c r="D179" s="1">
        <v>394281</v>
      </c>
      <c r="E179" s="11">
        <v>10844747.699999999</v>
      </c>
      <c r="F179" s="1">
        <v>437739</v>
      </c>
      <c r="G179" s="11">
        <v>31374171</v>
      </c>
      <c r="H179" s="1">
        <v>409013</v>
      </c>
      <c r="I179" s="11">
        <v>38383117</v>
      </c>
      <c r="J179" s="8">
        <v>230852</v>
      </c>
      <c r="K179" s="11">
        <v>12985913</v>
      </c>
      <c r="L179" s="8">
        <v>1566</v>
      </c>
      <c r="M179" s="11">
        <v>123987</v>
      </c>
      <c r="N179" s="8">
        <f t="shared" si="115"/>
        <v>1473451</v>
      </c>
      <c r="O179" s="11">
        <f t="shared" si="112"/>
        <v>93711935.700000003</v>
      </c>
      <c r="R179" s="20">
        <f t="shared" si="113"/>
        <v>12918520</v>
      </c>
      <c r="S179" s="21">
        <f t="shared" si="114"/>
        <v>610393896.67999995</v>
      </c>
    </row>
    <row r="180" spans="2:19" x14ac:dyDescent="0.25">
      <c r="B180" s="2" t="s">
        <v>9</v>
      </c>
      <c r="C180" s="2">
        <v>2018</v>
      </c>
      <c r="D180" s="1">
        <v>396068</v>
      </c>
      <c r="E180" s="11">
        <v>9421820.4200000018</v>
      </c>
      <c r="F180" s="1">
        <v>445793</v>
      </c>
      <c r="G180" s="11">
        <v>31202399</v>
      </c>
      <c r="H180" s="1">
        <v>380806</v>
      </c>
      <c r="I180" s="11">
        <v>35863862</v>
      </c>
      <c r="J180" s="8">
        <v>237884</v>
      </c>
      <c r="K180" s="11">
        <v>13308690</v>
      </c>
      <c r="L180" s="8">
        <v>1777</v>
      </c>
      <c r="M180" s="11">
        <v>146023</v>
      </c>
      <c r="N180" s="8">
        <f t="shared" si="115"/>
        <v>1462328</v>
      </c>
      <c r="O180" s="11">
        <f t="shared" si="112"/>
        <v>89942794.420000002</v>
      </c>
      <c r="R180" s="20">
        <f t="shared" si="113"/>
        <v>13693037</v>
      </c>
      <c r="S180" s="21">
        <f t="shared" si="114"/>
        <v>650389111.84000003</v>
      </c>
    </row>
    <row r="181" spans="2:19" x14ac:dyDescent="0.25">
      <c r="B181" s="2" t="s">
        <v>10</v>
      </c>
      <c r="C181" s="2">
        <v>2018</v>
      </c>
      <c r="D181" s="1">
        <v>381327</v>
      </c>
      <c r="E181" s="11">
        <v>10558997.790000003</v>
      </c>
      <c r="F181" s="1">
        <v>419863</v>
      </c>
      <c r="G181" s="11">
        <v>29476435</v>
      </c>
      <c r="H181" s="1">
        <v>366124</v>
      </c>
      <c r="I181" s="11">
        <v>34903982</v>
      </c>
      <c r="J181" s="8">
        <v>226630</v>
      </c>
      <c r="K181" s="11">
        <v>12543040</v>
      </c>
      <c r="L181" s="8">
        <v>1697</v>
      </c>
      <c r="M181" s="11">
        <v>141778</v>
      </c>
      <c r="N181" s="8">
        <f t="shared" si="115"/>
        <v>1395641</v>
      </c>
      <c r="O181" s="11">
        <f t="shared" si="112"/>
        <v>87624232.790000007</v>
      </c>
      <c r="R181" s="20">
        <f t="shared" si="113"/>
        <v>13307005</v>
      </c>
      <c r="S181" s="21">
        <f t="shared" si="114"/>
        <v>637399892.60000002</v>
      </c>
    </row>
    <row r="182" spans="2:19" x14ac:dyDescent="0.25">
      <c r="B182" s="2" t="s">
        <v>11</v>
      </c>
      <c r="C182" s="2">
        <v>2018</v>
      </c>
      <c r="D182" s="1">
        <v>379422</v>
      </c>
      <c r="E182" s="11">
        <v>11307648.880000003</v>
      </c>
      <c r="F182" s="1">
        <v>425458</v>
      </c>
      <c r="G182" s="11">
        <v>31053201</v>
      </c>
      <c r="H182" s="1">
        <v>446324</v>
      </c>
      <c r="I182" s="11">
        <v>40362642</v>
      </c>
      <c r="J182" s="8">
        <v>231755</v>
      </c>
      <c r="K182" s="11">
        <v>13283100</v>
      </c>
      <c r="L182" s="8">
        <v>2044</v>
      </c>
      <c r="M182" s="11">
        <v>157327</v>
      </c>
      <c r="N182" s="8">
        <f t="shared" si="115"/>
        <v>1485003</v>
      </c>
      <c r="O182" s="11">
        <f t="shared" si="112"/>
        <v>96163918.879999995</v>
      </c>
      <c r="R182" s="20">
        <f t="shared" si="113"/>
        <v>13033033</v>
      </c>
      <c r="S182" s="21">
        <f t="shared" si="114"/>
        <v>638314704.25</v>
      </c>
    </row>
    <row r="183" spans="2:19" x14ac:dyDescent="0.25">
      <c r="B183" s="2" t="s">
        <v>4</v>
      </c>
      <c r="C183" s="2">
        <v>2018</v>
      </c>
      <c r="D183" s="1">
        <v>409080</v>
      </c>
      <c r="E183" s="11">
        <v>11109578.300000001</v>
      </c>
      <c r="F183" s="1">
        <v>444794</v>
      </c>
      <c r="G183" s="11">
        <v>31911614</v>
      </c>
      <c r="H183" s="1">
        <v>418542</v>
      </c>
      <c r="I183" s="11">
        <v>38465737</v>
      </c>
      <c r="J183" s="8">
        <v>246243</v>
      </c>
      <c r="K183" s="11">
        <v>13902203</v>
      </c>
      <c r="L183" s="8">
        <v>2004</v>
      </c>
      <c r="M183" s="11">
        <v>153897</v>
      </c>
      <c r="N183" s="8">
        <f t="shared" si="115"/>
        <v>1520663</v>
      </c>
      <c r="O183" s="11">
        <f t="shared" si="112"/>
        <v>95543029.299999997</v>
      </c>
      <c r="R183" s="20">
        <f t="shared" si="113"/>
        <v>14224533</v>
      </c>
      <c r="S183" s="21">
        <f t="shared" si="114"/>
        <v>691261583.07000005</v>
      </c>
    </row>
    <row r="184" spans="2:19" x14ac:dyDescent="0.25">
      <c r="B184" s="2" t="s">
        <v>28</v>
      </c>
      <c r="C184" s="2">
        <v>2018</v>
      </c>
      <c r="D184" s="1">
        <v>395339</v>
      </c>
      <c r="E184" s="11">
        <v>10548324.289999999</v>
      </c>
      <c r="F184" s="1">
        <v>435119</v>
      </c>
      <c r="G184" s="11">
        <v>31767294</v>
      </c>
      <c r="H184" s="1">
        <v>388777</v>
      </c>
      <c r="I184" s="11">
        <v>37454391</v>
      </c>
      <c r="J184" s="8">
        <v>231673</v>
      </c>
      <c r="K184" s="11">
        <v>13204344</v>
      </c>
      <c r="L184" s="8">
        <v>1746</v>
      </c>
      <c r="M184" s="11">
        <v>135309</v>
      </c>
      <c r="N184" s="8">
        <f t="shared" si="115"/>
        <v>1452654</v>
      </c>
      <c r="O184" s="11">
        <f t="shared" si="112"/>
        <v>93109662.289999992</v>
      </c>
      <c r="R184" s="20">
        <f t="shared" si="113"/>
        <v>13316604</v>
      </c>
      <c r="S184" s="21">
        <f t="shared" si="114"/>
        <v>653916692.51999998</v>
      </c>
    </row>
    <row r="185" spans="2:19" x14ac:dyDescent="0.25">
      <c r="B185" s="2" t="s">
        <v>29</v>
      </c>
      <c r="C185" s="2">
        <v>2018</v>
      </c>
      <c r="D185" s="1">
        <v>428097</v>
      </c>
      <c r="E185" s="11">
        <v>10842435.309999999</v>
      </c>
      <c r="F185" s="1">
        <v>480604</v>
      </c>
      <c r="G185" s="11">
        <v>35269642</v>
      </c>
      <c r="H185" s="1">
        <v>403748</v>
      </c>
      <c r="I185" s="11">
        <v>39738966</v>
      </c>
      <c r="J185" s="8">
        <v>250223</v>
      </c>
      <c r="K185" s="11">
        <v>14057278</v>
      </c>
      <c r="L185" s="8">
        <v>2108</v>
      </c>
      <c r="M185" s="11">
        <v>162627</v>
      </c>
      <c r="N185" s="8">
        <f t="shared" si="115"/>
        <v>1564780</v>
      </c>
      <c r="O185" s="11">
        <f t="shared" si="112"/>
        <v>100070948.31</v>
      </c>
      <c r="R185" s="20">
        <f t="shared" si="113"/>
        <v>14702090</v>
      </c>
      <c r="S185" s="21">
        <f t="shared" si="114"/>
        <v>715037615.26999998</v>
      </c>
    </row>
    <row r="186" spans="2:19" x14ac:dyDescent="0.25">
      <c r="B186" s="2" t="s">
        <v>30</v>
      </c>
      <c r="C186" s="2">
        <v>2018</v>
      </c>
      <c r="D186" s="1">
        <v>412060</v>
      </c>
      <c r="E186" s="11">
        <v>11436894.34</v>
      </c>
      <c r="F186" s="1">
        <v>514844</v>
      </c>
      <c r="G186" s="11">
        <v>37999548</v>
      </c>
      <c r="H186" s="1">
        <v>453921</v>
      </c>
      <c r="I186" s="11">
        <v>43805685</v>
      </c>
      <c r="J186" s="8">
        <v>244976</v>
      </c>
      <c r="K186" s="11">
        <v>14079416</v>
      </c>
      <c r="L186" s="8">
        <v>2118</v>
      </c>
      <c r="M186" s="11">
        <v>164968</v>
      </c>
      <c r="N186" s="8">
        <f t="shared" si="115"/>
        <v>1627919</v>
      </c>
      <c r="O186" s="11">
        <f t="shared" si="112"/>
        <v>107486511.34</v>
      </c>
      <c r="R186" s="20">
        <f t="shared" si="113"/>
        <v>13877898</v>
      </c>
      <c r="S186" s="21">
        <f t="shared" si="114"/>
        <v>689887593.53000009</v>
      </c>
    </row>
    <row r="187" spans="2:19" x14ac:dyDescent="0.25">
      <c r="B187" s="2" t="s">
        <v>31</v>
      </c>
      <c r="C187" s="2">
        <v>2018</v>
      </c>
      <c r="D187" s="1">
        <v>400363</v>
      </c>
      <c r="E187" s="11">
        <v>11739233.430000002</v>
      </c>
      <c r="F187" s="1">
        <v>540959</v>
      </c>
      <c r="G187" s="11">
        <v>39493529</v>
      </c>
      <c r="H187" s="1">
        <v>518311</v>
      </c>
      <c r="I187" s="11">
        <v>48427413</v>
      </c>
      <c r="J187" s="8">
        <v>242174</v>
      </c>
      <c r="K187" s="11">
        <v>14317026</v>
      </c>
      <c r="L187" s="8">
        <v>2280</v>
      </c>
      <c r="M187" s="11">
        <v>160670</v>
      </c>
      <c r="N187" s="8">
        <f t="shared" si="115"/>
        <v>1704087</v>
      </c>
      <c r="O187" s="11">
        <f t="shared" si="112"/>
        <v>114137871.43000001</v>
      </c>
      <c r="R187" s="20">
        <f t="shared" si="113"/>
        <v>13143493</v>
      </c>
      <c r="S187" s="21">
        <f t="shared" si="114"/>
        <v>666018939.3599999</v>
      </c>
    </row>
    <row r="188" spans="2:19" x14ac:dyDescent="0.25">
      <c r="N188"/>
      <c r="S188" s="9"/>
    </row>
    <row r="189" spans="2:19" x14ac:dyDescent="0.25">
      <c r="B189" s="3" t="s">
        <v>12</v>
      </c>
      <c r="C189" s="3"/>
      <c r="D189" s="4">
        <f>SUM(D176:D188)</f>
        <v>4832702</v>
      </c>
      <c r="E189" s="12">
        <f t="shared" ref="E189:O189" si="116">SUM(E176:E188)</f>
        <v>131087263.87000003</v>
      </c>
      <c r="F189" s="4">
        <f t="shared" si="116"/>
        <v>5355911</v>
      </c>
      <c r="G189" s="12">
        <f t="shared" si="116"/>
        <v>383330254</v>
      </c>
      <c r="H189" s="4">
        <f t="shared" si="116"/>
        <v>5095796</v>
      </c>
      <c r="I189" s="12">
        <f t="shared" si="116"/>
        <v>474760037</v>
      </c>
      <c r="J189" s="4">
        <f t="shared" si="116"/>
        <v>2854875</v>
      </c>
      <c r="K189" s="12">
        <f t="shared" si="116"/>
        <v>159393161</v>
      </c>
      <c r="L189" s="4">
        <f>SUM(L176:L188)</f>
        <v>21345</v>
      </c>
      <c r="M189" s="12">
        <f>SUM(M176:M188)</f>
        <v>1663686</v>
      </c>
      <c r="N189" s="4">
        <f t="shared" si="116"/>
        <v>18160629</v>
      </c>
      <c r="O189" s="12">
        <f t="shared" si="116"/>
        <v>1150234401.8699999</v>
      </c>
      <c r="R189" s="22">
        <f>SUM(R176:R188)</f>
        <v>160096735</v>
      </c>
      <c r="S189" s="23">
        <f>SUM(S176:S188)</f>
        <v>7672123152.3099995</v>
      </c>
    </row>
    <row r="190" spans="2:19" x14ac:dyDescent="0.25">
      <c r="P190" s="9"/>
    </row>
  </sheetData>
  <autoFilter ref="B6:AE187" xr:uid="{9F01DA14-90A7-4F61-9127-64DF50C262E7}"/>
  <mergeCells count="73">
    <mergeCell ref="R152:S152"/>
    <mergeCell ref="D89:E89"/>
    <mergeCell ref="F89:G89"/>
    <mergeCell ref="H89:I89"/>
    <mergeCell ref="J89:K89"/>
    <mergeCell ref="L89:M89"/>
    <mergeCell ref="N89:O89"/>
    <mergeCell ref="D110:E110"/>
    <mergeCell ref="P110:Q110"/>
    <mergeCell ref="P152:Q152"/>
    <mergeCell ref="H110:I110"/>
    <mergeCell ref="J110:K110"/>
    <mergeCell ref="L110:M110"/>
    <mergeCell ref="N110:O110"/>
    <mergeCell ref="N131:O131"/>
    <mergeCell ref="P131:Q131"/>
    <mergeCell ref="F110:G110"/>
    <mergeCell ref="P47:Q47"/>
    <mergeCell ref="D68:E68"/>
    <mergeCell ref="F68:G68"/>
    <mergeCell ref="H68:I68"/>
    <mergeCell ref="J68:K68"/>
    <mergeCell ref="L68:M68"/>
    <mergeCell ref="N68:O68"/>
    <mergeCell ref="P68:Q68"/>
    <mergeCell ref="D47:E47"/>
    <mergeCell ref="F47:G47"/>
    <mergeCell ref="H47:I47"/>
    <mergeCell ref="J47:K47"/>
    <mergeCell ref="L47:M47"/>
    <mergeCell ref="N47:O47"/>
    <mergeCell ref="P89:Q89"/>
    <mergeCell ref="D5:E5"/>
    <mergeCell ref="F5:G5"/>
    <mergeCell ref="H5:I5"/>
    <mergeCell ref="J5:K5"/>
    <mergeCell ref="L5:M5"/>
    <mergeCell ref="D26:E26"/>
    <mergeCell ref="F26:G26"/>
    <mergeCell ref="H26:I26"/>
    <mergeCell ref="J26:K26"/>
    <mergeCell ref="L26:M26"/>
    <mergeCell ref="L173:M173"/>
    <mergeCell ref="D131:E131"/>
    <mergeCell ref="F131:G131"/>
    <mergeCell ref="H131:I131"/>
    <mergeCell ref="J131:K131"/>
    <mergeCell ref="L131:M131"/>
    <mergeCell ref="D173:E173"/>
    <mergeCell ref="F173:G173"/>
    <mergeCell ref="H173:I173"/>
    <mergeCell ref="J173:K173"/>
    <mergeCell ref="D152:E152"/>
    <mergeCell ref="F152:G152"/>
    <mergeCell ref="H152:I152"/>
    <mergeCell ref="J152:K152"/>
    <mergeCell ref="L152:M152"/>
    <mergeCell ref="N173:O173"/>
    <mergeCell ref="R173:S173"/>
    <mergeCell ref="U152:Z152"/>
    <mergeCell ref="U5:Z5"/>
    <mergeCell ref="U26:Z26"/>
    <mergeCell ref="U47:Z47"/>
    <mergeCell ref="U68:Z68"/>
    <mergeCell ref="U89:Z89"/>
    <mergeCell ref="U110:Z110"/>
    <mergeCell ref="U131:Z131"/>
    <mergeCell ref="P5:Q5"/>
    <mergeCell ref="N26:O26"/>
    <mergeCell ref="P26:Q26"/>
    <mergeCell ref="N5:O5"/>
    <mergeCell ref="R110:S110"/>
    <mergeCell ref="N152:O152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A6CD-899B-48D2-A2EC-037D09B25C1B}">
  <sheetPr codeName="Hoja5"/>
  <dimension ref="A2:AH254"/>
  <sheetViews>
    <sheetView showGridLines="0" topLeftCell="A213" zoomScale="80" zoomScaleNormal="80" workbookViewId="0">
      <selection activeCell="R252" sqref="R252:R254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8.85546875" customWidth="1"/>
    <col min="5" max="5" width="18.85546875" style="9" customWidth="1"/>
    <col min="6" max="6" width="18.85546875" customWidth="1"/>
    <col min="7" max="7" width="18.85546875" style="9" customWidth="1"/>
    <col min="8" max="8" width="18.85546875" customWidth="1"/>
    <col min="9" max="9" width="18.85546875" style="9" customWidth="1"/>
    <col min="10" max="10" width="18.85546875" customWidth="1"/>
    <col min="11" max="11" width="18.85546875" style="9" customWidth="1"/>
    <col min="12" max="12" width="18.85546875" customWidth="1"/>
    <col min="13" max="15" width="18.85546875" style="9" customWidth="1"/>
    <col min="16" max="16" width="18.85546875" customWidth="1"/>
    <col min="17" max="17" width="18.85546875" style="9" customWidth="1"/>
    <col min="18" max="18" width="18.85546875" customWidth="1"/>
    <col min="19" max="19" width="20" customWidth="1"/>
    <col min="20" max="20" width="13.85546875" customWidth="1"/>
    <col min="21" max="21" width="10.140625" customWidth="1"/>
    <col min="22" max="22" width="9.85546875" customWidth="1"/>
    <col min="23" max="24" width="9.140625" bestFit="1" customWidth="1"/>
    <col min="25" max="25" width="12.5703125" customWidth="1"/>
    <col min="26" max="26" width="15" customWidth="1"/>
    <col min="27" max="27" width="8.5703125" customWidth="1"/>
    <col min="28" max="28" width="15" customWidth="1"/>
    <col min="29" max="29" width="12.5703125" customWidth="1"/>
    <col min="30" max="30" width="15.5703125" bestFit="1" customWidth="1"/>
    <col min="31" max="31" width="12.5703125" customWidth="1"/>
    <col min="32" max="32" width="7.5703125" customWidth="1"/>
    <col min="33" max="33" width="13.85546875" bestFit="1" customWidth="1"/>
    <col min="34" max="34" width="15" bestFit="1" customWidth="1"/>
    <col min="35" max="35" width="12.5703125" customWidth="1"/>
    <col min="36" max="36" width="7.5703125" customWidth="1"/>
    <col min="37" max="37" width="12.5703125" customWidth="1"/>
    <col min="38" max="39" width="15.7109375" customWidth="1"/>
    <col min="40" max="41" width="12.42578125" customWidth="1"/>
    <col min="42" max="42" width="1.7109375" customWidth="1"/>
    <col min="43" max="43" width="7.5703125" customWidth="1"/>
    <col min="44" max="44" width="12.570312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9.140625" customWidth="1"/>
    <col min="50" max="50" width="13.5703125" customWidth="1"/>
    <col min="51" max="51" width="11.7109375" customWidth="1"/>
    <col min="52" max="52" width="18.7109375" customWidth="1"/>
    <col min="53" max="54" width="15.7109375" customWidth="1"/>
    <col min="55" max="56" width="12.42578125" customWidth="1"/>
    <col min="57" max="57" width="1.7109375" customWidth="1"/>
    <col min="58" max="58" width="10.85546875" customWidth="1"/>
    <col min="59" max="59" width="17.42578125" customWidth="1"/>
    <col min="60" max="61" width="14.7109375" customWidth="1"/>
    <col min="62" max="63" width="9.42578125" customWidth="1"/>
    <col min="64" max="64" width="1.7109375" customWidth="1"/>
    <col min="66" max="66" width="15.5703125" bestFit="1" customWidth="1"/>
  </cols>
  <sheetData>
    <row r="2" spans="1:26" x14ac:dyDescent="0.25">
      <c r="B2" s="5" t="s">
        <v>14</v>
      </c>
    </row>
    <row r="3" spans="1:26" x14ac:dyDescent="0.25">
      <c r="B3" s="5" t="s">
        <v>19</v>
      </c>
    </row>
    <row r="4" spans="1:26" x14ac:dyDescent="0.25">
      <c r="B4" s="5"/>
    </row>
    <row r="5" spans="1:26" x14ac:dyDescent="0.25">
      <c r="D5" s="89" t="s">
        <v>15</v>
      </c>
      <c r="E5" s="90"/>
      <c r="F5" s="89" t="s">
        <v>16</v>
      </c>
      <c r="G5" s="90"/>
      <c r="H5" s="89" t="s">
        <v>17</v>
      </c>
      <c r="I5" s="93"/>
      <c r="J5" s="89" t="s">
        <v>18</v>
      </c>
      <c r="K5" s="93"/>
      <c r="L5" s="89" t="s">
        <v>13</v>
      </c>
      <c r="M5" s="93"/>
      <c r="N5" s="89" t="s">
        <v>34</v>
      </c>
      <c r="O5" s="93"/>
      <c r="P5" s="89" t="s">
        <v>12</v>
      </c>
      <c r="Q5" s="93"/>
      <c r="U5" s="89" t="s">
        <v>42</v>
      </c>
      <c r="V5" s="90"/>
      <c r="W5" s="90"/>
      <c r="X5" s="90"/>
      <c r="Y5" s="90"/>
      <c r="Z5" s="93"/>
    </row>
    <row r="6" spans="1:26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U6" s="7" t="s">
        <v>38</v>
      </c>
      <c r="V6" s="10" t="s">
        <v>39</v>
      </c>
      <c r="W6" s="10" t="s">
        <v>40</v>
      </c>
      <c r="X6" s="10" t="s">
        <v>18</v>
      </c>
      <c r="Y6" s="10" t="s">
        <v>13</v>
      </c>
      <c r="Z6" s="10" t="s">
        <v>34</v>
      </c>
    </row>
    <row r="7" spans="1:26" x14ac:dyDescent="0.25">
      <c r="V7" s="9"/>
    </row>
    <row r="8" spans="1:26" x14ac:dyDescent="0.25">
      <c r="B8" s="2" t="s">
        <v>5</v>
      </c>
      <c r="C8" s="2">
        <v>2019</v>
      </c>
      <c r="D8" s="1">
        <v>782393</v>
      </c>
      <c r="E8" s="11">
        <v>23643305.669999994</v>
      </c>
      <c r="F8" s="1">
        <v>38915</v>
      </c>
      <c r="G8" s="11">
        <v>1227440.1400000001</v>
      </c>
      <c r="H8" s="1">
        <v>1978746</v>
      </c>
      <c r="I8" s="11">
        <v>62080489.109999992</v>
      </c>
      <c r="J8" s="8">
        <v>51859</v>
      </c>
      <c r="K8" s="11">
        <v>1592824.9999999995</v>
      </c>
      <c r="L8" s="8">
        <v>8407</v>
      </c>
      <c r="M8" s="11">
        <v>238654.45</v>
      </c>
      <c r="N8" s="8">
        <v>0</v>
      </c>
      <c r="O8" s="11">
        <v>0</v>
      </c>
      <c r="P8" s="8">
        <f t="shared" ref="P8:Q19" si="0">L8+J8+H8+F8+D8+N8</f>
        <v>2860320</v>
      </c>
      <c r="Q8" s="11">
        <f t="shared" si="0"/>
        <v>88782714.36999999</v>
      </c>
      <c r="U8" s="17">
        <f>+(D8+F8)/P8</f>
        <v>0.28713850198579177</v>
      </c>
      <c r="V8" s="17">
        <f>1-U8</f>
        <v>0.71286149801420828</v>
      </c>
      <c r="W8" s="17">
        <f>+H8/P8</f>
        <v>0.69179182748783352</v>
      </c>
      <c r="X8" s="17">
        <f>+J8/P8</f>
        <v>1.813048889634726E-2</v>
      </c>
      <c r="Y8" s="17">
        <f>+L8/P8</f>
        <v>2.9391816300274095E-3</v>
      </c>
      <c r="Z8" s="17">
        <f>+N8/P8</f>
        <v>0</v>
      </c>
    </row>
    <row r="9" spans="1:26" x14ac:dyDescent="0.25">
      <c r="B9" s="2" t="s">
        <v>6</v>
      </c>
      <c r="C9" s="2">
        <v>2019</v>
      </c>
      <c r="D9" s="1">
        <v>788218</v>
      </c>
      <c r="E9" s="11">
        <v>26067098.859999992</v>
      </c>
      <c r="F9" s="1">
        <v>31671</v>
      </c>
      <c r="G9" s="11">
        <v>1071498.5399999998</v>
      </c>
      <c r="H9" s="1">
        <v>1934326</v>
      </c>
      <c r="I9" s="11">
        <v>66063282.030000009</v>
      </c>
      <c r="J9" s="8">
        <v>50926</v>
      </c>
      <c r="K9" s="11">
        <v>1700588.1800000004</v>
      </c>
      <c r="L9" s="8">
        <v>8618</v>
      </c>
      <c r="M9" s="11">
        <v>264530.60000000003</v>
      </c>
      <c r="N9" s="8">
        <v>4</v>
      </c>
      <c r="O9" s="11">
        <v>41.94</v>
      </c>
      <c r="P9" s="8">
        <f t="shared" si="0"/>
        <v>2813763</v>
      </c>
      <c r="Q9" s="11">
        <f t="shared" si="0"/>
        <v>95167040.150000006</v>
      </c>
      <c r="U9" s="17">
        <f t="shared" ref="U9:U19" si="1">+(D9+F9)/P9</f>
        <v>0.29138523749157269</v>
      </c>
      <c r="V9" s="17">
        <f t="shared" ref="V9:V19" si="2">1-U9</f>
        <v>0.70861476250842736</v>
      </c>
      <c r="W9" s="17">
        <f t="shared" ref="W9:W19" si="3">+H9/P9</f>
        <v>0.68745164393731806</v>
      </c>
      <c r="X9" s="17">
        <f t="shared" ref="X9:X19" si="4">+J9/P9</f>
        <v>1.8098894611948482E-2</v>
      </c>
      <c r="Y9" s="17">
        <f t="shared" ref="Y9:Y19" si="5">+L9/P9</f>
        <v>3.062802375324432E-3</v>
      </c>
      <c r="Z9" s="17">
        <f t="shared" ref="Z9:Z19" si="6">+N9/P9</f>
        <v>1.4215838363074644E-6</v>
      </c>
    </row>
    <row r="10" spans="1:26" x14ac:dyDescent="0.25">
      <c r="B10" s="2" t="s">
        <v>7</v>
      </c>
      <c r="C10" s="2">
        <v>2019</v>
      </c>
      <c r="D10" s="1">
        <v>846964</v>
      </c>
      <c r="E10" s="11">
        <v>28372875.010000002</v>
      </c>
      <c r="F10" s="1">
        <v>36777</v>
      </c>
      <c r="G10" s="11">
        <v>1265059.6200000001</v>
      </c>
      <c r="H10" s="1">
        <v>2143306</v>
      </c>
      <c r="I10" s="11">
        <v>73896066.329999983</v>
      </c>
      <c r="J10" s="8">
        <v>55502</v>
      </c>
      <c r="K10" s="11">
        <v>1879943.6599999997</v>
      </c>
      <c r="L10" s="8">
        <v>9700</v>
      </c>
      <c r="M10" s="11">
        <v>304156.14999999997</v>
      </c>
      <c r="N10" s="8">
        <v>0</v>
      </c>
      <c r="O10" s="11">
        <v>0</v>
      </c>
      <c r="P10" s="8">
        <f t="shared" si="0"/>
        <v>3092249</v>
      </c>
      <c r="Q10" s="11">
        <f t="shared" si="0"/>
        <v>105718100.77</v>
      </c>
      <c r="U10" s="17">
        <f t="shared" si="1"/>
        <v>0.28579231491383777</v>
      </c>
      <c r="V10" s="17">
        <f t="shared" si="2"/>
        <v>0.71420768508616228</v>
      </c>
      <c r="W10" s="17">
        <f t="shared" si="3"/>
        <v>0.69312206099832196</v>
      </c>
      <c r="X10" s="17">
        <f t="shared" si="4"/>
        <v>1.7948748629233933E-2</v>
      </c>
      <c r="Y10" s="17">
        <f t="shared" si="5"/>
        <v>3.1368754586063412E-3</v>
      </c>
      <c r="Z10" s="17">
        <f t="shared" si="6"/>
        <v>0</v>
      </c>
    </row>
    <row r="11" spans="1:26" x14ac:dyDescent="0.25">
      <c r="B11" s="2" t="s">
        <v>8</v>
      </c>
      <c r="C11" s="2">
        <v>2019</v>
      </c>
      <c r="D11" s="1">
        <v>752534</v>
      </c>
      <c r="E11" s="11">
        <v>25353827.199999999</v>
      </c>
      <c r="F11" s="1">
        <v>36050</v>
      </c>
      <c r="G11" s="11">
        <v>1247346.4000000004</v>
      </c>
      <c r="H11" s="1">
        <v>1942968</v>
      </c>
      <c r="I11" s="11">
        <v>67388332.559999987</v>
      </c>
      <c r="J11" s="8">
        <v>49798</v>
      </c>
      <c r="K11" s="11">
        <v>1704604.5200000003</v>
      </c>
      <c r="L11" s="8">
        <v>8319</v>
      </c>
      <c r="M11" s="11">
        <v>263701.18000000005</v>
      </c>
      <c r="N11" s="8">
        <v>0</v>
      </c>
      <c r="O11" s="11">
        <v>0</v>
      </c>
      <c r="P11" s="8">
        <f t="shared" si="0"/>
        <v>2789669</v>
      </c>
      <c r="Q11" s="11">
        <f t="shared" si="0"/>
        <v>95957811.859999999</v>
      </c>
      <c r="U11" s="17">
        <f t="shared" si="1"/>
        <v>0.28268013158550354</v>
      </c>
      <c r="V11" s="17">
        <f t="shared" si="2"/>
        <v>0.71731986841449646</v>
      </c>
      <c r="W11" s="17">
        <f t="shared" si="3"/>
        <v>0.6964869308867826</v>
      </c>
      <c r="X11" s="17">
        <f t="shared" si="4"/>
        <v>1.7850863310306705E-2</v>
      </c>
      <c r="Y11" s="17">
        <f t="shared" si="5"/>
        <v>2.9820742174071547E-3</v>
      </c>
      <c r="Z11" s="17">
        <f t="shared" si="6"/>
        <v>0</v>
      </c>
    </row>
    <row r="12" spans="1:26" x14ac:dyDescent="0.25">
      <c r="B12" s="2" t="s">
        <v>9</v>
      </c>
      <c r="C12" s="2">
        <v>2019</v>
      </c>
      <c r="D12" s="1">
        <v>854866</v>
      </c>
      <c r="E12" s="11">
        <v>28451105.649999999</v>
      </c>
      <c r="F12" s="1">
        <v>41617</v>
      </c>
      <c r="G12" s="11">
        <v>1430400.4400000002</v>
      </c>
      <c r="H12" s="1">
        <v>2186802</v>
      </c>
      <c r="I12" s="11">
        <v>74986798.719999999</v>
      </c>
      <c r="J12" s="8">
        <v>56063</v>
      </c>
      <c r="K12" s="11">
        <v>1891322.2299999995</v>
      </c>
      <c r="L12" s="8">
        <v>9700</v>
      </c>
      <c r="M12" s="11">
        <v>298395.65999999997</v>
      </c>
      <c r="N12" s="8">
        <v>0</v>
      </c>
      <c r="O12" s="11">
        <v>0</v>
      </c>
      <c r="P12" s="8">
        <f t="shared" si="0"/>
        <v>3149048</v>
      </c>
      <c r="Q12" s="11">
        <f t="shared" si="0"/>
        <v>107058022.69999999</v>
      </c>
      <c r="U12" s="17">
        <f t="shared" si="1"/>
        <v>0.28468381555314493</v>
      </c>
      <c r="V12" s="17">
        <f t="shared" si="2"/>
        <v>0.71531618444685507</v>
      </c>
      <c r="W12" s="17">
        <f t="shared" si="3"/>
        <v>0.69443273014574558</v>
      </c>
      <c r="X12" s="17">
        <f t="shared" si="4"/>
        <v>1.7803158287838104E-2</v>
      </c>
      <c r="Y12" s="17">
        <f t="shared" si="5"/>
        <v>3.0802960132713126E-3</v>
      </c>
      <c r="Z12" s="17">
        <f t="shared" si="6"/>
        <v>0</v>
      </c>
    </row>
    <row r="13" spans="1:26" x14ac:dyDescent="0.25">
      <c r="B13" s="2" t="s">
        <v>10</v>
      </c>
      <c r="C13" s="2">
        <v>2019</v>
      </c>
      <c r="D13" s="1">
        <v>837361</v>
      </c>
      <c r="E13" s="11">
        <v>27908495.730000008</v>
      </c>
      <c r="F13" s="1">
        <v>35394</v>
      </c>
      <c r="G13" s="11">
        <v>1221546.57</v>
      </c>
      <c r="H13" s="1">
        <v>2064714</v>
      </c>
      <c r="I13" s="11">
        <v>71075647.629999995</v>
      </c>
      <c r="J13" s="8">
        <v>50036</v>
      </c>
      <c r="K13" s="11">
        <v>1695995.25</v>
      </c>
      <c r="L13" s="8">
        <v>9270</v>
      </c>
      <c r="M13" s="11">
        <v>284610.25999999995</v>
      </c>
      <c r="N13" s="8">
        <v>0</v>
      </c>
      <c r="O13" s="11">
        <v>0</v>
      </c>
      <c r="P13" s="8">
        <f t="shared" si="0"/>
        <v>2996775</v>
      </c>
      <c r="Q13" s="11">
        <f t="shared" si="0"/>
        <v>102186295.44</v>
      </c>
      <c r="U13" s="17">
        <f t="shared" si="1"/>
        <v>0.29123140709596151</v>
      </c>
      <c r="V13" s="17">
        <f t="shared" si="2"/>
        <v>0.70876859290403849</v>
      </c>
      <c r="W13" s="17">
        <f t="shared" si="3"/>
        <v>0.68897865205095477</v>
      </c>
      <c r="X13" s="17">
        <f t="shared" si="4"/>
        <v>1.6696615528359653E-2</v>
      </c>
      <c r="Y13" s="17">
        <f t="shared" si="5"/>
        <v>3.0933253247240784E-3</v>
      </c>
      <c r="Z13" s="17">
        <f t="shared" si="6"/>
        <v>0</v>
      </c>
    </row>
    <row r="14" spans="1:26" x14ac:dyDescent="0.25">
      <c r="B14" s="2" t="s">
        <v>11</v>
      </c>
      <c r="C14" s="2">
        <v>2019</v>
      </c>
      <c r="D14" s="1">
        <v>880178</v>
      </c>
      <c r="E14" s="11">
        <v>29554758.149999991</v>
      </c>
      <c r="F14" s="1">
        <v>31677</v>
      </c>
      <c r="G14" s="11">
        <v>1101197.9000000001</v>
      </c>
      <c r="H14" s="1">
        <v>2062530</v>
      </c>
      <c r="I14" s="11">
        <v>71761452.439999998</v>
      </c>
      <c r="J14" s="8">
        <v>50079</v>
      </c>
      <c r="K14" s="11">
        <v>1713205.6000000006</v>
      </c>
      <c r="L14" s="8">
        <v>8685</v>
      </c>
      <c r="M14" s="11">
        <v>272043.49</v>
      </c>
      <c r="N14" s="8">
        <v>0</v>
      </c>
      <c r="O14" s="11">
        <v>0</v>
      </c>
      <c r="P14" s="8">
        <f t="shared" si="0"/>
        <v>3033149</v>
      </c>
      <c r="Q14" s="11">
        <f t="shared" si="0"/>
        <v>104402657.58</v>
      </c>
      <c r="U14" s="17">
        <f t="shared" si="1"/>
        <v>0.30062980750368679</v>
      </c>
      <c r="V14" s="17">
        <f t="shared" si="2"/>
        <v>0.69937019249631316</v>
      </c>
      <c r="W14" s="17">
        <f t="shared" si="3"/>
        <v>0.67999626790507162</v>
      </c>
      <c r="X14" s="17">
        <f t="shared" si="4"/>
        <v>1.6510563773820541E-2</v>
      </c>
      <c r="Y14" s="17">
        <f t="shared" si="5"/>
        <v>2.8633608174211027E-3</v>
      </c>
      <c r="Z14" s="17">
        <f t="shared" si="6"/>
        <v>0</v>
      </c>
    </row>
    <row r="15" spans="1:26" x14ac:dyDescent="0.25">
      <c r="B15" s="2" t="s">
        <v>4</v>
      </c>
      <c r="C15" s="2">
        <v>2019</v>
      </c>
      <c r="D15" s="1">
        <v>952708</v>
      </c>
      <c r="E15" s="11">
        <v>32119930.25</v>
      </c>
      <c r="F15" s="1">
        <v>32366</v>
      </c>
      <c r="G15" s="11">
        <v>1127102.2099999997</v>
      </c>
      <c r="H15" s="1">
        <v>2156921</v>
      </c>
      <c r="I15" s="11">
        <v>74990863.289999977</v>
      </c>
      <c r="J15" s="8">
        <v>52060</v>
      </c>
      <c r="K15" s="11">
        <v>1771620.7599999995</v>
      </c>
      <c r="L15" s="8">
        <v>9105</v>
      </c>
      <c r="M15" s="11">
        <v>281580.13000000012</v>
      </c>
      <c r="N15" s="8">
        <v>0</v>
      </c>
      <c r="O15" s="11">
        <v>0</v>
      </c>
      <c r="P15" s="8">
        <f t="shared" si="0"/>
        <v>3203160</v>
      </c>
      <c r="Q15" s="11">
        <f t="shared" si="0"/>
        <v>110291096.63999997</v>
      </c>
      <c r="U15" s="17">
        <f t="shared" si="1"/>
        <v>0.30753193721200317</v>
      </c>
      <c r="V15" s="17">
        <f t="shared" si="2"/>
        <v>0.69246806278799689</v>
      </c>
      <c r="W15" s="17">
        <f t="shared" si="3"/>
        <v>0.67337285680390613</v>
      </c>
      <c r="X15" s="17">
        <f t="shared" si="4"/>
        <v>1.625270045829743E-2</v>
      </c>
      <c r="Y15" s="17">
        <f t="shared" si="5"/>
        <v>2.8425055257932791E-3</v>
      </c>
      <c r="Z15" s="17">
        <f t="shared" si="6"/>
        <v>0</v>
      </c>
    </row>
    <row r="16" spans="1:26" x14ac:dyDescent="0.25">
      <c r="B16" s="2" t="s">
        <v>28</v>
      </c>
      <c r="C16" s="2">
        <v>2019</v>
      </c>
      <c r="D16" s="1">
        <v>904306</v>
      </c>
      <c r="E16" s="11">
        <v>30358204.290000003</v>
      </c>
      <c r="F16" s="1">
        <v>32548</v>
      </c>
      <c r="G16" s="11">
        <v>1121386.7899999998</v>
      </c>
      <c r="H16" s="1">
        <v>2037976</v>
      </c>
      <c r="I16" s="11">
        <v>70290370.340000004</v>
      </c>
      <c r="J16" s="8">
        <v>49705</v>
      </c>
      <c r="K16" s="11">
        <v>1683033.6600000004</v>
      </c>
      <c r="L16" s="8">
        <v>9094</v>
      </c>
      <c r="M16" s="11">
        <v>282649.09999999998</v>
      </c>
      <c r="N16" s="8">
        <v>0</v>
      </c>
      <c r="O16" s="11">
        <v>0</v>
      </c>
      <c r="P16" s="8">
        <f t="shared" si="0"/>
        <v>3033629</v>
      </c>
      <c r="Q16" s="11">
        <f t="shared" si="0"/>
        <v>103735644.18000002</v>
      </c>
      <c r="U16" s="17">
        <f t="shared" si="1"/>
        <v>0.30882286528774611</v>
      </c>
      <c r="V16" s="17">
        <f t="shared" si="2"/>
        <v>0.69117713471225395</v>
      </c>
      <c r="W16" s="17">
        <f t="shared" si="3"/>
        <v>0.67179473824913993</v>
      </c>
      <c r="X16" s="17">
        <f t="shared" si="4"/>
        <v>1.6384666681390506E-2</v>
      </c>
      <c r="Y16" s="17">
        <f t="shared" si="5"/>
        <v>2.9977297817234739E-3</v>
      </c>
      <c r="Z16" s="17">
        <f t="shared" si="6"/>
        <v>0</v>
      </c>
    </row>
    <row r="17" spans="1:26" x14ac:dyDescent="0.25">
      <c r="B17" s="2" t="s">
        <v>29</v>
      </c>
      <c r="C17" s="2">
        <v>2019</v>
      </c>
      <c r="D17" s="1">
        <v>1030625</v>
      </c>
      <c r="E17" s="11">
        <v>34607185.490000002</v>
      </c>
      <c r="F17" s="1">
        <v>42187</v>
      </c>
      <c r="G17" s="11">
        <v>1436615.7099999997</v>
      </c>
      <c r="H17" s="1">
        <v>2290549</v>
      </c>
      <c r="I17" s="11">
        <v>79058042.609999999</v>
      </c>
      <c r="J17" s="8">
        <v>55337</v>
      </c>
      <c r="K17" s="11">
        <v>1874024.56</v>
      </c>
      <c r="L17" s="8">
        <v>10450</v>
      </c>
      <c r="M17" s="11">
        <v>322139.37</v>
      </c>
      <c r="N17" s="8">
        <v>3</v>
      </c>
      <c r="O17" s="11">
        <v>90.050000000000011</v>
      </c>
      <c r="P17" s="8">
        <f>L17+J17+H17+F17+D17+N17</f>
        <v>3429151</v>
      </c>
      <c r="Q17" s="11">
        <f t="shared" si="0"/>
        <v>117298097.79000001</v>
      </c>
      <c r="U17" s="17">
        <f t="shared" si="1"/>
        <v>0.3128506152105871</v>
      </c>
      <c r="V17" s="17">
        <f t="shared" si="2"/>
        <v>0.6871493847894129</v>
      </c>
      <c r="W17" s="17">
        <f t="shared" si="3"/>
        <v>0.66796387793946665</v>
      </c>
      <c r="X17" s="17">
        <f t="shared" si="4"/>
        <v>1.613723046899947E-2</v>
      </c>
      <c r="Y17" s="17">
        <f t="shared" si="5"/>
        <v>3.0474015288332302E-3</v>
      </c>
      <c r="Z17" s="17">
        <f t="shared" si="6"/>
        <v>8.7485211354064018E-7</v>
      </c>
    </row>
    <row r="18" spans="1:26" x14ac:dyDescent="0.25">
      <c r="B18" s="2" t="s">
        <v>30</v>
      </c>
      <c r="C18" s="2">
        <v>2019</v>
      </c>
      <c r="D18" s="1">
        <v>962923</v>
      </c>
      <c r="E18" s="11">
        <v>32578189.889999997</v>
      </c>
      <c r="F18" s="1">
        <v>48513</v>
      </c>
      <c r="G18" s="11">
        <v>1654090.28</v>
      </c>
      <c r="H18" s="1">
        <v>2135898</v>
      </c>
      <c r="I18" s="11">
        <v>73961407.529999986</v>
      </c>
      <c r="J18" s="8">
        <v>51513</v>
      </c>
      <c r="K18" s="11">
        <v>1755687.6000000003</v>
      </c>
      <c r="L18" s="8">
        <v>10026</v>
      </c>
      <c r="M18" s="11">
        <v>308245.21000000002</v>
      </c>
      <c r="N18" s="8">
        <v>1</v>
      </c>
      <c r="O18" s="11">
        <v>40.130000000000003</v>
      </c>
      <c r="P18" s="8">
        <f>L18+J18+H18+F18+D18+N18</f>
        <v>3208874</v>
      </c>
      <c r="Q18" s="11">
        <f t="shared" si="0"/>
        <v>110257660.63999999</v>
      </c>
      <c r="U18" s="17">
        <f t="shared" si="1"/>
        <v>0.31519966193748961</v>
      </c>
      <c r="V18" s="17">
        <f t="shared" si="2"/>
        <v>0.68480033806251039</v>
      </c>
      <c r="W18" s="17">
        <f t="shared" si="3"/>
        <v>0.66562227123907014</v>
      </c>
      <c r="X18" s="17">
        <f t="shared" si="4"/>
        <v>1.6053294707115331E-2</v>
      </c>
      <c r="Y18" s="17">
        <f t="shared" si="5"/>
        <v>3.1244604805299304E-3</v>
      </c>
      <c r="Z18" s="17">
        <f t="shared" si="6"/>
        <v>3.1163579498602935E-7</v>
      </c>
    </row>
    <row r="19" spans="1:26" x14ac:dyDescent="0.25">
      <c r="B19" s="2" t="s">
        <v>31</v>
      </c>
      <c r="C19" s="2">
        <v>2019</v>
      </c>
      <c r="D19" s="1">
        <v>856524</v>
      </c>
      <c r="E19" s="11">
        <v>29334974.900000006</v>
      </c>
      <c r="F19" s="1">
        <v>46424</v>
      </c>
      <c r="G19" s="11">
        <v>1595296.69</v>
      </c>
      <c r="H19" s="1">
        <v>1909436</v>
      </c>
      <c r="I19" s="11">
        <v>66918427.07</v>
      </c>
      <c r="J19" s="8">
        <v>45182</v>
      </c>
      <c r="K19" s="11">
        <v>1561299.5499999993</v>
      </c>
      <c r="L19" s="8">
        <v>8799</v>
      </c>
      <c r="M19" s="11">
        <v>271072.95</v>
      </c>
      <c r="N19" s="8">
        <v>0</v>
      </c>
      <c r="O19" s="11">
        <v>0</v>
      </c>
      <c r="P19" s="8">
        <f>L19+J19+H19+F19+D19+N19</f>
        <v>2866365</v>
      </c>
      <c r="Q19" s="11">
        <f t="shared" si="0"/>
        <v>99681071.159999996</v>
      </c>
      <c r="U19" s="17">
        <f t="shared" si="1"/>
        <v>0.31501501030050255</v>
      </c>
      <c r="V19" s="17">
        <f t="shared" si="2"/>
        <v>0.6849849896994975</v>
      </c>
      <c r="W19" s="17">
        <f t="shared" si="3"/>
        <v>0.66615242650534734</v>
      </c>
      <c r="X19" s="17">
        <f t="shared" si="4"/>
        <v>1.5762821552733165E-2</v>
      </c>
      <c r="Y19" s="17">
        <f t="shared" si="5"/>
        <v>3.0697416414169165E-3</v>
      </c>
      <c r="Z19" s="17">
        <f t="shared" si="6"/>
        <v>0</v>
      </c>
    </row>
    <row r="20" spans="1:26" x14ac:dyDescent="0.25">
      <c r="U20" s="18"/>
      <c r="V20" s="19"/>
      <c r="W20" s="18"/>
      <c r="X20" s="18"/>
      <c r="Y20" s="18"/>
      <c r="Z20" s="18"/>
    </row>
    <row r="21" spans="1:26" x14ac:dyDescent="0.25">
      <c r="B21" s="3" t="s">
        <v>12</v>
      </c>
      <c r="C21" s="3"/>
      <c r="D21" s="4">
        <f t="shared" ref="D21:Q21" si="7">SUM(D8:D20)</f>
        <v>10449600</v>
      </c>
      <c r="E21" s="12">
        <f t="shared" si="7"/>
        <v>348349951.08999991</v>
      </c>
      <c r="F21" s="4">
        <f t="shared" si="7"/>
        <v>454139</v>
      </c>
      <c r="G21" s="12">
        <f t="shared" si="7"/>
        <v>15498981.289999997</v>
      </c>
      <c r="H21" s="4">
        <f t="shared" si="7"/>
        <v>24844172</v>
      </c>
      <c r="I21" s="12">
        <f t="shared" si="7"/>
        <v>852471179.66000009</v>
      </c>
      <c r="J21" s="4">
        <f t="shared" si="7"/>
        <v>618060</v>
      </c>
      <c r="K21" s="12">
        <f t="shared" si="7"/>
        <v>20824150.570000004</v>
      </c>
      <c r="L21" s="4">
        <f t="shared" si="7"/>
        <v>110173</v>
      </c>
      <c r="M21" s="12">
        <f t="shared" si="7"/>
        <v>3391778.5500000003</v>
      </c>
      <c r="N21" s="4">
        <f t="shared" si="7"/>
        <v>8</v>
      </c>
      <c r="O21" s="12">
        <f t="shared" si="7"/>
        <v>172.12</v>
      </c>
      <c r="P21" s="4">
        <f t="shared" si="7"/>
        <v>36476152</v>
      </c>
      <c r="Q21" s="12">
        <f t="shared" si="7"/>
        <v>1240536213.28</v>
      </c>
      <c r="U21" s="16">
        <f>+(D21+F21)/P21</f>
        <v>0.29892788581427121</v>
      </c>
      <c r="V21" s="16">
        <f>1-U21</f>
        <v>0.70107211418572879</v>
      </c>
      <c r="W21" s="16">
        <f>+H21/P21</f>
        <v>0.6811072615335082</v>
      </c>
      <c r="X21" s="16">
        <f>+J21/P21</f>
        <v>1.6944221528630541E-2</v>
      </c>
      <c r="Y21" s="16">
        <f>+L21/P21</f>
        <v>3.0204118022098382E-3</v>
      </c>
      <c r="Z21" s="16">
        <f>+N21/P21</f>
        <v>2.1932138017189971E-7</v>
      </c>
    </row>
    <row r="22" spans="1:26" x14ac:dyDescent="0.25">
      <c r="K22" s="9">
        <f>+K21/12</f>
        <v>1735345.8808333336</v>
      </c>
    </row>
    <row r="23" spans="1:26" x14ac:dyDescent="0.25">
      <c r="B23" s="5" t="s">
        <v>14</v>
      </c>
    </row>
    <row r="24" spans="1:26" x14ac:dyDescent="0.25">
      <c r="B24" s="5" t="s">
        <v>20</v>
      </c>
    </row>
    <row r="25" spans="1:26" x14ac:dyDescent="0.25">
      <c r="B25" s="5"/>
    </row>
    <row r="26" spans="1:26" x14ac:dyDescent="0.25">
      <c r="D26" s="89" t="s">
        <v>15</v>
      </c>
      <c r="E26" s="90"/>
      <c r="F26" s="89" t="s">
        <v>16</v>
      </c>
      <c r="G26" s="90"/>
      <c r="H26" s="89" t="s">
        <v>17</v>
      </c>
      <c r="I26" s="93"/>
      <c r="J26" s="89" t="s">
        <v>18</v>
      </c>
      <c r="K26" s="93"/>
      <c r="L26" s="89" t="s">
        <v>13</v>
      </c>
      <c r="M26" s="93"/>
      <c r="N26" s="89" t="s">
        <v>34</v>
      </c>
      <c r="O26" s="93"/>
      <c r="P26" s="89" t="s">
        <v>12</v>
      </c>
      <c r="Q26" s="93"/>
      <c r="U26" s="94" t="s">
        <v>42</v>
      </c>
      <c r="V26" s="94"/>
      <c r="W26" s="94"/>
      <c r="X26" s="94"/>
      <c r="Y26" s="94"/>
      <c r="Z26" s="94"/>
    </row>
    <row r="27" spans="1:26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U27" s="7" t="s">
        <v>38</v>
      </c>
      <c r="V27" s="10" t="s">
        <v>39</v>
      </c>
      <c r="W27" s="10" t="s">
        <v>40</v>
      </c>
      <c r="X27" s="10" t="s">
        <v>18</v>
      </c>
      <c r="Y27" s="10" t="s">
        <v>13</v>
      </c>
      <c r="Z27" s="10" t="s">
        <v>41</v>
      </c>
    </row>
    <row r="28" spans="1:26" x14ac:dyDescent="0.25">
      <c r="V28" s="9"/>
    </row>
    <row r="29" spans="1:26" x14ac:dyDescent="0.25">
      <c r="B29" s="2" t="s">
        <v>5</v>
      </c>
      <c r="C29" s="2">
        <v>2019</v>
      </c>
      <c r="D29" s="1">
        <v>998950</v>
      </c>
      <c r="E29" s="11">
        <v>35196159.379999988</v>
      </c>
      <c r="F29" s="1">
        <v>25054</v>
      </c>
      <c r="G29" s="11">
        <v>846883.64000000013</v>
      </c>
      <c r="H29" s="1">
        <v>1601664</v>
      </c>
      <c r="I29" s="11">
        <v>52503055.95000001</v>
      </c>
      <c r="J29" s="8">
        <v>39894</v>
      </c>
      <c r="K29" s="11">
        <v>1346720.5300000003</v>
      </c>
      <c r="L29" s="8">
        <v>5769</v>
      </c>
      <c r="M29" s="11">
        <v>204907.62</v>
      </c>
      <c r="N29" s="8">
        <v>3</v>
      </c>
      <c r="O29" s="11">
        <v>133.24</v>
      </c>
      <c r="P29" s="8">
        <f t="shared" ref="P29:Q40" si="8">L29+J29+H29+F29+D29+N29</f>
        <v>2671334</v>
      </c>
      <c r="Q29" s="11">
        <f t="shared" si="8"/>
        <v>90097860.359999999</v>
      </c>
      <c r="U29" s="17">
        <f>+(D29+F29)/P29</f>
        <v>0.38333057565995116</v>
      </c>
      <c r="V29" s="17">
        <f>1-U29</f>
        <v>0.61666942434004879</v>
      </c>
      <c r="W29" s="17">
        <f>+H29/P29</f>
        <v>0.59957459456586115</v>
      </c>
      <c r="X29" s="17">
        <f>+J29/P29</f>
        <v>1.4934111571222469E-2</v>
      </c>
      <c r="Y29" s="17">
        <f>+L29/P29</f>
        <v>2.1595951685562343E-3</v>
      </c>
      <c r="Z29" s="17">
        <f>+N29/P29</f>
        <v>1.1230344090256029E-6</v>
      </c>
    </row>
    <row r="30" spans="1:26" x14ac:dyDescent="0.25">
      <c r="B30" s="2" t="s">
        <v>6</v>
      </c>
      <c r="C30" s="2">
        <v>2019</v>
      </c>
      <c r="D30" s="1">
        <v>990551</v>
      </c>
      <c r="E30" s="11">
        <v>35588324.630000003</v>
      </c>
      <c r="F30" s="1">
        <v>21675</v>
      </c>
      <c r="G30" s="11">
        <v>757583.94</v>
      </c>
      <c r="H30" s="1">
        <v>1558484</v>
      </c>
      <c r="I30" s="11">
        <v>52278302.529999994</v>
      </c>
      <c r="J30" s="8">
        <v>39296</v>
      </c>
      <c r="K30" s="11">
        <v>1359025.7800000003</v>
      </c>
      <c r="L30" s="8">
        <v>5753</v>
      </c>
      <c r="M30" s="11">
        <v>204696.25999999995</v>
      </c>
      <c r="N30" s="8">
        <v>1</v>
      </c>
      <c r="O30" s="11">
        <v>19.399999999999999</v>
      </c>
      <c r="P30" s="8">
        <f t="shared" si="8"/>
        <v>2615760</v>
      </c>
      <c r="Q30" s="11">
        <f t="shared" si="8"/>
        <v>90187952.539999992</v>
      </c>
      <c r="U30" s="17">
        <f t="shared" ref="U30:U40" si="9">+(D30+F30)/P30</f>
        <v>0.38697204636510996</v>
      </c>
      <c r="V30" s="17">
        <f t="shared" ref="V30:V40" si="10">1-U30</f>
        <v>0.61302795363489004</v>
      </c>
      <c r="W30" s="17">
        <f t="shared" ref="W30:W40" si="11">+H30/P30</f>
        <v>0.59580542557421168</v>
      </c>
      <c r="X30" s="17">
        <f t="shared" ref="X30:X40" si="12">+J30/P30</f>
        <v>1.5022784964981497E-2</v>
      </c>
      <c r="Y30" s="17">
        <f t="shared" ref="Y30:Y40" si="13">+L30/P30</f>
        <v>2.1993607976266935E-3</v>
      </c>
      <c r="Z30" s="17">
        <f t="shared" ref="Z30:Z40" si="14">+N30/P30</f>
        <v>3.8229807015934184E-7</v>
      </c>
    </row>
    <row r="31" spans="1:26" x14ac:dyDescent="0.25">
      <c r="B31" s="2" t="s">
        <v>7</v>
      </c>
      <c r="C31" s="2">
        <v>2019</v>
      </c>
      <c r="D31" s="1">
        <v>1049960</v>
      </c>
      <c r="E31" s="11">
        <v>38433512.270000003</v>
      </c>
      <c r="F31" s="1">
        <v>25841</v>
      </c>
      <c r="G31" s="11">
        <v>941913.13</v>
      </c>
      <c r="H31" s="1">
        <v>1731982</v>
      </c>
      <c r="I31" s="11">
        <v>59765989.789999999</v>
      </c>
      <c r="J31" s="8">
        <v>43230</v>
      </c>
      <c r="K31" s="11">
        <v>1535160.29</v>
      </c>
      <c r="L31" s="8">
        <v>6515</v>
      </c>
      <c r="M31" s="11">
        <v>234082.12</v>
      </c>
      <c r="N31" s="8">
        <v>0</v>
      </c>
      <c r="O31" s="11">
        <v>0</v>
      </c>
      <c r="P31" s="8">
        <f t="shared" si="8"/>
        <v>2857528</v>
      </c>
      <c r="Q31" s="11">
        <f t="shared" si="8"/>
        <v>100910657.60000001</v>
      </c>
      <c r="U31" s="17">
        <f t="shared" si="9"/>
        <v>0.37647960054984586</v>
      </c>
      <c r="V31" s="17">
        <f t="shared" si="10"/>
        <v>0.62352039945015414</v>
      </c>
      <c r="W31" s="17">
        <f t="shared" si="11"/>
        <v>0.60611199610292532</v>
      </c>
      <c r="X31" s="17">
        <f t="shared" si="12"/>
        <v>1.5128460683499864E-2</v>
      </c>
      <c r="Y31" s="17">
        <f t="shared" si="13"/>
        <v>2.2799426637289295E-3</v>
      </c>
      <c r="Z31" s="17">
        <f t="shared" si="14"/>
        <v>0</v>
      </c>
    </row>
    <row r="32" spans="1:26" x14ac:dyDescent="0.25">
      <c r="B32" s="2" t="s">
        <v>8</v>
      </c>
      <c r="C32" s="2">
        <v>2019</v>
      </c>
      <c r="D32" s="1">
        <v>920647</v>
      </c>
      <c r="E32" s="11">
        <v>33872313.380000003</v>
      </c>
      <c r="F32" s="1">
        <v>24714</v>
      </c>
      <c r="G32" s="11">
        <v>909813.0299999998</v>
      </c>
      <c r="H32" s="1">
        <v>1550184</v>
      </c>
      <c r="I32" s="11">
        <v>53737076.190000005</v>
      </c>
      <c r="J32" s="8">
        <v>37924</v>
      </c>
      <c r="K32" s="11">
        <v>1350540.86</v>
      </c>
      <c r="L32" s="8">
        <v>5714</v>
      </c>
      <c r="M32" s="11">
        <v>209323.46000000002</v>
      </c>
      <c r="N32" s="8">
        <v>0</v>
      </c>
      <c r="O32" s="11">
        <v>0</v>
      </c>
      <c r="P32" s="8">
        <f t="shared" si="8"/>
        <v>2539183</v>
      </c>
      <c r="Q32" s="11">
        <f t="shared" si="8"/>
        <v>90079066.920000017</v>
      </c>
      <c r="U32" s="17">
        <f t="shared" si="9"/>
        <v>0.37230912462788229</v>
      </c>
      <c r="V32" s="17">
        <f t="shared" si="10"/>
        <v>0.62769087537211776</v>
      </c>
      <c r="W32" s="17">
        <f t="shared" si="11"/>
        <v>0.61050503252424104</v>
      </c>
      <c r="X32" s="17">
        <f t="shared" si="12"/>
        <v>1.4935512722005464E-2</v>
      </c>
      <c r="Y32" s="17">
        <f t="shared" si="13"/>
        <v>2.2503301258711954E-3</v>
      </c>
      <c r="Z32" s="17">
        <f t="shared" si="14"/>
        <v>0</v>
      </c>
    </row>
    <row r="33" spans="1:26" x14ac:dyDescent="0.25">
      <c r="B33" s="2" t="s">
        <v>9</v>
      </c>
      <c r="C33" s="2">
        <v>2019</v>
      </c>
      <c r="D33" s="1">
        <v>1055760</v>
      </c>
      <c r="E33" s="11">
        <v>38833191.090000004</v>
      </c>
      <c r="F33" s="1">
        <v>29515</v>
      </c>
      <c r="G33" s="11">
        <v>1059682.46</v>
      </c>
      <c r="H33" s="1">
        <v>1789484</v>
      </c>
      <c r="I33" s="11">
        <v>62001748.319999993</v>
      </c>
      <c r="J33" s="8">
        <v>43497</v>
      </c>
      <c r="K33" s="11">
        <v>1556320.0900000003</v>
      </c>
      <c r="L33" s="8">
        <v>6618</v>
      </c>
      <c r="M33" s="11">
        <v>240870.21</v>
      </c>
      <c r="N33" s="8">
        <v>0</v>
      </c>
      <c r="O33" s="11">
        <v>0</v>
      </c>
      <c r="P33" s="8">
        <f t="shared" si="8"/>
        <v>2924874</v>
      </c>
      <c r="Q33" s="11">
        <f t="shared" si="8"/>
        <v>103691812.16999999</v>
      </c>
      <c r="U33" s="17">
        <f t="shared" si="9"/>
        <v>0.37105017173389349</v>
      </c>
      <c r="V33" s="17">
        <f t="shared" si="10"/>
        <v>0.62894982826610657</v>
      </c>
      <c r="W33" s="17">
        <f t="shared" si="11"/>
        <v>0.6118157568496968</v>
      </c>
      <c r="X33" s="17">
        <f t="shared" si="12"/>
        <v>1.4871409845347185E-2</v>
      </c>
      <c r="Y33" s="17">
        <f t="shared" si="13"/>
        <v>2.2626615710625484E-3</v>
      </c>
      <c r="Z33" s="17">
        <f t="shared" si="14"/>
        <v>0</v>
      </c>
    </row>
    <row r="34" spans="1:26" x14ac:dyDescent="0.25">
      <c r="B34" s="2" t="s">
        <v>10</v>
      </c>
      <c r="C34" s="2">
        <v>2019</v>
      </c>
      <c r="D34" s="1">
        <v>1030506</v>
      </c>
      <c r="E34" s="11">
        <v>37788802.589999989</v>
      </c>
      <c r="F34" s="1">
        <v>24097</v>
      </c>
      <c r="G34" s="11">
        <v>863693.44000000006</v>
      </c>
      <c r="H34" s="1">
        <v>1708612</v>
      </c>
      <c r="I34" s="11">
        <v>59292739.070000008</v>
      </c>
      <c r="J34" s="8">
        <v>40057</v>
      </c>
      <c r="K34" s="11">
        <v>1444146.2000000002</v>
      </c>
      <c r="L34" s="8">
        <v>6328</v>
      </c>
      <c r="M34" s="11">
        <v>223153.02999999997</v>
      </c>
      <c r="N34" s="8">
        <v>0</v>
      </c>
      <c r="O34" s="11">
        <v>0</v>
      </c>
      <c r="P34" s="8">
        <f t="shared" si="8"/>
        <v>2809600</v>
      </c>
      <c r="Q34" s="11">
        <f t="shared" si="8"/>
        <v>99612534.329999983</v>
      </c>
      <c r="U34" s="17">
        <f t="shared" si="9"/>
        <v>0.37535699031890662</v>
      </c>
      <c r="V34" s="17">
        <f t="shared" si="10"/>
        <v>0.62464300968109332</v>
      </c>
      <c r="W34" s="17">
        <f t="shared" si="11"/>
        <v>0.60813354214123005</v>
      </c>
      <c r="X34" s="17">
        <f t="shared" si="12"/>
        <v>1.4257189635535308E-2</v>
      </c>
      <c r="Y34" s="17">
        <f t="shared" si="13"/>
        <v>2.2522779043280183E-3</v>
      </c>
      <c r="Z34" s="17">
        <f t="shared" si="14"/>
        <v>0</v>
      </c>
    </row>
    <row r="35" spans="1:26" x14ac:dyDescent="0.25">
      <c r="B35" s="2" t="s">
        <v>11</v>
      </c>
      <c r="C35" s="2">
        <v>2019</v>
      </c>
      <c r="D35" s="1">
        <v>1081854</v>
      </c>
      <c r="E35" s="11">
        <v>40067044.299999997</v>
      </c>
      <c r="F35" s="1">
        <v>20834</v>
      </c>
      <c r="G35" s="11">
        <v>756254.57999999984</v>
      </c>
      <c r="H35" s="1">
        <v>1751052</v>
      </c>
      <c r="I35" s="11">
        <v>61335741.919999994</v>
      </c>
      <c r="J35" s="8">
        <v>40919</v>
      </c>
      <c r="K35" s="11">
        <v>1486661.0999999999</v>
      </c>
      <c r="L35" s="8">
        <v>5925</v>
      </c>
      <c r="M35" s="11">
        <v>218658.12</v>
      </c>
      <c r="N35" s="8">
        <v>0</v>
      </c>
      <c r="O35" s="11">
        <v>0</v>
      </c>
      <c r="P35" s="8">
        <f t="shared" si="8"/>
        <v>2900584</v>
      </c>
      <c r="Q35" s="11">
        <f t="shared" si="8"/>
        <v>103864360.01999998</v>
      </c>
      <c r="U35" s="17">
        <f t="shared" si="9"/>
        <v>0.38016068488276844</v>
      </c>
      <c r="V35" s="17">
        <f t="shared" si="10"/>
        <v>0.61983931511723156</v>
      </c>
      <c r="W35" s="17">
        <f t="shared" si="11"/>
        <v>0.60368946391485301</v>
      </c>
      <c r="X35" s="17">
        <f t="shared" si="12"/>
        <v>1.4107159110027499E-2</v>
      </c>
      <c r="Y35" s="17">
        <f t="shared" si="13"/>
        <v>2.0426920923510574E-3</v>
      </c>
      <c r="Z35" s="17">
        <f t="shared" si="14"/>
        <v>0</v>
      </c>
    </row>
    <row r="36" spans="1:26" x14ac:dyDescent="0.25">
      <c r="B36" s="2" t="s">
        <v>4</v>
      </c>
      <c r="C36" s="2">
        <v>2019</v>
      </c>
      <c r="D36" s="1">
        <v>1130268</v>
      </c>
      <c r="E36" s="11">
        <v>41857299.759999998</v>
      </c>
      <c r="F36" s="1">
        <v>21576</v>
      </c>
      <c r="G36" s="11">
        <v>768390.42</v>
      </c>
      <c r="H36" s="1">
        <v>1804909</v>
      </c>
      <c r="I36" s="11">
        <v>63128932.850000001</v>
      </c>
      <c r="J36" s="8">
        <v>41500</v>
      </c>
      <c r="K36" s="11">
        <v>1501358.44</v>
      </c>
      <c r="L36" s="8">
        <v>5989</v>
      </c>
      <c r="M36" s="11">
        <v>223015.08000000002</v>
      </c>
      <c r="N36" s="8">
        <v>0</v>
      </c>
      <c r="O36" s="11">
        <v>0</v>
      </c>
      <c r="P36" s="8">
        <f t="shared" si="8"/>
        <v>3004242</v>
      </c>
      <c r="Q36" s="11">
        <f t="shared" si="8"/>
        <v>107478996.55000001</v>
      </c>
      <c r="U36" s="17">
        <f t="shared" si="9"/>
        <v>0.38340586410815108</v>
      </c>
      <c r="V36" s="17">
        <f t="shared" si="10"/>
        <v>0.61659413589184897</v>
      </c>
      <c r="W36" s="17">
        <f t="shared" si="11"/>
        <v>0.60078682076876633</v>
      </c>
      <c r="X36" s="17">
        <f t="shared" si="12"/>
        <v>1.3813800619257703E-2</v>
      </c>
      <c r="Y36" s="17">
        <f t="shared" si="13"/>
        <v>1.993514503824925E-3</v>
      </c>
      <c r="Z36" s="17">
        <f t="shared" si="14"/>
        <v>0</v>
      </c>
    </row>
    <row r="37" spans="1:26" x14ac:dyDescent="0.25">
      <c r="B37" s="2" t="s">
        <v>28</v>
      </c>
      <c r="C37" s="2">
        <v>2019</v>
      </c>
      <c r="D37" s="1">
        <v>1057262</v>
      </c>
      <c r="E37" s="11">
        <v>38990503.060000002</v>
      </c>
      <c r="F37" s="1">
        <v>22649</v>
      </c>
      <c r="G37" s="11">
        <v>803854.95999999985</v>
      </c>
      <c r="H37" s="1">
        <v>1689725</v>
      </c>
      <c r="I37" s="11">
        <v>58780447.280000001</v>
      </c>
      <c r="J37" s="8">
        <v>39134</v>
      </c>
      <c r="K37" s="11">
        <v>1432171.0599999996</v>
      </c>
      <c r="L37" s="8">
        <v>5996</v>
      </c>
      <c r="M37" s="11">
        <v>220456.07000000004</v>
      </c>
      <c r="N37" s="8">
        <v>0</v>
      </c>
      <c r="O37" s="11">
        <v>0</v>
      </c>
      <c r="P37" s="8">
        <f t="shared" si="8"/>
        <v>2814766</v>
      </c>
      <c r="Q37" s="11">
        <f t="shared" si="8"/>
        <v>100227432.43000001</v>
      </c>
      <c r="U37" s="17">
        <f t="shared" si="9"/>
        <v>0.38365924556428493</v>
      </c>
      <c r="V37" s="17">
        <f t="shared" si="10"/>
        <v>0.61634075443571512</v>
      </c>
      <c r="W37" s="17">
        <f t="shared" si="11"/>
        <v>0.60030745006867359</v>
      </c>
      <c r="X37" s="17">
        <f t="shared" si="12"/>
        <v>1.3903109530241591E-2</v>
      </c>
      <c r="Y37" s="17">
        <f t="shared" si="13"/>
        <v>2.1301948367999329E-3</v>
      </c>
      <c r="Z37" s="17">
        <f t="shared" si="14"/>
        <v>0</v>
      </c>
    </row>
    <row r="38" spans="1:26" x14ac:dyDescent="0.25">
      <c r="B38" s="2" t="s">
        <v>29</v>
      </c>
      <c r="C38" s="2">
        <v>2019</v>
      </c>
      <c r="D38" s="1">
        <v>1193320</v>
      </c>
      <c r="E38" s="11">
        <v>44036418.689999998</v>
      </c>
      <c r="F38" s="1">
        <v>29937</v>
      </c>
      <c r="G38" s="11">
        <v>1044195.6799999999</v>
      </c>
      <c r="H38" s="1">
        <v>1898589</v>
      </c>
      <c r="I38" s="11">
        <v>65885360.370000012</v>
      </c>
      <c r="J38" s="8">
        <v>43432</v>
      </c>
      <c r="K38" s="11">
        <v>1582882.2300000002</v>
      </c>
      <c r="L38" s="8">
        <v>6641</v>
      </c>
      <c r="M38" s="11">
        <v>239784.02000000005</v>
      </c>
      <c r="N38" s="8">
        <v>0</v>
      </c>
      <c r="O38" s="11">
        <v>0</v>
      </c>
      <c r="P38" s="8">
        <f t="shared" si="8"/>
        <v>3171919</v>
      </c>
      <c r="Q38" s="11">
        <f t="shared" si="8"/>
        <v>112788640.99000002</v>
      </c>
      <c r="U38" s="17">
        <f t="shared" si="9"/>
        <v>0.38565202957578676</v>
      </c>
      <c r="V38" s="17">
        <f t="shared" si="10"/>
        <v>0.61434797042421319</v>
      </c>
      <c r="W38" s="17">
        <f t="shared" si="11"/>
        <v>0.59856162783475875</v>
      </c>
      <c r="X38" s="17">
        <f t="shared" si="12"/>
        <v>1.3692657347176899E-2</v>
      </c>
      <c r="Y38" s="17">
        <f t="shared" si="13"/>
        <v>2.0936852422776243E-3</v>
      </c>
      <c r="Z38" s="17">
        <f t="shared" si="14"/>
        <v>0</v>
      </c>
    </row>
    <row r="39" spans="1:26" x14ac:dyDescent="0.25">
      <c r="B39" s="2" t="s">
        <v>30</v>
      </c>
      <c r="C39" s="2">
        <v>2019</v>
      </c>
      <c r="D39" s="1">
        <v>1112140</v>
      </c>
      <c r="E39" s="11">
        <v>41040615.340000004</v>
      </c>
      <c r="F39" s="1">
        <v>36675</v>
      </c>
      <c r="G39" s="11">
        <v>1278061.9599999997</v>
      </c>
      <c r="H39" s="1">
        <v>1793798</v>
      </c>
      <c r="I39" s="11">
        <v>62578929.590000018</v>
      </c>
      <c r="J39" s="8">
        <v>40908</v>
      </c>
      <c r="K39" s="11">
        <v>1492889.0000000005</v>
      </c>
      <c r="L39" s="8">
        <v>6496</v>
      </c>
      <c r="M39" s="11">
        <v>229921.33000000007</v>
      </c>
      <c r="N39" s="8">
        <v>0</v>
      </c>
      <c r="O39" s="11">
        <v>0</v>
      </c>
      <c r="P39" s="8">
        <f t="shared" si="8"/>
        <v>2990017</v>
      </c>
      <c r="Q39" s="11">
        <f t="shared" si="8"/>
        <v>106620417.22000003</v>
      </c>
      <c r="U39" s="17">
        <f t="shared" si="9"/>
        <v>0.38421687903446705</v>
      </c>
      <c r="V39" s="17">
        <f t="shared" si="10"/>
        <v>0.61578312096553289</v>
      </c>
      <c r="W39" s="17">
        <f t="shared" si="11"/>
        <v>0.59992903050383994</v>
      </c>
      <c r="X39" s="17">
        <f t="shared" si="12"/>
        <v>1.3681527563221212E-2</v>
      </c>
      <c r="Y39" s="17">
        <f t="shared" si="13"/>
        <v>2.1725628984718146E-3</v>
      </c>
      <c r="Z39" s="17">
        <f t="shared" si="14"/>
        <v>0</v>
      </c>
    </row>
    <row r="40" spans="1:26" x14ac:dyDescent="0.25">
      <c r="B40" s="2" t="s">
        <v>31</v>
      </c>
      <c r="C40" s="2">
        <v>2019</v>
      </c>
      <c r="D40" s="1">
        <v>1022193</v>
      </c>
      <c r="E40" s="11">
        <v>37911631.470000006</v>
      </c>
      <c r="F40" s="1">
        <v>38271</v>
      </c>
      <c r="G40" s="11">
        <v>1346953.39</v>
      </c>
      <c r="H40" s="1">
        <v>1672002</v>
      </c>
      <c r="I40" s="11">
        <v>58717951.359999992</v>
      </c>
      <c r="J40" s="8">
        <v>37381</v>
      </c>
      <c r="K40" s="11">
        <v>1367126.1500000004</v>
      </c>
      <c r="L40" s="8">
        <v>6181</v>
      </c>
      <c r="M40" s="11">
        <v>220097.34999999998</v>
      </c>
      <c r="N40" s="8">
        <v>0</v>
      </c>
      <c r="O40" s="11">
        <v>0</v>
      </c>
      <c r="P40" s="8">
        <f t="shared" si="8"/>
        <v>2776028</v>
      </c>
      <c r="Q40" s="11">
        <f t="shared" si="8"/>
        <v>99563759.719999999</v>
      </c>
      <c r="U40" s="17">
        <f t="shared" si="9"/>
        <v>0.38200767427417881</v>
      </c>
      <c r="V40" s="17">
        <f t="shared" si="10"/>
        <v>0.61799232572582119</v>
      </c>
      <c r="W40" s="17">
        <f t="shared" si="11"/>
        <v>0.60230012089215235</v>
      </c>
      <c r="X40" s="17">
        <f t="shared" si="12"/>
        <v>1.346564227738337E-2</v>
      </c>
      <c r="Y40" s="17">
        <f t="shared" si="13"/>
        <v>2.2265625562854553E-3</v>
      </c>
      <c r="Z40" s="17">
        <f t="shared" si="14"/>
        <v>0</v>
      </c>
    </row>
    <row r="41" spans="1:26" x14ac:dyDescent="0.25">
      <c r="U41" s="18"/>
      <c r="V41" s="19"/>
      <c r="W41" s="18"/>
      <c r="X41" s="18"/>
      <c r="Y41" s="18"/>
      <c r="Z41" s="18"/>
    </row>
    <row r="42" spans="1:26" x14ac:dyDescent="0.25">
      <c r="B42" s="3" t="s">
        <v>12</v>
      </c>
      <c r="C42" s="3"/>
      <c r="D42" s="4">
        <f t="shared" ref="D42:Q42" si="15">SUM(D29:D41)</f>
        <v>12643411</v>
      </c>
      <c r="E42" s="12">
        <f t="shared" si="15"/>
        <v>463615815.96000004</v>
      </c>
      <c r="F42" s="4">
        <f t="shared" si="15"/>
        <v>320838</v>
      </c>
      <c r="G42" s="12">
        <f t="shared" si="15"/>
        <v>11377280.629999999</v>
      </c>
      <c r="H42" s="4">
        <f t="shared" si="15"/>
        <v>20550485</v>
      </c>
      <c r="I42" s="12">
        <f t="shared" si="15"/>
        <v>710006275.22000003</v>
      </c>
      <c r="J42" s="4">
        <f t="shared" si="15"/>
        <v>487172</v>
      </c>
      <c r="K42" s="12">
        <f t="shared" si="15"/>
        <v>17455001.729999997</v>
      </c>
      <c r="L42" s="4">
        <f t="shared" si="15"/>
        <v>73925</v>
      </c>
      <c r="M42" s="12">
        <f t="shared" si="15"/>
        <v>2668964.6700000004</v>
      </c>
      <c r="N42" s="4">
        <f t="shared" si="15"/>
        <v>4</v>
      </c>
      <c r="O42" s="12">
        <f t="shared" si="15"/>
        <v>152.64000000000001</v>
      </c>
      <c r="P42" s="4">
        <f t="shared" si="15"/>
        <v>34075835</v>
      </c>
      <c r="Q42" s="12">
        <f t="shared" si="15"/>
        <v>1205123490.8500001</v>
      </c>
      <c r="U42" s="16">
        <f>+(D42+F42)/P42</f>
        <v>0.38045286344413864</v>
      </c>
      <c r="V42" s="16">
        <f>1-U42</f>
        <v>0.61954713655586136</v>
      </c>
      <c r="W42" s="16">
        <f>+H42/P42</f>
        <v>0.60308089295537437</v>
      </c>
      <c r="X42" s="16">
        <f>+J42/P42</f>
        <v>1.4296700286287923E-2</v>
      </c>
      <c r="Y42" s="16">
        <f>+L42/P42</f>
        <v>2.1694259289610951E-3</v>
      </c>
      <c r="Z42" s="16">
        <f>+N42/P42</f>
        <v>1.1738523795528414E-7</v>
      </c>
    </row>
    <row r="43" spans="1:26" x14ac:dyDescent="0.25">
      <c r="K43" s="9">
        <f>+K42/12</f>
        <v>1454583.4774999998</v>
      </c>
    </row>
    <row r="44" spans="1:26" x14ac:dyDescent="0.25">
      <c r="B44" s="5" t="s">
        <v>14</v>
      </c>
    </row>
    <row r="45" spans="1:26" x14ac:dyDescent="0.25">
      <c r="B45" s="5" t="s">
        <v>21</v>
      </c>
    </row>
    <row r="46" spans="1:26" x14ac:dyDescent="0.25">
      <c r="B46" s="5"/>
    </row>
    <row r="47" spans="1:26" x14ac:dyDescent="0.25">
      <c r="D47" s="89" t="s">
        <v>15</v>
      </c>
      <c r="E47" s="90"/>
      <c r="F47" s="89" t="s">
        <v>16</v>
      </c>
      <c r="G47" s="90"/>
      <c r="H47" s="89" t="s">
        <v>17</v>
      </c>
      <c r="I47" s="93"/>
      <c r="J47" s="89" t="s">
        <v>18</v>
      </c>
      <c r="K47" s="93"/>
      <c r="L47" s="89" t="s">
        <v>13</v>
      </c>
      <c r="M47" s="93"/>
      <c r="N47" s="89" t="s">
        <v>34</v>
      </c>
      <c r="O47" s="93"/>
      <c r="P47" s="89" t="s">
        <v>12</v>
      </c>
      <c r="Q47" s="93"/>
      <c r="U47" s="94" t="s">
        <v>42</v>
      </c>
      <c r="V47" s="94"/>
      <c r="W47" s="94"/>
      <c r="X47" s="94"/>
      <c r="Y47" s="94"/>
      <c r="Z47" s="94"/>
    </row>
    <row r="48" spans="1:26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U48" s="7" t="s">
        <v>38</v>
      </c>
      <c r="V48" s="10" t="s">
        <v>39</v>
      </c>
      <c r="W48" s="10" t="s">
        <v>40</v>
      </c>
      <c r="X48" s="10" t="s">
        <v>18</v>
      </c>
      <c r="Y48" s="10" t="s">
        <v>13</v>
      </c>
      <c r="Z48" s="10" t="s">
        <v>41</v>
      </c>
    </row>
    <row r="49" spans="2:26" x14ac:dyDescent="0.25">
      <c r="V49" s="9"/>
    </row>
    <row r="50" spans="2:26" x14ac:dyDescent="0.25">
      <c r="B50" s="2" t="s">
        <v>5</v>
      </c>
      <c r="C50" s="2">
        <v>2019</v>
      </c>
      <c r="D50" s="1">
        <v>459929</v>
      </c>
      <c r="E50" s="11">
        <v>16910367</v>
      </c>
      <c r="F50" s="1">
        <v>28362</v>
      </c>
      <c r="G50" s="11">
        <v>1062234</v>
      </c>
      <c r="H50" s="1">
        <v>1776182</v>
      </c>
      <c r="I50" s="11">
        <v>63727568</v>
      </c>
      <c r="J50" s="8">
        <v>48244</v>
      </c>
      <c r="K50" s="11">
        <v>1725240</v>
      </c>
      <c r="L50" s="8">
        <v>19094</v>
      </c>
      <c r="M50" s="11">
        <v>676448</v>
      </c>
      <c r="N50" s="8">
        <v>31</v>
      </c>
      <c r="O50" s="11">
        <v>1143</v>
      </c>
      <c r="P50" s="8">
        <f t="shared" ref="P50:Q61" si="16">L50+J50+H50+F50+D50+N50</f>
        <v>2331842</v>
      </c>
      <c r="Q50" s="11">
        <f t="shared" si="16"/>
        <v>84103000</v>
      </c>
      <c r="U50" s="17">
        <f>+(D50+F50)/P50</f>
        <v>0.20940140884330929</v>
      </c>
      <c r="V50" s="17">
        <f>1-U50</f>
        <v>0.79059859115669073</v>
      </c>
      <c r="W50" s="17">
        <f>+H50/P50</f>
        <v>0.76170769717673836</v>
      </c>
      <c r="X50" s="17">
        <f>+J50/P50</f>
        <v>2.0689223369336346E-2</v>
      </c>
      <c r="Y50" s="17">
        <f>+L50/P50</f>
        <v>8.1883763994301494E-3</v>
      </c>
      <c r="Z50" s="17">
        <f>+N50/P50</f>
        <v>1.329421118583506E-5</v>
      </c>
    </row>
    <row r="51" spans="2:26" x14ac:dyDescent="0.25">
      <c r="B51" s="2" t="s">
        <v>6</v>
      </c>
      <c r="C51" s="2">
        <v>2019</v>
      </c>
      <c r="D51" s="1">
        <v>487101</v>
      </c>
      <c r="E51" s="11">
        <v>18632852</v>
      </c>
      <c r="F51" s="1">
        <v>27420</v>
      </c>
      <c r="G51" s="11">
        <v>1059788</v>
      </c>
      <c r="H51" s="1">
        <v>1895632</v>
      </c>
      <c r="I51" s="11">
        <v>70716620</v>
      </c>
      <c r="J51" s="8">
        <v>51474</v>
      </c>
      <c r="K51" s="11">
        <v>1911140</v>
      </c>
      <c r="L51" s="8">
        <v>20979</v>
      </c>
      <c r="M51" s="11">
        <v>772571</v>
      </c>
      <c r="N51" s="8">
        <v>43</v>
      </c>
      <c r="O51" s="11">
        <v>1662</v>
      </c>
      <c r="P51" s="8">
        <f t="shared" si="16"/>
        <v>2482649</v>
      </c>
      <c r="Q51" s="11">
        <f t="shared" si="16"/>
        <v>93094633</v>
      </c>
      <c r="U51" s="17">
        <f t="shared" ref="U51:U61" si="17">+(D51+F51)/P51</f>
        <v>0.20724677552082474</v>
      </c>
      <c r="V51" s="17">
        <f t="shared" ref="V51:V61" si="18">1-U51</f>
        <v>0.79275322447917529</v>
      </c>
      <c r="W51" s="17">
        <f t="shared" ref="W51:W61" si="19">+H51/P51</f>
        <v>0.76355215739317162</v>
      </c>
      <c r="X51" s="17">
        <f t="shared" ref="X51:X61" si="20">+J51/P51</f>
        <v>2.0733498774897299E-2</v>
      </c>
      <c r="Y51" s="17">
        <f t="shared" ref="Y51:Y61" si="21">+L51/P51</f>
        <v>8.4502481019266117E-3</v>
      </c>
      <c r="Z51" s="17">
        <f t="shared" ref="Z51:Z61" si="22">+N51/P51</f>
        <v>1.7320209179791425E-5</v>
      </c>
    </row>
    <row r="52" spans="2:26" x14ac:dyDescent="0.25">
      <c r="B52" s="2" t="s">
        <v>7</v>
      </c>
      <c r="C52" s="2">
        <v>2019</v>
      </c>
      <c r="D52" s="1">
        <v>512212</v>
      </c>
      <c r="E52" s="11">
        <v>19742350</v>
      </c>
      <c r="F52" s="1">
        <v>32289</v>
      </c>
      <c r="G52" s="11">
        <v>1235279</v>
      </c>
      <c r="H52" s="1">
        <v>1994866</v>
      </c>
      <c r="I52" s="11">
        <v>74997262</v>
      </c>
      <c r="J52" s="8">
        <v>53546</v>
      </c>
      <c r="K52" s="11">
        <v>1998472</v>
      </c>
      <c r="L52" s="8">
        <v>22977</v>
      </c>
      <c r="M52" s="11">
        <v>852566</v>
      </c>
      <c r="N52" s="8">
        <v>34</v>
      </c>
      <c r="O52" s="11">
        <v>1433</v>
      </c>
      <c r="P52" s="8">
        <f t="shared" si="16"/>
        <v>2615924</v>
      </c>
      <c r="Q52" s="11">
        <f t="shared" si="16"/>
        <v>98827362</v>
      </c>
      <c r="U52" s="17">
        <f t="shared" si="17"/>
        <v>0.20814863122934765</v>
      </c>
      <c r="V52" s="17">
        <f t="shared" si="18"/>
        <v>0.79185136877065232</v>
      </c>
      <c r="W52" s="17">
        <f t="shared" si="19"/>
        <v>0.76258561028531413</v>
      </c>
      <c r="X52" s="17">
        <f t="shared" si="20"/>
        <v>2.0469249106625422E-2</v>
      </c>
      <c r="Y52" s="17">
        <f t="shared" si="21"/>
        <v>8.7835120592188454E-3</v>
      </c>
      <c r="Z52" s="17">
        <f t="shared" si="22"/>
        <v>1.2997319493991416E-5</v>
      </c>
    </row>
    <row r="53" spans="2:26" x14ac:dyDescent="0.25">
      <c r="B53" s="2" t="s">
        <v>8</v>
      </c>
      <c r="C53" s="2">
        <v>2019</v>
      </c>
      <c r="D53" s="1">
        <v>445339</v>
      </c>
      <c r="E53" s="11">
        <v>17224869</v>
      </c>
      <c r="F53" s="1">
        <v>31406</v>
      </c>
      <c r="G53" s="11">
        <v>1202292</v>
      </c>
      <c r="H53" s="1">
        <v>1745321</v>
      </c>
      <c r="I53" s="11">
        <v>65772566</v>
      </c>
      <c r="J53" s="8">
        <v>46643</v>
      </c>
      <c r="K53" s="11">
        <v>1738322</v>
      </c>
      <c r="L53" s="8">
        <v>19820</v>
      </c>
      <c r="M53" s="11">
        <v>735257</v>
      </c>
      <c r="N53" s="8">
        <v>29</v>
      </c>
      <c r="O53" s="11">
        <v>1177</v>
      </c>
      <c r="P53" s="8">
        <f t="shared" si="16"/>
        <v>2288558</v>
      </c>
      <c r="Q53" s="11">
        <f t="shared" si="16"/>
        <v>86674483</v>
      </c>
      <c r="U53" s="17">
        <f t="shared" si="17"/>
        <v>0.20831676540424146</v>
      </c>
      <c r="V53" s="17">
        <f t="shared" si="18"/>
        <v>0.79168323459575851</v>
      </c>
      <c r="W53" s="17">
        <f t="shared" si="19"/>
        <v>0.76262913153173306</v>
      </c>
      <c r="X53" s="17">
        <f t="shared" si="20"/>
        <v>2.0380956043062923E-2</v>
      </c>
      <c r="Y53" s="17">
        <f t="shared" si="21"/>
        <v>8.6604752861845751E-3</v>
      </c>
      <c r="Z53" s="17">
        <f t="shared" si="22"/>
        <v>1.2671734777969359E-5</v>
      </c>
    </row>
    <row r="54" spans="2:26" x14ac:dyDescent="0.25">
      <c r="B54" s="2" t="s">
        <v>9</v>
      </c>
      <c r="C54" s="2">
        <v>2019</v>
      </c>
      <c r="D54" s="1">
        <v>505695</v>
      </c>
      <c r="E54" s="11">
        <v>19591595</v>
      </c>
      <c r="F54" s="1">
        <v>38248</v>
      </c>
      <c r="G54" s="11">
        <v>1447922</v>
      </c>
      <c r="H54" s="1">
        <v>1943441</v>
      </c>
      <c r="I54" s="11">
        <v>73314525</v>
      </c>
      <c r="J54" s="8">
        <v>52095</v>
      </c>
      <c r="K54" s="11">
        <v>1953974</v>
      </c>
      <c r="L54" s="8">
        <v>21906</v>
      </c>
      <c r="M54" s="11">
        <v>816213</v>
      </c>
      <c r="N54" s="8">
        <v>35</v>
      </c>
      <c r="O54" s="11">
        <v>1394</v>
      </c>
      <c r="P54" s="8">
        <f t="shared" si="16"/>
        <v>2561420</v>
      </c>
      <c r="Q54" s="11">
        <f t="shared" si="16"/>
        <v>97125623</v>
      </c>
      <c r="U54" s="17">
        <f t="shared" si="17"/>
        <v>0.21235994097024308</v>
      </c>
      <c r="V54" s="17">
        <f t="shared" si="18"/>
        <v>0.78764005902975698</v>
      </c>
      <c r="W54" s="17">
        <f t="shared" si="19"/>
        <v>0.75873577937237935</v>
      </c>
      <c r="X54" s="17">
        <f t="shared" si="20"/>
        <v>2.0338327958710403E-2</v>
      </c>
      <c r="Y54" s="17">
        <f t="shared" si="21"/>
        <v>8.5522874030811036E-3</v>
      </c>
      <c r="Z54" s="17">
        <f t="shared" si="22"/>
        <v>1.3664295586042117E-5</v>
      </c>
    </row>
    <row r="55" spans="2:26" x14ac:dyDescent="0.25">
      <c r="B55" s="2" t="s">
        <v>10</v>
      </c>
      <c r="C55" s="2">
        <v>2019</v>
      </c>
      <c r="D55" s="1">
        <v>497114</v>
      </c>
      <c r="E55" s="11">
        <v>19234553</v>
      </c>
      <c r="F55" s="1">
        <v>30412</v>
      </c>
      <c r="G55" s="11">
        <v>1180674</v>
      </c>
      <c r="H55" s="1">
        <v>1818994</v>
      </c>
      <c r="I55" s="11">
        <v>68563237</v>
      </c>
      <c r="J55" s="8">
        <v>45249</v>
      </c>
      <c r="K55" s="11">
        <v>1700181</v>
      </c>
      <c r="L55" s="8">
        <v>19871</v>
      </c>
      <c r="M55" s="11">
        <v>741892</v>
      </c>
      <c r="N55" s="8">
        <v>18</v>
      </c>
      <c r="O55" s="11">
        <v>724</v>
      </c>
      <c r="P55" s="8">
        <f t="shared" si="16"/>
        <v>2411658</v>
      </c>
      <c r="Q55" s="11">
        <f t="shared" si="16"/>
        <v>91421261</v>
      </c>
      <c r="U55" s="17">
        <f t="shared" si="17"/>
        <v>0.21873997059284525</v>
      </c>
      <c r="V55" s="17">
        <f t="shared" si="18"/>
        <v>0.78126002940715478</v>
      </c>
      <c r="W55" s="17">
        <f t="shared" si="19"/>
        <v>0.75425039537115135</v>
      </c>
      <c r="X55" s="17">
        <f t="shared" si="20"/>
        <v>1.8762610618918603E-2</v>
      </c>
      <c r="Y55" s="17">
        <f t="shared" si="21"/>
        <v>8.239559672225498E-3</v>
      </c>
      <c r="Z55" s="17">
        <f t="shared" si="22"/>
        <v>7.4637448593457279E-6</v>
      </c>
    </row>
    <row r="56" spans="2:26" x14ac:dyDescent="0.25">
      <c r="B56" s="2" t="s">
        <v>11</v>
      </c>
      <c r="C56" s="2">
        <v>2019</v>
      </c>
      <c r="D56" s="1">
        <v>471794</v>
      </c>
      <c r="E56" s="11">
        <v>18331279</v>
      </c>
      <c r="F56" s="1">
        <v>24651</v>
      </c>
      <c r="G56" s="11">
        <v>976336</v>
      </c>
      <c r="H56" s="1">
        <v>1669860</v>
      </c>
      <c r="I56" s="11">
        <v>63028790</v>
      </c>
      <c r="J56" s="8">
        <v>40039</v>
      </c>
      <c r="K56" s="11">
        <v>1499210</v>
      </c>
      <c r="L56" s="8">
        <v>20002</v>
      </c>
      <c r="M56" s="11">
        <v>747852</v>
      </c>
      <c r="N56" s="8">
        <v>29</v>
      </c>
      <c r="O56" s="11">
        <v>1190</v>
      </c>
      <c r="P56" s="8">
        <f t="shared" si="16"/>
        <v>2226375</v>
      </c>
      <c r="Q56" s="11">
        <f t="shared" si="16"/>
        <v>84584657</v>
      </c>
      <c r="U56" s="17">
        <f t="shared" si="17"/>
        <v>0.22298354949188703</v>
      </c>
      <c r="V56" s="17">
        <f t="shared" si="18"/>
        <v>0.77701645050811297</v>
      </c>
      <c r="W56" s="17">
        <f t="shared" si="19"/>
        <v>0.75003537139969678</v>
      </c>
      <c r="X56" s="17">
        <f t="shared" si="20"/>
        <v>1.7983942507439222E-2</v>
      </c>
      <c r="Y56" s="17">
        <f t="shared" si="21"/>
        <v>8.9841109426758749E-3</v>
      </c>
      <c r="Z56" s="17">
        <f t="shared" si="22"/>
        <v>1.3025658301049912E-5</v>
      </c>
    </row>
    <row r="57" spans="2:26" x14ac:dyDescent="0.25">
      <c r="B57" s="2" t="s">
        <v>4</v>
      </c>
      <c r="C57" s="2">
        <v>2019</v>
      </c>
      <c r="D57" s="1">
        <v>549447</v>
      </c>
      <c r="E57" s="11">
        <v>21330491</v>
      </c>
      <c r="F57" s="1">
        <v>25809</v>
      </c>
      <c r="G57" s="11">
        <v>1018108</v>
      </c>
      <c r="H57" s="1">
        <v>1870305</v>
      </c>
      <c r="I57" s="11">
        <v>70561960</v>
      </c>
      <c r="J57" s="8">
        <v>47407</v>
      </c>
      <c r="K57" s="11">
        <v>1778474</v>
      </c>
      <c r="L57" s="8">
        <v>21519</v>
      </c>
      <c r="M57" s="11">
        <v>806522</v>
      </c>
      <c r="N57" s="8">
        <v>33</v>
      </c>
      <c r="O57" s="11">
        <v>1359</v>
      </c>
      <c r="P57" s="8">
        <f t="shared" si="16"/>
        <v>2514520</v>
      </c>
      <c r="Q57" s="11">
        <f t="shared" si="16"/>
        <v>95496914</v>
      </c>
      <c r="U57" s="17">
        <f t="shared" si="17"/>
        <v>0.22877368245231694</v>
      </c>
      <c r="V57" s="17">
        <f t="shared" si="18"/>
        <v>0.771226317547683</v>
      </c>
      <c r="W57" s="17">
        <f t="shared" si="19"/>
        <v>0.74380199799564128</v>
      </c>
      <c r="X57" s="17">
        <f t="shared" si="20"/>
        <v>1.8853300033405979E-2</v>
      </c>
      <c r="Y57" s="17">
        <f t="shared" si="21"/>
        <v>8.5578957415331745E-3</v>
      </c>
      <c r="Z57" s="17">
        <f t="shared" si="22"/>
        <v>1.3123777102588168E-5</v>
      </c>
    </row>
    <row r="58" spans="2:26" x14ac:dyDescent="0.25">
      <c r="B58" s="2" t="s">
        <v>28</v>
      </c>
      <c r="C58" s="2">
        <v>2019</v>
      </c>
      <c r="D58" s="1">
        <v>561116</v>
      </c>
      <c r="E58" s="11">
        <v>21722882</v>
      </c>
      <c r="F58" s="1">
        <v>27075</v>
      </c>
      <c r="G58" s="11">
        <v>1063579</v>
      </c>
      <c r="H58" s="1">
        <v>1867274</v>
      </c>
      <c r="I58" s="11">
        <v>70302192</v>
      </c>
      <c r="J58" s="8">
        <v>48817</v>
      </c>
      <c r="K58" s="11">
        <v>1825803</v>
      </c>
      <c r="L58" s="8">
        <v>21490</v>
      </c>
      <c r="M58" s="11">
        <v>801243</v>
      </c>
      <c r="N58" s="8">
        <v>1</v>
      </c>
      <c r="O58" s="11">
        <v>53</v>
      </c>
      <c r="P58" s="8">
        <f t="shared" si="16"/>
        <v>2525773</v>
      </c>
      <c r="Q58" s="11">
        <f t="shared" si="16"/>
        <v>95715752</v>
      </c>
      <c r="U58" s="17">
        <f t="shared" si="17"/>
        <v>0.23287563846790665</v>
      </c>
      <c r="V58" s="17">
        <f t="shared" si="18"/>
        <v>0.76712436153209329</v>
      </c>
      <c r="W58" s="17">
        <f t="shared" si="19"/>
        <v>0.73928813080193667</v>
      </c>
      <c r="X58" s="17">
        <f t="shared" si="20"/>
        <v>1.9327548437646613E-2</v>
      </c>
      <c r="Y58" s="17">
        <f t="shared" si="21"/>
        <v>8.5082863741120038E-3</v>
      </c>
      <c r="Z58" s="17">
        <f t="shared" si="22"/>
        <v>3.9591839805081454E-7</v>
      </c>
    </row>
    <row r="59" spans="2:26" x14ac:dyDescent="0.25">
      <c r="B59" s="2" t="s">
        <v>29</v>
      </c>
      <c r="C59" s="2">
        <v>2019</v>
      </c>
      <c r="D59" s="1">
        <v>624510</v>
      </c>
      <c r="E59" s="11">
        <v>24161991</v>
      </c>
      <c r="F59" s="1">
        <v>34889</v>
      </c>
      <c r="G59" s="11">
        <v>1371363</v>
      </c>
      <c r="H59" s="1">
        <v>2013047</v>
      </c>
      <c r="I59" s="11">
        <v>75881716</v>
      </c>
      <c r="J59" s="8">
        <v>52959</v>
      </c>
      <c r="K59" s="11">
        <v>1988987</v>
      </c>
      <c r="L59" s="8">
        <v>23861</v>
      </c>
      <c r="M59" s="11">
        <v>887941</v>
      </c>
      <c r="N59" s="8">
        <v>36</v>
      </c>
      <c r="O59" s="11">
        <v>1408</v>
      </c>
      <c r="P59" s="8">
        <f t="shared" si="16"/>
        <v>2749302</v>
      </c>
      <c r="Q59" s="11">
        <f t="shared" si="16"/>
        <v>104293406</v>
      </c>
      <c r="U59" s="17">
        <f t="shared" si="17"/>
        <v>0.23984233088980403</v>
      </c>
      <c r="V59" s="17">
        <f t="shared" si="18"/>
        <v>0.760157669110196</v>
      </c>
      <c r="W59" s="17">
        <f t="shared" si="19"/>
        <v>0.7322029373273653</v>
      </c>
      <c r="X59" s="17">
        <f t="shared" si="20"/>
        <v>1.9262707407189172E-2</v>
      </c>
      <c r="Y59" s="17">
        <f t="shared" si="21"/>
        <v>8.678930142996295E-3</v>
      </c>
      <c r="Z59" s="17">
        <f t="shared" si="22"/>
        <v>1.3094232645231408E-5</v>
      </c>
    </row>
    <row r="60" spans="2:26" x14ac:dyDescent="0.25">
      <c r="B60" s="2" t="s">
        <v>30</v>
      </c>
      <c r="C60" s="2">
        <v>2019</v>
      </c>
      <c r="D60" s="1">
        <v>599114</v>
      </c>
      <c r="E60" s="11">
        <v>23178952</v>
      </c>
      <c r="F60" s="1">
        <v>41334</v>
      </c>
      <c r="G60" s="11">
        <v>1625441</v>
      </c>
      <c r="H60" s="1">
        <v>1893947</v>
      </c>
      <c r="I60" s="11">
        <v>71420308</v>
      </c>
      <c r="J60" s="8">
        <v>49268</v>
      </c>
      <c r="K60" s="11">
        <v>1852913</v>
      </c>
      <c r="L60" s="8">
        <v>23339</v>
      </c>
      <c r="M60" s="11">
        <v>870073</v>
      </c>
      <c r="N60" s="8">
        <v>34</v>
      </c>
      <c r="O60" s="11">
        <v>1368</v>
      </c>
      <c r="P60" s="8">
        <f t="shared" si="16"/>
        <v>2607036</v>
      </c>
      <c r="Q60" s="11">
        <f t="shared" si="16"/>
        <v>98949055</v>
      </c>
      <c r="U60" s="17">
        <f t="shared" si="17"/>
        <v>0.2456613564216221</v>
      </c>
      <c r="V60" s="17">
        <f t="shared" si="18"/>
        <v>0.75433864357837788</v>
      </c>
      <c r="W60" s="17">
        <f t="shared" si="19"/>
        <v>0.72647520018902689</v>
      </c>
      <c r="X60" s="17">
        <f t="shared" si="20"/>
        <v>1.8898089631290093E-2</v>
      </c>
      <c r="Y60" s="17">
        <f t="shared" si="21"/>
        <v>8.9523121276422722E-3</v>
      </c>
      <c r="Z60" s="17">
        <f t="shared" si="22"/>
        <v>1.304163041860565E-5</v>
      </c>
    </row>
    <row r="61" spans="2:26" x14ac:dyDescent="0.25">
      <c r="B61" s="2" t="s">
        <v>31</v>
      </c>
      <c r="C61" s="2">
        <v>2019</v>
      </c>
      <c r="D61" s="1">
        <v>594477</v>
      </c>
      <c r="E61" s="11">
        <v>22719020</v>
      </c>
      <c r="F61" s="1">
        <v>42133</v>
      </c>
      <c r="G61" s="11">
        <v>1651628</v>
      </c>
      <c r="H61" s="1">
        <v>1719756</v>
      </c>
      <c r="I61" s="11">
        <v>64596229</v>
      </c>
      <c r="J61" s="8">
        <v>44161</v>
      </c>
      <c r="K61" s="11">
        <v>1649572</v>
      </c>
      <c r="L61" s="8">
        <v>21951</v>
      </c>
      <c r="M61" s="11">
        <v>815891</v>
      </c>
      <c r="N61" s="8">
        <v>27</v>
      </c>
      <c r="O61" s="11">
        <v>1092</v>
      </c>
      <c r="P61" s="8">
        <f t="shared" si="16"/>
        <v>2422505</v>
      </c>
      <c r="Q61" s="11">
        <f t="shared" si="16"/>
        <v>91433432</v>
      </c>
      <c r="U61" s="17">
        <f t="shared" si="17"/>
        <v>0.26278996328180954</v>
      </c>
      <c r="V61" s="17">
        <f t="shared" si="18"/>
        <v>0.73721003671819041</v>
      </c>
      <c r="W61" s="17">
        <f t="shared" si="19"/>
        <v>0.70990813228455674</v>
      </c>
      <c r="X61" s="17">
        <f t="shared" si="20"/>
        <v>1.8229477338540065E-2</v>
      </c>
      <c r="Y61" s="17">
        <f t="shared" si="21"/>
        <v>9.0612816072619048E-3</v>
      </c>
      <c r="Z61" s="17">
        <f t="shared" si="22"/>
        <v>1.114548783181046E-5</v>
      </c>
    </row>
    <row r="62" spans="2:26" x14ac:dyDescent="0.25">
      <c r="U62" s="18"/>
      <c r="V62" s="19"/>
      <c r="W62" s="18"/>
      <c r="X62" s="18"/>
      <c r="Y62" s="18"/>
      <c r="Z62" s="18"/>
    </row>
    <row r="63" spans="2:26" x14ac:dyDescent="0.25">
      <c r="B63" s="3" t="s">
        <v>12</v>
      </c>
      <c r="C63" s="3"/>
      <c r="D63" s="4">
        <f t="shared" ref="D63:Q63" si="23">SUM(D50:D62)</f>
        <v>6307848</v>
      </c>
      <c r="E63" s="12">
        <f t="shared" si="23"/>
        <v>242781201</v>
      </c>
      <c r="F63" s="4">
        <f t="shared" si="23"/>
        <v>384028</v>
      </c>
      <c r="G63" s="12">
        <f t="shared" si="23"/>
        <v>14894644</v>
      </c>
      <c r="H63" s="4">
        <f t="shared" si="23"/>
        <v>22208625</v>
      </c>
      <c r="I63" s="12">
        <f t="shared" si="23"/>
        <v>832882973</v>
      </c>
      <c r="J63" s="4">
        <f t="shared" si="23"/>
        <v>579902</v>
      </c>
      <c r="K63" s="12">
        <f t="shared" si="23"/>
        <v>21622288</v>
      </c>
      <c r="L63" s="4">
        <f t="shared" si="23"/>
        <v>256809</v>
      </c>
      <c r="M63" s="12">
        <f t="shared" si="23"/>
        <v>9524469</v>
      </c>
      <c r="N63" s="4">
        <f t="shared" si="23"/>
        <v>350</v>
      </c>
      <c r="O63" s="12">
        <f t="shared" si="23"/>
        <v>14003</v>
      </c>
      <c r="P63" s="4">
        <f t="shared" si="23"/>
        <v>29737562</v>
      </c>
      <c r="Q63" s="12">
        <f t="shared" si="23"/>
        <v>1121719578</v>
      </c>
      <c r="U63" s="16">
        <f>+(D63+F63)/P63</f>
        <v>0.22503109030928628</v>
      </c>
      <c r="V63" s="16">
        <f>1-U63</f>
        <v>0.77496890969071375</v>
      </c>
      <c r="W63" s="16">
        <f>+H63/P63</f>
        <v>0.74682063714570823</v>
      </c>
      <c r="X63" s="16">
        <f>+J63/P63</f>
        <v>1.9500657115065451E-2</v>
      </c>
      <c r="Y63" s="16">
        <f>+L63/P63</f>
        <v>8.6358458033647823E-3</v>
      </c>
      <c r="Z63" s="16">
        <f>+N63/P63</f>
        <v>1.1769626575305668E-5</v>
      </c>
    </row>
    <row r="64" spans="2:26" x14ac:dyDescent="0.25">
      <c r="K64" s="9">
        <f>+K63/12</f>
        <v>1801857.3333333333</v>
      </c>
    </row>
    <row r="65" spans="1:31" x14ac:dyDescent="0.25">
      <c r="B65" s="5" t="s">
        <v>14</v>
      </c>
    </row>
    <row r="66" spans="1:31" x14ac:dyDescent="0.25">
      <c r="B66" s="5" t="s">
        <v>22</v>
      </c>
    </row>
    <row r="67" spans="1:31" x14ac:dyDescent="0.25">
      <c r="B67" s="5"/>
    </row>
    <row r="68" spans="1:31" x14ac:dyDescent="0.25">
      <c r="D68" s="89" t="s">
        <v>15</v>
      </c>
      <c r="E68" s="90"/>
      <c r="F68" s="89" t="s">
        <v>16</v>
      </c>
      <c r="G68" s="90"/>
      <c r="H68" s="89" t="s">
        <v>17</v>
      </c>
      <c r="I68" s="93"/>
      <c r="J68" s="89" t="s">
        <v>18</v>
      </c>
      <c r="K68" s="93"/>
      <c r="L68" s="89" t="s">
        <v>13</v>
      </c>
      <c r="M68" s="93"/>
      <c r="N68" s="89" t="s">
        <v>34</v>
      </c>
      <c r="O68" s="93"/>
      <c r="P68" s="89" t="s">
        <v>12</v>
      </c>
      <c r="Q68" s="93"/>
      <c r="U68" s="94" t="s">
        <v>42</v>
      </c>
      <c r="V68" s="94"/>
      <c r="W68" s="94"/>
      <c r="X68" s="94"/>
      <c r="Y68" s="94"/>
      <c r="Z68" s="94"/>
    </row>
    <row r="69" spans="1:3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U69" s="7" t="s">
        <v>38</v>
      </c>
      <c r="V69" s="10" t="s">
        <v>39</v>
      </c>
      <c r="W69" s="10" t="s">
        <v>40</v>
      </c>
      <c r="X69" s="10" t="s">
        <v>18</v>
      </c>
      <c r="Y69" s="10" t="s">
        <v>13</v>
      </c>
      <c r="Z69" s="10" t="s">
        <v>41</v>
      </c>
    </row>
    <row r="70" spans="1:31" x14ac:dyDescent="0.25">
      <c r="V70" s="9"/>
    </row>
    <row r="71" spans="1:31" x14ac:dyDescent="0.25">
      <c r="B71" s="2" t="s">
        <v>5</v>
      </c>
      <c r="C71" s="2">
        <v>2019</v>
      </c>
      <c r="D71" s="1">
        <v>573482</v>
      </c>
      <c r="E71" s="11">
        <v>25187881</v>
      </c>
      <c r="F71" s="1">
        <v>30836</v>
      </c>
      <c r="G71" s="11">
        <v>2008918</v>
      </c>
      <c r="H71" s="1">
        <v>1947478</v>
      </c>
      <c r="I71" s="11">
        <v>150631374</v>
      </c>
      <c r="J71" s="8">
        <v>272890</v>
      </c>
      <c r="K71" s="11">
        <v>27458472</v>
      </c>
      <c r="L71" s="8">
        <v>51802</v>
      </c>
      <c r="M71" s="11">
        <v>4668642</v>
      </c>
      <c r="N71" s="8">
        <v>112</v>
      </c>
      <c r="O71" s="11">
        <v>10461</v>
      </c>
      <c r="P71" s="8">
        <f t="shared" ref="P71:Q82" si="24">L71+J71+H71+F71+D71+N71</f>
        <v>2876600</v>
      </c>
      <c r="Q71" s="11">
        <f t="shared" si="24"/>
        <v>209965748</v>
      </c>
      <c r="U71" s="17">
        <f>+(D71+F71)/P71</f>
        <v>0.2100806507682681</v>
      </c>
      <c r="V71" s="17">
        <f>1-U71</f>
        <v>0.7899193492317319</v>
      </c>
      <c r="W71" s="17">
        <f>+H71/P71</f>
        <v>0.67700688312591251</v>
      </c>
      <c r="X71" s="17">
        <f>+J71/P71</f>
        <v>9.48654661753459E-2</v>
      </c>
      <c r="Y71" s="17">
        <f>+L71/P71</f>
        <v>1.8008065076826809E-2</v>
      </c>
      <c r="Z71" s="17">
        <f>+N71/P71</f>
        <v>3.8934853646666203E-5</v>
      </c>
      <c r="AB71" s="30">
        <v>1133340.4100000001</v>
      </c>
      <c r="AC71" s="30">
        <f>+AB71/H71</f>
        <v>0.58195286930070589</v>
      </c>
      <c r="AD71" s="31">
        <v>984713.72499999998</v>
      </c>
      <c r="AE71" s="32">
        <f>+AD71/I71</f>
        <v>6.5372418696784907E-3</v>
      </c>
    </row>
    <row r="72" spans="1:31" x14ac:dyDescent="0.25">
      <c r="B72" s="2" t="s">
        <v>6</v>
      </c>
      <c r="C72" s="2">
        <v>2019</v>
      </c>
      <c r="D72" s="1">
        <v>565077</v>
      </c>
      <c r="E72" s="11">
        <v>24821369</v>
      </c>
      <c r="F72" s="1">
        <v>33369</v>
      </c>
      <c r="G72" s="11">
        <v>2107397</v>
      </c>
      <c r="H72" s="1">
        <v>1886290</v>
      </c>
      <c r="I72" s="11">
        <v>144381157</v>
      </c>
      <c r="J72" s="8">
        <v>243043</v>
      </c>
      <c r="K72" s="11">
        <v>24784555</v>
      </c>
      <c r="L72" s="8">
        <v>47343</v>
      </c>
      <c r="M72" s="11">
        <v>4124446</v>
      </c>
      <c r="N72" s="8">
        <v>80</v>
      </c>
      <c r="O72" s="11">
        <v>6951</v>
      </c>
      <c r="P72" s="8">
        <f t="shared" si="24"/>
        <v>2775202</v>
      </c>
      <c r="Q72" s="11">
        <f t="shared" si="24"/>
        <v>200225875</v>
      </c>
      <c r="U72" s="17">
        <f t="shared" ref="U72:U82" si="25">+(D72+F72)/P72</f>
        <v>0.21564051914058868</v>
      </c>
      <c r="V72" s="17">
        <f t="shared" ref="V72:V82" si="26">1-U72</f>
        <v>0.78435948085941132</v>
      </c>
      <c r="W72" s="17">
        <f t="shared" ref="W72:W82" si="27">+H72/P72</f>
        <v>0.67969466727106709</v>
      </c>
      <c r="X72" s="17">
        <f t="shared" ref="X72:X82" si="28">+J72/P72</f>
        <v>8.75766881113519E-2</v>
      </c>
      <c r="Y72" s="17">
        <f t="shared" ref="Y72:Y82" si="29">+L72/P72</f>
        <v>1.7059298746541694E-2</v>
      </c>
      <c r="Z72" s="17">
        <f t="shared" ref="Z72:Z82" si="30">+N72/P72</f>
        <v>2.8826730450612243E-5</v>
      </c>
      <c r="AB72" s="30">
        <v>1094293.28</v>
      </c>
      <c r="AC72" s="30">
        <f t="shared" ref="AC72:AC82" si="31">+AB72/H72</f>
        <v>0.58012992699956001</v>
      </c>
      <c r="AD72" s="31">
        <v>949490.75</v>
      </c>
      <c r="AE72" s="32">
        <f t="shared" ref="AE72:AE82" si="32">+AD72/I72</f>
        <v>6.5762788561113967E-3</v>
      </c>
    </row>
    <row r="73" spans="1:31" x14ac:dyDescent="0.25">
      <c r="B73" s="2" t="s">
        <v>7</v>
      </c>
      <c r="C73" s="2">
        <v>2019</v>
      </c>
      <c r="D73" s="1">
        <v>612826</v>
      </c>
      <c r="E73" s="11">
        <v>27746336</v>
      </c>
      <c r="F73" s="1">
        <v>40059</v>
      </c>
      <c r="G73" s="11">
        <v>2493589</v>
      </c>
      <c r="H73" s="1">
        <v>2092568</v>
      </c>
      <c r="I73" s="11">
        <v>165509209</v>
      </c>
      <c r="J73" s="8">
        <v>264036</v>
      </c>
      <c r="K73" s="11">
        <v>28024947</v>
      </c>
      <c r="L73" s="8">
        <v>52053</v>
      </c>
      <c r="M73" s="11">
        <v>4572371</v>
      </c>
      <c r="N73" s="8">
        <v>122</v>
      </c>
      <c r="O73" s="11">
        <v>13193</v>
      </c>
      <c r="P73" s="8">
        <f t="shared" si="24"/>
        <v>3061664</v>
      </c>
      <c r="Q73" s="11">
        <f t="shared" si="24"/>
        <v>228359645</v>
      </c>
      <c r="U73" s="17">
        <f t="shared" si="25"/>
        <v>0.2132451503496138</v>
      </c>
      <c r="V73" s="17">
        <f t="shared" si="26"/>
        <v>0.78675484965038622</v>
      </c>
      <c r="W73" s="17">
        <f t="shared" si="27"/>
        <v>0.68347408468074877</v>
      </c>
      <c r="X73" s="17">
        <f t="shared" si="28"/>
        <v>8.6239378324989291E-2</v>
      </c>
      <c r="Y73" s="17">
        <f t="shared" si="29"/>
        <v>1.7001539032369326E-2</v>
      </c>
      <c r="Z73" s="17">
        <f t="shared" si="30"/>
        <v>3.9847612278813092E-5</v>
      </c>
      <c r="AB73" s="30">
        <v>1224179.18</v>
      </c>
      <c r="AC73" s="30">
        <f t="shared" si="31"/>
        <v>0.58501285501833156</v>
      </c>
      <c r="AD73" s="31">
        <v>1093699.22</v>
      </c>
      <c r="AE73" s="32">
        <f t="shared" si="32"/>
        <v>6.6080868044025272E-3</v>
      </c>
    </row>
    <row r="74" spans="1:31" x14ac:dyDescent="0.25">
      <c r="B74" s="2" t="s">
        <v>8</v>
      </c>
      <c r="C74" s="2">
        <v>2019</v>
      </c>
      <c r="D74" s="1">
        <v>562490</v>
      </c>
      <c r="E74" s="11">
        <v>26888737</v>
      </c>
      <c r="F74" s="1">
        <v>40714</v>
      </c>
      <c r="G74" s="11">
        <v>2487618</v>
      </c>
      <c r="H74" s="1">
        <v>2011164</v>
      </c>
      <c r="I74" s="11">
        <v>164528586</v>
      </c>
      <c r="J74" s="8">
        <v>257298</v>
      </c>
      <c r="K74" s="11">
        <v>28785334</v>
      </c>
      <c r="L74" s="8">
        <v>50075</v>
      </c>
      <c r="M74" s="11">
        <v>4626677</v>
      </c>
      <c r="N74" s="8">
        <v>80</v>
      </c>
      <c r="O74" s="11">
        <v>8187</v>
      </c>
      <c r="P74" s="8">
        <f t="shared" si="24"/>
        <v>2921821</v>
      </c>
      <c r="Q74" s="11">
        <f t="shared" si="24"/>
        <v>227325139</v>
      </c>
      <c r="U74" s="17">
        <f t="shared" si="25"/>
        <v>0.20644796515597635</v>
      </c>
      <c r="V74" s="17">
        <f t="shared" si="26"/>
        <v>0.7935520348440237</v>
      </c>
      <c r="W74" s="17">
        <f t="shared" si="27"/>
        <v>0.68832553397350493</v>
      </c>
      <c r="X74" s="17">
        <f t="shared" si="28"/>
        <v>8.8060836033418882E-2</v>
      </c>
      <c r="Y74" s="17">
        <f t="shared" si="29"/>
        <v>1.7138284651934531E-2</v>
      </c>
      <c r="Z74" s="17">
        <f t="shared" si="30"/>
        <v>2.7380185165347226E-5</v>
      </c>
      <c r="AB74" s="30">
        <v>1187344.9900000002</v>
      </c>
      <c r="AC74" s="30">
        <f t="shared" si="31"/>
        <v>0.59037701052723712</v>
      </c>
      <c r="AD74" s="31">
        <v>1099383.075</v>
      </c>
      <c r="AE74" s="32">
        <f t="shared" si="32"/>
        <v>6.6820186189407837E-3</v>
      </c>
    </row>
    <row r="75" spans="1:31" x14ac:dyDescent="0.25">
      <c r="B75" s="2" t="s">
        <v>9</v>
      </c>
      <c r="C75" s="2">
        <v>2019</v>
      </c>
      <c r="D75" s="1">
        <v>596742</v>
      </c>
      <c r="E75" s="11">
        <v>28301211</v>
      </c>
      <c r="F75" s="1">
        <v>41247</v>
      </c>
      <c r="G75" s="11">
        <v>2374982</v>
      </c>
      <c r="H75" s="1">
        <v>2150334</v>
      </c>
      <c r="I75" s="11">
        <v>177498874</v>
      </c>
      <c r="J75" s="8">
        <v>269093</v>
      </c>
      <c r="K75" s="11">
        <v>30184420</v>
      </c>
      <c r="L75" s="8">
        <v>51741</v>
      </c>
      <c r="M75" s="11">
        <v>4797060</v>
      </c>
      <c r="N75" s="8">
        <v>84</v>
      </c>
      <c r="O75" s="11">
        <v>9609</v>
      </c>
      <c r="P75" s="8">
        <f t="shared" si="24"/>
        <v>3109241</v>
      </c>
      <c r="Q75" s="11">
        <f t="shared" si="24"/>
        <v>243166156</v>
      </c>
      <c r="U75" s="17">
        <f t="shared" si="25"/>
        <v>0.20519123477401718</v>
      </c>
      <c r="V75" s="17">
        <f t="shared" si="26"/>
        <v>0.79480876522598276</v>
      </c>
      <c r="W75" s="17">
        <f t="shared" si="27"/>
        <v>0.69159450811307321</v>
      </c>
      <c r="X75" s="17">
        <f t="shared" si="28"/>
        <v>8.6546202111705078E-2</v>
      </c>
      <c r="Y75" s="17">
        <f t="shared" si="29"/>
        <v>1.6641038761549844E-2</v>
      </c>
      <c r="Z75" s="17">
        <f t="shared" si="30"/>
        <v>2.7016239654629539E-5</v>
      </c>
      <c r="AB75" s="30">
        <v>1258061.96</v>
      </c>
      <c r="AC75" s="30">
        <f t="shared" si="31"/>
        <v>0.58505421018316217</v>
      </c>
      <c r="AD75" s="31">
        <v>1224980.9149999998</v>
      </c>
      <c r="AE75" s="32">
        <f t="shared" si="32"/>
        <v>6.901344709375451E-3</v>
      </c>
    </row>
    <row r="76" spans="1:31" x14ac:dyDescent="0.25">
      <c r="B76" s="2" t="s">
        <v>10</v>
      </c>
      <c r="C76" s="2">
        <v>2019</v>
      </c>
      <c r="D76" s="1">
        <v>587409</v>
      </c>
      <c r="E76" s="11">
        <v>27584387</v>
      </c>
      <c r="F76" s="1">
        <v>35398</v>
      </c>
      <c r="G76" s="11">
        <v>2106620</v>
      </c>
      <c r="H76" s="1">
        <v>2060793</v>
      </c>
      <c r="I76" s="11">
        <v>170440648</v>
      </c>
      <c r="J76" s="8">
        <v>253167</v>
      </c>
      <c r="K76" s="11">
        <v>28168526</v>
      </c>
      <c r="L76" s="8">
        <v>49824</v>
      </c>
      <c r="M76" s="11">
        <v>4702284</v>
      </c>
      <c r="N76" s="8">
        <v>107</v>
      </c>
      <c r="O76" s="11">
        <v>13855</v>
      </c>
      <c r="P76" s="8">
        <f t="shared" si="24"/>
        <v>2986698</v>
      </c>
      <c r="Q76" s="11">
        <f t="shared" si="24"/>
        <v>233016320</v>
      </c>
      <c r="U76" s="17">
        <f t="shared" si="25"/>
        <v>0.20852694179324457</v>
      </c>
      <c r="V76" s="17">
        <f t="shared" si="26"/>
        <v>0.7914730582067554</v>
      </c>
      <c r="W76" s="17">
        <f t="shared" si="27"/>
        <v>0.6899904175112449</v>
      </c>
      <c r="X76" s="17">
        <f t="shared" si="28"/>
        <v>8.476484733307485E-2</v>
      </c>
      <c r="Y76" s="17">
        <f t="shared" si="29"/>
        <v>1.668196784542662E-2</v>
      </c>
      <c r="Z76" s="17">
        <f t="shared" si="30"/>
        <v>3.5825517009084948E-5</v>
      </c>
      <c r="AB76" s="30">
        <v>1209649.96</v>
      </c>
      <c r="AC76" s="30">
        <f t="shared" si="31"/>
        <v>0.58698275857885773</v>
      </c>
      <c r="AD76" s="31">
        <v>1174550.3525</v>
      </c>
      <c r="AE76" s="32">
        <f t="shared" si="32"/>
        <v>6.8912572574823822E-3</v>
      </c>
    </row>
    <row r="77" spans="1:31" x14ac:dyDescent="0.25">
      <c r="B77" s="2" t="s">
        <v>11</v>
      </c>
      <c r="C77" s="2">
        <v>2019</v>
      </c>
      <c r="D77" s="1">
        <v>609006</v>
      </c>
      <c r="E77" s="11">
        <v>29010871</v>
      </c>
      <c r="F77" s="1">
        <v>34956</v>
      </c>
      <c r="G77" s="11">
        <v>2171917</v>
      </c>
      <c r="H77" s="1">
        <v>2132775</v>
      </c>
      <c r="I77" s="11">
        <v>176641287</v>
      </c>
      <c r="J77" s="8">
        <v>274706</v>
      </c>
      <c r="K77" s="11">
        <v>30332175</v>
      </c>
      <c r="L77" s="8">
        <v>51432</v>
      </c>
      <c r="M77" s="11">
        <v>4839374</v>
      </c>
      <c r="N77" s="8">
        <v>113</v>
      </c>
      <c r="O77" s="11">
        <v>16531</v>
      </c>
      <c r="P77" s="8">
        <f t="shared" si="24"/>
        <v>3102988</v>
      </c>
      <c r="Q77" s="11">
        <f t="shared" si="24"/>
        <v>243012155</v>
      </c>
      <c r="U77" s="17">
        <f t="shared" si="25"/>
        <v>0.20752964561899692</v>
      </c>
      <c r="V77" s="17">
        <f t="shared" si="26"/>
        <v>0.79247035438100311</v>
      </c>
      <c r="W77" s="17">
        <f t="shared" si="27"/>
        <v>0.6873294385927371</v>
      </c>
      <c r="X77" s="17">
        <f t="shared" si="28"/>
        <v>8.8529507687429024E-2</v>
      </c>
      <c r="Y77" s="17">
        <f t="shared" si="29"/>
        <v>1.657499158875252E-2</v>
      </c>
      <c r="Z77" s="17">
        <f t="shared" si="30"/>
        <v>3.6416512084481154E-5</v>
      </c>
      <c r="AB77" s="30">
        <v>1256977.74</v>
      </c>
      <c r="AC77" s="30">
        <f t="shared" si="31"/>
        <v>0.58936256285824806</v>
      </c>
      <c r="AD77" s="31">
        <v>1208795.5024999999</v>
      </c>
      <c r="AE77" s="32">
        <f t="shared" si="32"/>
        <v>6.8432217803077941E-3</v>
      </c>
    </row>
    <row r="78" spans="1:31" x14ac:dyDescent="0.25">
      <c r="B78" s="2" t="s">
        <v>4</v>
      </c>
      <c r="C78" s="2">
        <v>2019</v>
      </c>
      <c r="D78" s="1">
        <v>645123</v>
      </c>
      <c r="E78" s="11">
        <v>30764436</v>
      </c>
      <c r="F78" s="1">
        <v>31871</v>
      </c>
      <c r="G78" s="11">
        <v>1957276</v>
      </c>
      <c r="H78" s="1">
        <v>2128957</v>
      </c>
      <c r="I78" s="11">
        <v>176917414</v>
      </c>
      <c r="J78" s="8">
        <v>270130</v>
      </c>
      <c r="K78" s="11">
        <v>30275244</v>
      </c>
      <c r="L78" s="8">
        <v>52517</v>
      </c>
      <c r="M78" s="11">
        <v>4861601</v>
      </c>
      <c r="N78" s="8">
        <v>87</v>
      </c>
      <c r="O78" s="11">
        <v>13175</v>
      </c>
      <c r="P78" s="8">
        <f t="shared" si="24"/>
        <v>3128685</v>
      </c>
      <c r="Q78" s="11">
        <f t="shared" si="24"/>
        <v>244789146</v>
      </c>
      <c r="U78" s="17">
        <f t="shared" si="25"/>
        <v>0.2163829212592511</v>
      </c>
      <c r="V78" s="17">
        <f t="shared" si="26"/>
        <v>0.78361707874074893</v>
      </c>
      <c r="W78" s="17">
        <f t="shared" si="27"/>
        <v>0.68046383704335844</v>
      </c>
      <c r="X78" s="17">
        <f t="shared" si="28"/>
        <v>8.6339788121846714E-2</v>
      </c>
      <c r="Y78" s="17">
        <f t="shared" si="29"/>
        <v>1.6785646365805443E-2</v>
      </c>
      <c r="Z78" s="17">
        <f t="shared" si="30"/>
        <v>2.7807209738276626E-5</v>
      </c>
      <c r="AB78" s="30">
        <v>1259357.96</v>
      </c>
      <c r="AC78" s="30">
        <f t="shared" si="31"/>
        <v>0.59153752753108679</v>
      </c>
      <c r="AD78" s="31">
        <v>1196095.2075</v>
      </c>
      <c r="AE78" s="32">
        <f t="shared" si="32"/>
        <v>6.7607545264029238E-3</v>
      </c>
    </row>
    <row r="79" spans="1:31" x14ac:dyDescent="0.25">
      <c r="B79" s="2" t="s">
        <v>28</v>
      </c>
      <c r="C79" s="2">
        <v>2019</v>
      </c>
      <c r="D79" s="1">
        <v>631002</v>
      </c>
      <c r="E79" s="11">
        <v>30092071</v>
      </c>
      <c r="F79" s="1">
        <v>31199</v>
      </c>
      <c r="G79" s="11">
        <v>1847273</v>
      </c>
      <c r="H79" s="1">
        <v>2016761</v>
      </c>
      <c r="I79" s="11">
        <v>167579141</v>
      </c>
      <c r="J79" s="8">
        <v>252164</v>
      </c>
      <c r="K79" s="11">
        <v>27973484</v>
      </c>
      <c r="L79" s="8">
        <v>50458</v>
      </c>
      <c r="M79" s="11">
        <v>4606218</v>
      </c>
      <c r="N79" s="8">
        <v>86</v>
      </c>
      <c r="O79" s="11">
        <v>12444</v>
      </c>
      <c r="P79" s="8">
        <f t="shared" si="24"/>
        <v>2981670</v>
      </c>
      <c r="Q79" s="11">
        <f t="shared" si="24"/>
        <v>232110631</v>
      </c>
      <c r="U79" s="17">
        <f t="shared" si="25"/>
        <v>0.22209064047999946</v>
      </c>
      <c r="V79" s="17">
        <f t="shared" si="26"/>
        <v>0.77790935952000051</v>
      </c>
      <c r="W79" s="17">
        <f t="shared" si="27"/>
        <v>0.67638638749425661</v>
      </c>
      <c r="X79" s="17">
        <f t="shared" si="28"/>
        <v>8.457139790788383E-2</v>
      </c>
      <c r="Y79" s="17">
        <f t="shared" si="29"/>
        <v>1.6922731221094219E-2</v>
      </c>
      <c r="Z79" s="17">
        <f t="shared" si="30"/>
        <v>2.8842896765906355E-5</v>
      </c>
      <c r="AB79" s="30">
        <v>1195564.9300000002</v>
      </c>
      <c r="AC79" s="30">
        <f t="shared" si="31"/>
        <v>0.59281438405443188</v>
      </c>
      <c r="AD79" s="31">
        <v>1132630.6299999999</v>
      </c>
      <c r="AE79" s="32">
        <f t="shared" si="32"/>
        <v>6.7587804976276845E-3</v>
      </c>
    </row>
    <row r="80" spans="1:31" x14ac:dyDescent="0.25">
      <c r="B80" s="2" t="s">
        <v>29</v>
      </c>
      <c r="C80" s="2">
        <v>2019</v>
      </c>
      <c r="D80" s="1">
        <v>683916</v>
      </c>
      <c r="E80" s="11">
        <v>33161267</v>
      </c>
      <c r="F80" s="1">
        <v>37633</v>
      </c>
      <c r="G80" s="11">
        <v>2161095</v>
      </c>
      <c r="H80" s="1">
        <v>2212961</v>
      </c>
      <c r="I80" s="11">
        <v>184744294</v>
      </c>
      <c r="J80" s="8">
        <v>275317</v>
      </c>
      <c r="K80" s="11">
        <v>30677907</v>
      </c>
      <c r="L80" s="8">
        <v>51992</v>
      </c>
      <c r="M80" s="11">
        <v>4899248</v>
      </c>
      <c r="N80" s="8">
        <v>66</v>
      </c>
      <c r="O80" s="11">
        <v>9081</v>
      </c>
      <c r="P80" s="8">
        <f t="shared" si="24"/>
        <v>3261885</v>
      </c>
      <c r="Q80" s="11">
        <f t="shared" si="24"/>
        <v>255652892</v>
      </c>
      <c r="U80" s="17">
        <f t="shared" si="25"/>
        <v>0.2212061430737135</v>
      </c>
      <c r="V80" s="17">
        <f t="shared" si="26"/>
        <v>0.77879385692628644</v>
      </c>
      <c r="W80" s="17">
        <f t="shared" si="27"/>
        <v>0.67843011019701793</v>
      </c>
      <c r="X80" s="17">
        <f t="shared" si="28"/>
        <v>8.440426317911269E-2</v>
      </c>
      <c r="Y80" s="17">
        <f t="shared" si="29"/>
        <v>1.5939249850929753E-2</v>
      </c>
      <c r="Z80" s="17">
        <f t="shared" si="30"/>
        <v>2.0233699226061004E-5</v>
      </c>
      <c r="AB80" s="30">
        <v>1314812.28</v>
      </c>
      <c r="AC80" s="30">
        <f t="shared" si="31"/>
        <v>0.59414164099593259</v>
      </c>
      <c r="AD80" s="31">
        <v>1249825.8975000002</v>
      </c>
      <c r="AE80" s="32">
        <f t="shared" si="32"/>
        <v>6.7651664386451918E-3</v>
      </c>
    </row>
    <row r="81" spans="1:31" x14ac:dyDescent="0.25">
      <c r="B81" s="2" t="s">
        <v>30</v>
      </c>
      <c r="C81" s="2">
        <v>2019</v>
      </c>
      <c r="D81" s="1">
        <v>671135</v>
      </c>
      <c r="E81" s="11">
        <v>32833263</v>
      </c>
      <c r="F81" s="1">
        <v>49371</v>
      </c>
      <c r="G81" s="11">
        <v>2664891</v>
      </c>
      <c r="H81" s="1">
        <v>2161591</v>
      </c>
      <c r="I81" s="11">
        <v>179605977</v>
      </c>
      <c r="J81" s="8">
        <v>264513</v>
      </c>
      <c r="K81" s="11">
        <v>29544532</v>
      </c>
      <c r="L81" s="8">
        <v>48181</v>
      </c>
      <c r="M81" s="11">
        <v>4510165</v>
      </c>
      <c r="N81" s="8">
        <v>74</v>
      </c>
      <c r="O81" s="11">
        <v>8901</v>
      </c>
      <c r="P81" s="8">
        <f t="shared" si="24"/>
        <v>3194865</v>
      </c>
      <c r="Q81" s="11">
        <f t="shared" si="24"/>
        <v>249167729</v>
      </c>
      <c r="U81" s="17">
        <f t="shared" si="25"/>
        <v>0.22552001414770265</v>
      </c>
      <c r="V81" s="17">
        <f t="shared" si="26"/>
        <v>0.77447998585229738</v>
      </c>
      <c r="W81" s="17">
        <f t="shared" si="27"/>
        <v>0.67658289160887863</v>
      </c>
      <c r="X81" s="17">
        <f t="shared" si="28"/>
        <v>8.2793169664445915E-2</v>
      </c>
      <c r="Y81" s="17">
        <f t="shared" si="29"/>
        <v>1.5080762410931292E-2</v>
      </c>
      <c r="Z81" s="17">
        <f t="shared" si="30"/>
        <v>2.316216804152914E-5</v>
      </c>
      <c r="AB81" s="30">
        <v>1274920.57</v>
      </c>
      <c r="AC81" s="30">
        <f t="shared" si="31"/>
        <v>0.58980656840262569</v>
      </c>
      <c r="AD81" s="31">
        <v>1235128.5</v>
      </c>
      <c r="AE81" s="32">
        <f t="shared" si="32"/>
        <v>6.8768786018741455E-3</v>
      </c>
    </row>
    <row r="82" spans="1:31" x14ac:dyDescent="0.25">
      <c r="B82" s="2" t="s">
        <v>31</v>
      </c>
      <c r="C82" s="2">
        <v>2019</v>
      </c>
      <c r="D82" s="1">
        <v>699874</v>
      </c>
      <c r="E82" s="11">
        <v>33866193</v>
      </c>
      <c r="F82" s="1">
        <v>61898</v>
      </c>
      <c r="G82" s="11">
        <v>3173764</v>
      </c>
      <c r="H82" s="1">
        <v>2121668</v>
      </c>
      <c r="I82" s="11">
        <v>176213674</v>
      </c>
      <c r="J82" s="8">
        <v>266560</v>
      </c>
      <c r="K82" s="11">
        <v>30323455</v>
      </c>
      <c r="L82" s="8">
        <v>45810</v>
      </c>
      <c r="M82" s="11">
        <v>4284384</v>
      </c>
      <c r="N82" s="8">
        <v>81</v>
      </c>
      <c r="O82" s="11">
        <v>8126</v>
      </c>
      <c r="P82" s="8">
        <f t="shared" si="24"/>
        <v>3195891</v>
      </c>
      <c r="Q82" s="11">
        <f t="shared" si="24"/>
        <v>247869596</v>
      </c>
      <c r="U82" s="17">
        <f t="shared" si="25"/>
        <v>0.23835981890496266</v>
      </c>
      <c r="V82" s="17">
        <f t="shared" si="26"/>
        <v>0.76164018109503728</v>
      </c>
      <c r="W82" s="17">
        <f t="shared" si="27"/>
        <v>0.66387370532974999</v>
      </c>
      <c r="X82" s="17">
        <f t="shared" si="28"/>
        <v>8.3407099929252909E-2</v>
      </c>
      <c r="Y82" s="17">
        <f t="shared" si="29"/>
        <v>1.4334030791413099E-2</v>
      </c>
      <c r="Z82" s="17">
        <f t="shared" si="30"/>
        <v>2.5345044621359114E-5</v>
      </c>
      <c r="AB82" s="30">
        <v>1243932.9500000002</v>
      </c>
      <c r="AC82" s="30">
        <f t="shared" si="31"/>
        <v>0.58629952942684727</v>
      </c>
      <c r="AD82" s="31">
        <v>1216259.42</v>
      </c>
      <c r="AE82" s="32">
        <f t="shared" si="32"/>
        <v>6.9021852413110683E-3</v>
      </c>
    </row>
    <row r="83" spans="1:31" x14ac:dyDescent="0.25">
      <c r="U83" s="18"/>
      <c r="V83" s="19"/>
      <c r="W83" s="18"/>
      <c r="X83" s="18"/>
      <c r="Y83" s="18"/>
      <c r="Z83" s="18"/>
    </row>
    <row r="84" spans="1:31" x14ac:dyDescent="0.25">
      <c r="B84" s="3" t="s">
        <v>12</v>
      </c>
      <c r="C84" s="3"/>
      <c r="D84" s="4">
        <f t="shared" ref="D84:Q84" si="33">SUM(D71:D83)</f>
        <v>7438082</v>
      </c>
      <c r="E84" s="12">
        <f t="shared" si="33"/>
        <v>350258022</v>
      </c>
      <c r="F84" s="4">
        <f t="shared" si="33"/>
        <v>468551</v>
      </c>
      <c r="G84" s="12">
        <f t="shared" si="33"/>
        <v>27555340</v>
      </c>
      <c r="H84" s="4">
        <f t="shared" si="33"/>
        <v>24923340</v>
      </c>
      <c r="I84" s="12">
        <f t="shared" si="33"/>
        <v>2034691635</v>
      </c>
      <c r="J84" s="4">
        <f t="shared" si="33"/>
        <v>3162917</v>
      </c>
      <c r="K84" s="12">
        <f t="shared" si="33"/>
        <v>346533051</v>
      </c>
      <c r="L84" s="4">
        <f t="shared" si="33"/>
        <v>603228</v>
      </c>
      <c r="M84" s="12">
        <f t="shared" si="33"/>
        <v>55492470</v>
      </c>
      <c r="N84" s="4">
        <f t="shared" si="33"/>
        <v>1092</v>
      </c>
      <c r="O84" s="12">
        <f t="shared" si="33"/>
        <v>130514</v>
      </c>
      <c r="P84" s="4">
        <f t="shared" si="33"/>
        <v>36597210</v>
      </c>
      <c r="Q84" s="12">
        <f t="shared" si="33"/>
        <v>2814661032</v>
      </c>
      <c r="U84" s="16">
        <f>+(D84+F84)/P84</f>
        <v>0.21604469302441362</v>
      </c>
      <c r="V84" s="16">
        <f>1-U84</f>
        <v>0.78395530697558635</v>
      </c>
      <c r="W84" s="16">
        <f>+H84/P84</f>
        <v>0.68101748739862955</v>
      </c>
      <c r="X84" s="16">
        <f>+J84/P84</f>
        <v>8.6425085409516184E-2</v>
      </c>
      <c r="Y84" s="16">
        <f>+L84/P84</f>
        <v>1.6482895827304868E-2</v>
      </c>
      <c r="Z84" s="16">
        <f>+N84/P84</f>
        <v>2.9838340135764448E-5</v>
      </c>
      <c r="AB84" s="12">
        <f>AVERAGE(AB71:AB83)</f>
        <v>1221036.3508333333</v>
      </c>
      <c r="AC84" s="12">
        <f>AVERAGE(AC71:AC83)</f>
        <v>0.58778932032308562</v>
      </c>
      <c r="AD84" s="12">
        <f>AVERAGE(AD71:AD83)</f>
        <v>1147129.4329166668</v>
      </c>
      <c r="AE84" s="16">
        <f>AVERAGE(AE71:AE83)</f>
        <v>6.7586012668466545E-3</v>
      </c>
    </row>
    <row r="85" spans="1:31" x14ac:dyDescent="0.25">
      <c r="K85" s="9">
        <f>+K84/12</f>
        <v>28877754.25</v>
      </c>
    </row>
    <row r="86" spans="1:31" x14ac:dyDescent="0.25">
      <c r="B86" s="5" t="s">
        <v>14</v>
      </c>
    </row>
    <row r="87" spans="1:31" x14ac:dyDescent="0.25">
      <c r="B87" s="5" t="s">
        <v>32</v>
      </c>
    </row>
    <row r="88" spans="1:31" x14ac:dyDescent="0.25">
      <c r="B88" s="5"/>
    </row>
    <row r="89" spans="1:31" x14ac:dyDescent="0.25">
      <c r="D89" s="89" t="s">
        <v>15</v>
      </c>
      <c r="E89" s="90"/>
      <c r="F89" s="89" t="s">
        <v>16</v>
      </c>
      <c r="G89" s="90"/>
      <c r="H89" s="89" t="s">
        <v>17</v>
      </c>
      <c r="I89" s="93"/>
      <c r="J89" s="89" t="s">
        <v>18</v>
      </c>
      <c r="K89" s="93"/>
      <c r="L89" s="89" t="s">
        <v>13</v>
      </c>
      <c r="M89" s="93"/>
      <c r="N89" s="89" t="s">
        <v>34</v>
      </c>
      <c r="O89" s="93"/>
      <c r="P89" s="89" t="s">
        <v>12</v>
      </c>
      <c r="Q89" s="93"/>
      <c r="U89" s="94" t="s">
        <v>42</v>
      </c>
      <c r="V89" s="94"/>
      <c r="W89" s="94"/>
      <c r="X89" s="94"/>
      <c r="Y89" s="94"/>
      <c r="Z89" s="94"/>
    </row>
    <row r="90" spans="1:3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U90" s="7" t="s">
        <v>38</v>
      </c>
      <c r="V90" s="10" t="s">
        <v>39</v>
      </c>
      <c r="W90" s="10" t="s">
        <v>40</v>
      </c>
      <c r="X90" s="10" t="s">
        <v>18</v>
      </c>
      <c r="Y90" s="10" t="s">
        <v>13</v>
      </c>
      <c r="Z90" s="10" t="s">
        <v>41</v>
      </c>
    </row>
    <row r="91" spans="1:31" x14ac:dyDescent="0.25">
      <c r="V91" s="9"/>
    </row>
    <row r="92" spans="1:31" x14ac:dyDescent="0.25">
      <c r="B92" s="2" t="s">
        <v>5</v>
      </c>
      <c r="C92" s="2">
        <v>2019</v>
      </c>
      <c r="D92" s="1">
        <v>10135</v>
      </c>
      <c r="E92" s="11">
        <v>820215</v>
      </c>
      <c r="F92" s="1">
        <v>970</v>
      </c>
      <c r="G92" s="11">
        <v>152393</v>
      </c>
      <c r="H92" s="1">
        <v>184272</v>
      </c>
      <c r="I92" s="11">
        <v>27168977</v>
      </c>
      <c r="J92" s="8">
        <v>28038</v>
      </c>
      <c r="K92" s="11">
        <v>4971461</v>
      </c>
      <c r="L92" s="8">
        <v>4102</v>
      </c>
      <c r="M92" s="11">
        <v>583782</v>
      </c>
      <c r="N92" s="8">
        <v>3</v>
      </c>
      <c r="O92" s="11">
        <v>423</v>
      </c>
      <c r="P92" s="8">
        <f t="shared" ref="P92:Q103" si="34">L92+J92+H92+F92+D92+N92</f>
        <v>227520</v>
      </c>
      <c r="Q92" s="11">
        <f t="shared" si="34"/>
        <v>33697251</v>
      </c>
      <c r="U92" s="17">
        <f>+(D92+F92)/P92</f>
        <v>4.8808895921237695E-2</v>
      </c>
      <c r="V92" s="17">
        <f>1-U92</f>
        <v>0.95119110407876228</v>
      </c>
      <c r="W92" s="17">
        <f>+H92/P92</f>
        <v>0.80991561181434601</v>
      </c>
      <c r="X92" s="17">
        <f>+J92/P92</f>
        <v>0.12323312236286919</v>
      </c>
      <c r="Y92" s="17">
        <f>+L92/P92</f>
        <v>1.8029184247538677E-2</v>
      </c>
      <c r="Z92" s="17">
        <f>+N92/P92</f>
        <v>1.3185654008438819E-5</v>
      </c>
      <c r="AB92" s="30">
        <v>118207.67</v>
      </c>
      <c r="AC92" s="30">
        <f t="shared" ref="AC92:AC103" si="35">+AB92/H92</f>
        <v>0.64148470738907704</v>
      </c>
      <c r="AD92" s="31">
        <v>192299.78999999998</v>
      </c>
      <c r="AE92" s="32">
        <f t="shared" ref="AE92:AE103" si="36">+AD92/I92</f>
        <v>7.077917950315169E-3</v>
      </c>
    </row>
    <row r="93" spans="1:31" x14ac:dyDescent="0.25">
      <c r="B93" s="2" t="s">
        <v>6</v>
      </c>
      <c r="C93" s="2">
        <v>2019</v>
      </c>
      <c r="D93" s="1">
        <v>8728</v>
      </c>
      <c r="E93" s="11">
        <v>759394</v>
      </c>
      <c r="F93" s="1">
        <v>967</v>
      </c>
      <c r="G93" s="11">
        <v>165312</v>
      </c>
      <c r="H93" s="1">
        <v>172140</v>
      </c>
      <c r="I93" s="11">
        <v>27170234</v>
      </c>
      <c r="J93" s="8">
        <v>26321</v>
      </c>
      <c r="K93" s="11">
        <v>5016127</v>
      </c>
      <c r="L93" s="8">
        <v>4034</v>
      </c>
      <c r="M93" s="11">
        <v>632079</v>
      </c>
      <c r="N93" s="8">
        <v>2</v>
      </c>
      <c r="O93" s="11">
        <v>394</v>
      </c>
      <c r="P93" s="8">
        <f t="shared" si="34"/>
        <v>212192</v>
      </c>
      <c r="Q93" s="11">
        <f t="shared" si="34"/>
        <v>33743540</v>
      </c>
      <c r="U93" s="17">
        <f t="shared" ref="U93:U103" si="37">+(D93+F93)/P93</f>
        <v>4.5689752676820995E-2</v>
      </c>
      <c r="V93" s="17">
        <f t="shared" ref="V93:V103" si="38">1-U93</f>
        <v>0.95431024732317904</v>
      </c>
      <c r="W93" s="17">
        <f t="shared" ref="W93:W103" si="39">+H93/P93</f>
        <v>0.81124641833810884</v>
      </c>
      <c r="X93" s="17">
        <f t="shared" ref="X93:X103" si="40">+J93/P93</f>
        <v>0.12404331925803046</v>
      </c>
      <c r="Y93" s="17">
        <f t="shared" ref="Y93:Y103" si="41">+L93/P93</f>
        <v>1.9011084301010405E-2</v>
      </c>
      <c r="Z93" s="17">
        <f t="shared" ref="Z93:Z103" si="42">+N93/P93</f>
        <v>9.4254260292565221E-6</v>
      </c>
      <c r="AB93" s="30">
        <v>109729.66</v>
      </c>
      <c r="AC93" s="30">
        <f t="shared" si="35"/>
        <v>0.63744428953177645</v>
      </c>
      <c r="AD93" s="31">
        <v>198604.47500000001</v>
      </c>
      <c r="AE93" s="32">
        <f t="shared" si="36"/>
        <v>7.3096343226193789E-3</v>
      </c>
    </row>
    <row r="94" spans="1:31" x14ac:dyDescent="0.25">
      <c r="B94" s="2" t="s">
        <v>7</v>
      </c>
      <c r="C94" s="2">
        <v>2019</v>
      </c>
      <c r="D94" s="1">
        <v>10289</v>
      </c>
      <c r="E94" s="11">
        <v>1010097</v>
      </c>
      <c r="F94" s="1">
        <v>1068</v>
      </c>
      <c r="G94" s="11">
        <v>186608</v>
      </c>
      <c r="H94" s="1">
        <v>192343</v>
      </c>
      <c r="I94" s="11">
        <v>32697110</v>
      </c>
      <c r="J94" s="8">
        <v>29186</v>
      </c>
      <c r="K94" s="11">
        <v>6023000</v>
      </c>
      <c r="L94" s="8">
        <v>4352</v>
      </c>
      <c r="M94" s="11">
        <v>715030</v>
      </c>
      <c r="N94" s="8">
        <v>5</v>
      </c>
      <c r="O94" s="11">
        <v>1016</v>
      </c>
      <c r="P94" s="8">
        <f t="shared" si="34"/>
        <v>237243</v>
      </c>
      <c r="Q94" s="11">
        <f t="shared" si="34"/>
        <v>40632861</v>
      </c>
      <c r="U94" s="17">
        <f t="shared" si="37"/>
        <v>4.7870748557386308E-2</v>
      </c>
      <c r="V94" s="17">
        <f t="shared" si="38"/>
        <v>0.95212925144261373</v>
      </c>
      <c r="W94" s="17">
        <f t="shared" si="39"/>
        <v>0.8107425719620811</v>
      </c>
      <c r="X94" s="17">
        <f t="shared" si="40"/>
        <v>0.12302154331213144</v>
      </c>
      <c r="Y94" s="17">
        <f t="shared" si="41"/>
        <v>1.8344060730980473E-2</v>
      </c>
      <c r="Z94" s="17">
        <f t="shared" si="42"/>
        <v>2.1075437420703666E-5</v>
      </c>
      <c r="AB94" s="30">
        <v>123463.6</v>
      </c>
      <c r="AC94" s="30">
        <f t="shared" si="35"/>
        <v>0.64189286846934901</v>
      </c>
      <c r="AD94" s="31">
        <v>235505.71500000003</v>
      </c>
      <c r="AE94" s="32">
        <f t="shared" si="36"/>
        <v>7.2026461971715552E-3</v>
      </c>
    </row>
    <row r="95" spans="1:31" x14ac:dyDescent="0.25">
      <c r="B95" s="2" t="s">
        <v>8</v>
      </c>
      <c r="C95" s="2">
        <v>2019</v>
      </c>
      <c r="D95" s="1">
        <v>13809</v>
      </c>
      <c r="E95" s="11">
        <v>1193103</v>
      </c>
      <c r="F95" s="1">
        <v>1246</v>
      </c>
      <c r="G95" s="11">
        <v>200724</v>
      </c>
      <c r="H95" s="1">
        <v>207972</v>
      </c>
      <c r="I95" s="11">
        <v>32952711</v>
      </c>
      <c r="J95" s="8">
        <v>35892</v>
      </c>
      <c r="K95" s="11">
        <v>6741762</v>
      </c>
      <c r="L95" s="8">
        <v>6169</v>
      </c>
      <c r="M95" s="11">
        <v>981285</v>
      </c>
      <c r="N95" s="8">
        <v>1</v>
      </c>
      <c r="O95" s="11">
        <v>256</v>
      </c>
      <c r="P95" s="8">
        <f t="shared" si="34"/>
        <v>265089</v>
      </c>
      <c r="Q95" s="11">
        <f t="shared" si="34"/>
        <v>42069841</v>
      </c>
      <c r="U95" s="17">
        <f t="shared" si="37"/>
        <v>5.6792247132095255E-2</v>
      </c>
      <c r="V95" s="17">
        <f t="shared" si="38"/>
        <v>0.9432077528679047</v>
      </c>
      <c r="W95" s="17">
        <f t="shared" si="39"/>
        <v>0.78453651415185088</v>
      </c>
      <c r="X95" s="17">
        <f t="shared" si="40"/>
        <v>0.13539603680273418</v>
      </c>
      <c r="Y95" s="17">
        <f t="shared" si="41"/>
        <v>2.3271429595343451E-2</v>
      </c>
      <c r="Z95" s="17">
        <f t="shared" si="42"/>
        <v>3.7723179762268522E-6</v>
      </c>
      <c r="AB95" s="30">
        <v>134334.81</v>
      </c>
      <c r="AC95" s="30">
        <f t="shared" si="35"/>
        <v>0.64592738445559983</v>
      </c>
      <c r="AD95" s="31">
        <v>232378.89499999999</v>
      </c>
      <c r="AE95" s="32">
        <f t="shared" si="36"/>
        <v>7.0518900554191119E-3</v>
      </c>
    </row>
    <row r="96" spans="1:31" x14ac:dyDescent="0.25">
      <c r="B96" s="2" t="s">
        <v>9</v>
      </c>
      <c r="C96" s="2">
        <v>2019</v>
      </c>
      <c r="D96" s="1">
        <v>10334</v>
      </c>
      <c r="E96" s="11">
        <v>1009551</v>
      </c>
      <c r="F96" s="1">
        <v>1119</v>
      </c>
      <c r="G96" s="11">
        <v>188857</v>
      </c>
      <c r="H96" s="1">
        <v>196771</v>
      </c>
      <c r="I96" s="11">
        <v>33044331</v>
      </c>
      <c r="J96" s="8">
        <v>31146</v>
      </c>
      <c r="K96" s="11">
        <v>6394429</v>
      </c>
      <c r="L96" s="8">
        <v>5587</v>
      </c>
      <c r="M96" s="11">
        <v>933199</v>
      </c>
      <c r="N96" s="8">
        <v>4</v>
      </c>
      <c r="O96" s="11">
        <v>828</v>
      </c>
      <c r="P96" s="8">
        <f t="shared" si="34"/>
        <v>244961</v>
      </c>
      <c r="Q96" s="11">
        <f t="shared" si="34"/>
        <v>41571195</v>
      </c>
      <c r="U96" s="17">
        <f t="shared" si="37"/>
        <v>4.6754381309677864E-2</v>
      </c>
      <c r="V96" s="17">
        <f t="shared" si="38"/>
        <v>0.95324561869032209</v>
      </c>
      <c r="W96" s="17">
        <f t="shared" si="39"/>
        <v>0.80327480701009546</v>
      </c>
      <c r="X96" s="17">
        <f t="shared" si="40"/>
        <v>0.12714677030221136</v>
      </c>
      <c r="Y96" s="17">
        <f t="shared" si="41"/>
        <v>2.2807712248072144E-2</v>
      </c>
      <c r="Z96" s="17">
        <f t="shared" si="42"/>
        <v>1.6329129943133804E-5</v>
      </c>
      <c r="AB96" s="30">
        <v>126560.98000000001</v>
      </c>
      <c r="AC96" s="30">
        <f t="shared" si="35"/>
        <v>0.64318918946389458</v>
      </c>
      <c r="AD96" s="31">
        <v>238889.80499999999</v>
      </c>
      <c r="AE96" s="32">
        <f t="shared" si="36"/>
        <v>7.2293733227645008E-3</v>
      </c>
    </row>
    <row r="97" spans="1:34" x14ac:dyDescent="0.25">
      <c r="B97" s="2" t="s">
        <v>10</v>
      </c>
      <c r="C97" s="2">
        <v>2019</v>
      </c>
      <c r="D97" s="1">
        <v>10105</v>
      </c>
      <c r="E97" s="11">
        <v>1003392</v>
      </c>
      <c r="F97" s="1">
        <v>921</v>
      </c>
      <c r="G97" s="11">
        <v>158064</v>
      </c>
      <c r="H97" s="1">
        <v>186554</v>
      </c>
      <c r="I97" s="11">
        <v>31460100</v>
      </c>
      <c r="J97" s="8">
        <v>28513</v>
      </c>
      <c r="K97" s="11">
        <v>5916228</v>
      </c>
      <c r="L97" s="8">
        <v>5165</v>
      </c>
      <c r="M97" s="11">
        <v>839074</v>
      </c>
      <c r="N97" s="8">
        <v>0</v>
      </c>
      <c r="O97" s="11">
        <v>0</v>
      </c>
      <c r="P97" s="8">
        <f t="shared" si="34"/>
        <v>231258</v>
      </c>
      <c r="Q97" s="11">
        <f t="shared" si="34"/>
        <v>39376858</v>
      </c>
      <c r="U97" s="17">
        <f t="shared" si="37"/>
        <v>4.7678350586790513E-2</v>
      </c>
      <c r="V97" s="17">
        <f t="shared" si="38"/>
        <v>0.95232164941320951</v>
      </c>
      <c r="W97" s="17">
        <f t="shared" si="39"/>
        <v>0.80669209281408638</v>
      </c>
      <c r="X97" s="17">
        <f t="shared" si="40"/>
        <v>0.12329519411220369</v>
      </c>
      <c r="Y97" s="17">
        <f t="shared" si="41"/>
        <v>2.2334362486919373E-2</v>
      </c>
      <c r="Z97" s="17">
        <f t="shared" si="42"/>
        <v>0</v>
      </c>
      <c r="AB97" s="30">
        <v>118158.03</v>
      </c>
      <c r="AC97" s="30">
        <f t="shared" si="35"/>
        <v>0.63337173150937531</v>
      </c>
      <c r="AD97" s="31">
        <v>234544.5925</v>
      </c>
      <c r="AE97" s="32">
        <f t="shared" si="36"/>
        <v>7.455303463752499E-3</v>
      </c>
    </row>
    <row r="98" spans="1:34" x14ac:dyDescent="0.25">
      <c r="B98" s="2" t="s">
        <v>11</v>
      </c>
      <c r="C98" s="2">
        <v>2019</v>
      </c>
      <c r="D98" s="1">
        <v>12877</v>
      </c>
      <c r="E98" s="11">
        <v>1219116</v>
      </c>
      <c r="F98" s="1">
        <v>1018</v>
      </c>
      <c r="G98" s="11">
        <v>174630</v>
      </c>
      <c r="H98" s="1">
        <v>201791</v>
      </c>
      <c r="I98" s="11">
        <v>32657473</v>
      </c>
      <c r="J98" s="8">
        <v>29623</v>
      </c>
      <c r="K98" s="11">
        <v>6027815</v>
      </c>
      <c r="L98" s="8">
        <v>5340</v>
      </c>
      <c r="M98" s="11">
        <v>852921</v>
      </c>
      <c r="N98" s="8">
        <v>0</v>
      </c>
      <c r="O98" s="11">
        <v>0</v>
      </c>
      <c r="P98" s="8">
        <f t="shared" si="34"/>
        <v>250649</v>
      </c>
      <c r="Q98" s="11">
        <f t="shared" si="34"/>
        <v>40931955</v>
      </c>
      <c r="U98" s="17">
        <f t="shared" si="37"/>
        <v>5.5436087915770663E-2</v>
      </c>
      <c r="V98" s="17">
        <f t="shared" si="38"/>
        <v>0.9445639120842293</v>
      </c>
      <c r="W98" s="17">
        <f t="shared" si="39"/>
        <v>0.80507402782376947</v>
      </c>
      <c r="X98" s="17">
        <f t="shared" si="40"/>
        <v>0.11818519124353179</v>
      </c>
      <c r="Y98" s="17">
        <f t="shared" si="41"/>
        <v>2.1304693016928056E-2</v>
      </c>
      <c r="Z98" s="17">
        <f t="shared" si="42"/>
        <v>0</v>
      </c>
      <c r="AB98" s="30">
        <v>127438.75</v>
      </c>
      <c r="AC98" s="30">
        <f t="shared" si="35"/>
        <v>0.63153832430584123</v>
      </c>
      <c r="AD98" s="31">
        <v>244342.68</v>
      </c>
      <c r="AE98" s="32">
        <f t="shared" si="36"/>
        <v>7.4819836795088218E-3</v>
      </c>
    </row>
    <row r="99" spans="1:34" x14ac:dyDescent="0.25">
      <c r="B99" s="2" t="s">
        <v>4</v>
      </c>
      <c r="C99" s="2">
        <v>2019</v>
      </c>
      <c r="D99" s="1">
        <v>12332</v>
      </c>
      <c r="E99" s="11">
        <v>1194923</v>
      </c>
      <c r="F99" s="1">
        <v>942</v>
      </c>
      <c r="G99" s="11">
        <v>163867</v>
      </c>
      <c r="H99" s="1">
        <v>194508</v>
      </c>
      <c r="I99" s="11">
        <v>31785607</v>
      </c>
      <c r="J99" s="8">
        <v>29460</v>
      </c>
      <c r="K99" s="11">
        <v>6105827</v>
      </c>
      <c r="L99" s="8">
        <v>5399</v>
      </c>
      <c r="M99" s="11">
        <v>873114</v>
      </c>
      <c r="N99" s="8">
        <v>1</v>
      </c>
      <c r="O99" s="11">
        <v>60</v>
      </c>
      <c r="P99" s="8">
        <f t="shared" si="34"/>
        <v>242642</v>
      </c>
      <c r="Q99" s="11">
        <f t="shared" si="34"/>
        <v>40123398</v>
      </c>
      <c r="U99" s="17">
        <f t="shared" si="37"/>
        <v>5.4706110236480081E-2</v>
      </c>
      <c r="V99" s="17">
        <f t="shared" si="38"/>
        <v>0.94529388976351991</v>
      </c>
      <c r="W99" s="17">
        <f t="shared" si="39"/>
        <v>0.80162543994856617</v>
      </c>
      <c r="X99" s="17">
        <f t="shared" si="40"/>
        <v>0.1214134403771812</v>
      </c>
      <c r="Y99" s="17">
        <f t="shared" si="41"/>
        <v>2.2250888139728489E-2</v>
      </c>
      <c r="Z99" s="17">
        <f t="shared" si="42"/>
        <v>4.1212980440319483E-6</v>
      </c>
      <c r="AB99" s="30">
        <v>123532.34</v>
      </c>
      <c r="AC99" s="30">
        <f t="shared" si="35"/>
        <v>0.63510158965183949</v>
      </c>
      <c r="AD99" s="31">
        <v>236517.03499999997</v>
      </c>
      <c r="AE99" s="32">
        <f t="shared" si="36"/>
        <v>7.4410104862870788E-3</v>
      </c>
    </row>
    <row r="100" spans="1:34" x14ac:dyDescent="0.25">
      <c r="B100" s="2" t="s">
        <v>28</v>
      </c>
      <c r="C100" s="2">
        <v>2019</v>
      </c>
      <c r="D100" s="1">
        <v>11598</v>
      </c>
      <c r="E100" s="11">
        <v>1139871</v>
      </c>
      <c r="F100" s="1">
        <v>913</v>
      </c>
      <c r="G100" s="11">
        <v>154351</v>
      </c>
      <c r="H100" s="1">
        <v>191090</v>
      </c>
      <c r="I100" s="11">
        <v>31671219</v>
      </c>
      <c r="J100" s="8">
        <v>28778</v>
      </c>
      <c r="K100" s="11">
        <v>5985571</v>
      </c>
      <c r="L100" s="8">
        <v>5360</v>
      </c>
      <c r="M100" s="11">
        <v>867066</v>
      </c>
      <c r="N100" s="8">
        <v>1</v>
      </c>
      <c r="O100" s="11">
        <v>174</v>
      </c>
      <c r="P100" s="8">
        <f t="shared" si="34"/>
        <v>237740</v>
      </c>
      <c r="Q100" s="11">
        <f t="shared" si="34"/>
        <v>39818252</v>
      </c>
      <c r="U100" s="17">
        <f t="shared" si="37"/>
        <v>5.2624716076385969E-2</v>
      </c>
      <c r="V100" s="17">
        <f t="shared" si="38"/>
        <v>0.94737528392361403</v>
      </c>
      <c r="W100" s="17">
        <f t="shared" si="39"/>
        <v>0.80377723563556824</v>
      </c>
      <c r="X100" s="17">
        <f t="shared" si="40"/>
        <v>0.12104820392024901</v>
      </c>
      <c r="Y100" s="17">
        <f t="shared" si="41"/>
        <v>2.2545638092033315E-2</v>
      </c>
      <c r="Z100" s="17">
        <f t="shared" si="42"/>
        <v>4.2062757634390512E-6</v>
      </c>
      <c r="AB100" s="30">
        <v>122313.01999999999</v>
      </c>
      <c r="AC100" s="30">
        <f t="shared" si="35"/>
        <v>0.6400806949604898</v>
      </c>
      <c r="AD100" s="31">
        <v>231216.1875</v>
      </c>
      <c r="AE100" s="32">
        <f t="shared" si="36"/>
        <v>7.3005143092218835E-3</v>
      </c>
      <c r="AG100" s="25"/>
      <c r="AH100" s="25"/>
    </row>
    <row r="101" spans="1:34" x14ac:dyDescent="0.25">
      <c r="B101" s="2" t="s">
        <v>29</v>
      </c>
      <c r="C101" s="2">
        <v>2019</v>
      </c>
      <c r="D101" s="1">
        <v>11694</v>
      </c>
      <c r="E101" s="11">
        <v>1209555</v>
      </c>
      <c r="F101" s="1">
        <v>1094</v>
      </c>
      <c r="G101" s="11">
        <v>185783</v>
      </c>
      <c r="H101" s="1">
        <v>206126</v>
      </c>
      <c r="I101" s="11">
        <v>34373652</v>
      </c>
      <c r="J101" s="8">
        <v>30220</v>
      </c>
      <c r="K101" s="11">
        <v>6268754</v>
      </c>
      <c r="L101" s="8">
        <v>6034</v>
      </c>
      <c r="M101" s="11">
        <v>939003</v>
      </c>
      <c r="N101" s="8">
        <v>1</v>
      </c>
      <c r="O101" s="11">
        <v>256</v>
      </c>
      <c r="P101" s="8">
        <f t="shared" si="34"/>
        <v>255169</v>
      </c>
      <c r="Q101" s="11">
        <f t="shared" si="34"/>
        <v>42977003</v>
      </c>
      <c r="U101" s="17">
        <f t="shared" si="37"/>
        <v>5.0115805603345234E-2</v>
      </c>
      <c r="V101" s="17">
        <f t="shared" si="38"/>
        <v>0.94988419439665472</v>
      </c>
      <c r="W101" s="17">
        <f t="shared" si="39"/>
        <v>0.80780188816039566</v>
      </c>
      <c r="X101" s="17">
        <f t="shared" si="40"/>
        <v>0.11843131414866226</v>
      </c>
      <c r="Y101" s="17">
        <f t="shared" si="41"/>
        <v>2.3647073116248446E-2</v>
      </c>
      <c r="Z101" s="17">
        <f t="shared" si="42"/>
        <v>3.918971348400472E-6</v>
      </c>
      <c r="AB101" s="30">
        <v>132442.07</v>
      </c>
      <c r="AC101" s="30">
        <f t="shared" si="35"/>
        <v>0.64252966632060005</v>
      </c>
      <c r="AD101" s="31">
        <v>249799.75</v>
      </c>
      <c r="AE101" s="32">
        <f t="shared" si="36"/>
        <v>7.2671867976088194E-3</v>
      </c>
    </row>
    <row r="102" spans="1:34" x14ac:dyDescent="0.25">
      <c r="B102" s="2" t="s">
        <v>30</v>
      </c>
      <c r="C102" s="2">
        <v>2019</v>
      </c>
      <c r="D102" s="1">
        <v>12388</v>
      </c>
      <c r="E102" s="11">
        <v>1230449</v>
      </c>
      <c r="F102" s="1">
        <v>1141</v>
      </c>
      <c r="G102" s="11">
        <v>179994</v>
      </c>
      <c r="H102" s="1">
        <v>199861</v>
      </c>
      <c r="I102" s="11">
        <v>32871282</v>
      </c>
      <c r="J102" s="8">
        <v>29312</v>
      </c>
      <c r="K102" s="11">
        <v>6060940</v>
      </c>
      <c r="L102" s="8">
        <v>5979</v>
      </c>
      <c r="M102" s="11">
        <v>916016</v>
      </c>
      <c r="N102" s="8">
        <v>2</v>
      </c>
      <c r="O102" s="11">
        <v>334</v>
      </c>
      <c r="P102" s="8">
        <f t="shared" si="34"/>
        <v>248683</v>
      </c>
      <c r="Q102" s="11">
        <f t="shared" si="34"/>
        <v>41259015</v>
      </c>
      <c r="U102" s="17">
        <f t="shared" si="37"/>
        <v>5.4402592859182169E-2</v>
      </c>
      <c r="V102" s="17">
        <f t="shared" si="38"/>
        <v>0.94559740714081786</v>
      </c>
      <c r="W102" s="17">
        <f t="shared" si="39"/>
        <v>0.80367777451615108</v>
      </c>
      <c r="X102" s="17">
        <f t="shared" si="40"/>
        <v>0.11786893354189873</v>
      </c>
      <c r="Y102" s="17">
        <f t="shared" si="41"/>
        <v>2.4042656715577662E-2</v>
      </c>
      <c r="Z102" s="17">
        <f t="shared" si="42"/>
        <v>8.0423671903588108E-6</v>
      </c>
      <c r="AB102" s="30">
        <v>128402.53</v>
      </c>
      <c r="AC102" s="30">
        <f t="shared" si="35"/>
        <v>0.64245915911558538</v>
      </c>
      <c r="AD102" s="31">
        <v>238287.505</v>
      </c>
      <c r="AE102" s="32">
        <f t="shared" si="36"/>
        <v>7.2491089638670007E-3</v>
      </c>
    </row>
    <row r="103" spans="1:34" x14ac:dyDescent="0.25">
      <c r="B103" s="2" t="s">
        <v>31</v>
      </c>
      <c r="C103" s="2">
        <v>2019</v>
      </c>
      <c r="D103" s="1">
        <v>15798</v>
      </c>
      <c r="E103" s="11">
        <v>1449036</v>
      </c>
      <c r="F103" s="1">
        <v>1374</v>
      </c>
      <c r="G103" s="11">
        <v>204396</v>
      </c>
      <c r="H103" s="1">
        <v>208574</v>
      </c>
      <c r="I103" s="11">
        <v>32980702</v>
      </c>
      <c r="J103" s="8">
        <v>29597</v>
      </c>
      <c r="K103" s="11">
        <v>6012177</v>
      </c>
      <c r="L103" s="8">
        <v>5884</v>
      </c>
      <c r="M103" s="11">
        <v>887084</v>
      </c>
      <c r="N103" s="8">
        <v>1</v>
      </c>
      <c r="O103" s="11">
        <v>174</v>
      </c>
      <c r="P103" s="8">
        <f t="shared" si="34"/>
        <v>261228</v>
      </c>
      <c r="Q103" s="11">
        <f t="shared" si="34"/>
        <v>41533569</v>
      </c>
      <c r="U103" s="17">
        <f t="shared" si="37"/>
        <v>6.5735679176811057E-2</v>
      </c>
      <c r="V103" s="17">
        <f t="shared" si="38"/>
        <v>0.93426432082318889</v>
      </c>
      <c r="W103" s="17">
        <f t="shared" si="39"/>
        <v>0.79843661475798922</v>
      </c>
      <c r="X103" s="17">
        <f t="shared" si="40"/>
        <v>0.11329949316306062</v>
      </c>
      <c r="Y103" s="17">
        <f t="shared" si="41"/>
        <v>2.2524384828578867E-2</v>
      </c>
      <c r="Z103" s="17">
        <f t="shared" si="42"/>
        <v>3.8280735602615338E-6</v>
      </c>
      <c r="AB103" s="30">
        <v>132591.91999999998</v>
      </c>
      <c r="AC103" s="30">
        <f t="shared" si="35"/>
        <v>0.63570684744982586</v>
      </c>
      <c r="AD103" s="31">
        <v>239236.79499999998</v>
      </c>
      <c r="AE103" s="32">
        <f t="shared" si="36"/>
        <v>7.2538418072483719E-3</v>
      </c>
    </row>
    <row r="104" spans="1:34" x14ac:dyDescent="0.25">
      <c r="U104" s="18"/>
      <c r="V104" s="19"/>
      <c r="W104" s="18"/>
      <c r="X104" s="18"/>
      <c r="Y104" s="18"/>
      <c r="Z104" s="18"/>
    </row>
    <row r="105" spans="1:34" x14ac:dyDescent="0.25">
      <c r="B105" s="3" t="s">
        <v>12</v>
      </c>
      <c r="C105" s="3"/>
      <c r="D105" s="4">
        <f t="shared" ref="D105:Q105" si="43">SUM(D92:D104)</f>
        <v>140087</v>
      </c>
      <c r="E105" s="12">
        <f t="shared" si="43"/>
        <v>13238702</v>
      </c>
      <c r="F105" s="4">
        <f t="shared" si="43"/>
        <v>12773</v>
      </c>
      <c r="G105" s="12">
        <f t="shared" si="43"/>
        <v>2114979</v>
      </c>
      <c r="H105" s="4">
        <f t="shared" si="43"/>
        <v>2342002</v>
      </c>
      <c r="I105" s="12">
        <f t="shared" si="43"/>
        <v>380833398</v>
      </c>
      <c r="J105" s="4">
        <f t="shared" si="43"/>
        <v>356086</v>
      </c>
      <c r="K105" s="12">
        <f t="shared" si="43"/>
        <v>71524091</v>
      </c>
      <c r="L105" s="4">
        <f t="shared" si="43"/>
        <v>63405</v>
      </c>
      <c r="M105" s="12">
        <f t="shared" si="43"/>
        <v>10019653</v>
      </c>
      <c r="N105" s="4">
        <f t="shared" si="43"/>
        <v>21</v>
      </c>
      <c r="O105" s="12">
        <f t="shared" si="43"/>
        <v>3915</v>
      </c>
      <c r="P105" s="4">
        <f t="shared" si="43"/>
        <v>2914374</v>
      </c>
      <c r="Q105" s="12">
        <f t="shared" si="43"/>
        <v>477734738</v>
      </c>
      <c r="U105" s="16">
        <f>+(D105+F105)/P105</f>
        <v>5.2450371846578372E-2</v>
      </c>
      <c r="V105" s="16">
        <f>1-U105</f>
        <v>0.94754962815342159</v>
      </c>
      <c r="W105" s="16">
        <f>+H105/P105</f>
        <v>0.80360379278706162</v>
      </c>
      <c r="X105" s="16">
        <f>+J105/P105</f>
        <v>0.12218267113280588</v>
      </c>
      <c r="Y105" s="16">
        <f>+L105/P105</f>
        <v>2.1755958569490395E-2</v>
      </c>
      <c r="Z105" s="16">
        <f>+N105/P105</f>
        <v>7.2056640637063053E-6</v>
      </c>
      <c r="AB105" s="12">
        <f>AVERAGE(AB92:AB104)</f>
        <v>124764.61500000001</v>
      </c>
      <c r="AC105" s="12">
        <f>AVERAGE(AC92:AC104)</f>
        <v>0.63922720438527114</v>
      </c>
      <c r="AD105" s="12">
        <f>AVERAGE(AD92:AD104)</f>
        <v>230968.6020833333</v>
      </c>
      <c r="AE105" s="16">
        <f>AVERAGE(AE92:AE104)</f>
        <v>7.2767009463153495E-3</v>
      </c>
    </row>
    <row r="106" spans="1:34" x14ac:dyDescent="0.25">
      <c r="K106" s="9">
        <f>+K105/12</f>
        <v>5960340.916666667</v>
      </c>
      <c r="L106" s="9"/>
      <c r="N106"/>
    </row>
    <row r="107" spans="1:34" x14ac:dyDescent="0.25">
      <c r="B107" s="5" t="s">
        <v>14</v>
      </c>
      <c r="L107" s="9"/>
      <c r="N107"/>
    </row>
    <row r="108" spans="1:34" x14ac:dyDescent="0.25">
      <c r="B108" s="5" t="s">
        <v>35</v>
      </c>
      <c r="L108" s="9"/>
      <c r="N108"/>
    </row>
    <row r="109" spans="1:34" x14ac:dyDescent="0.25">
      <c r="B109" s="5"/>
      <c r="L109" s="9"/>
      <c r="N109"/>
    </row>
    <row r="110" spans="1:34" x14ac:dyDescent="0.25">
      <c r="D110" s="89" t="s">
        <v>15</v>
      </c>
      <c r="E110" s="90"/>
      <c r="F110" s="89" t="s">
        <v>16</v>
      </c>
      <c r="G110" s="90"/>
      <c r="H110" s="89" t="s">
        <v>17</v>
      </c>
      <c r="I110" s="93"/>
      <c r="J110" s="89" t="s">
        <v>18</v>
      </c>
      <c r="K110" s="93"/>
      <c r="L110" s="89" t="s">
        <v>13</v>
      </c>
      <c r="M110" s="93"/>
      <c r="N110" s="89" t="s">
        <v>34</v>
      </c>
      <c r="O110" s="93"/>
      <c r="P110" s="89" t="s">
        <v>46</v>
      </c>
      <c r="Q110" s="90"/>
      <c r="R110" s="89" t="s">
        <v>12</v>
      </c>
      <c r="S110" s="93"/>
      <c r="U110" s="94" t="s">
        <v>42</v>
      </c>
      <c r="V110" s="94"/>
      <c r="W110" s="94"/>
      <c r="X110" s="94"/>
      <c r="Y110" s="94"/>
      <c r="Z110" s="94"/>
    </row>
    <row r="111" spans="1:34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U111" s="7" t="s">
        <v>38</v>
      </c>
      <c r="V111" s="10" t="s">
        <v>39</v>
      </c>
      <c r="W111" s="10" t="s">
        <v>40</v>
      </c>
      <c r="X111" s="10" t="s">
        <v>18</v>
      </c>
      <c r="Y111" s="10" t="s">
        <v>13</v>
      </c>
      <c r="Z111" s="10" t="s">
        <v>41</v>
      </c>
    </row>
    <row r="112" spans="1:34" x14ac:dyDescent="0.25">
      <c r="P112" s="9"/>
      <c r="S112" s="9"/>
      <c r="V112" s="9"/>
    </row>
    <row r="113" spans="2:31" x14ac:dyDescent="0.25">
      <c r="B113" s="2" t="s">
        <v>5</v>
      </c>
      <c r="C113" s="2">
        <v>2019</v>
      </c>
      <c r="D113" s="1">
        <v>15933</v>
      </c>
      <c r="E113" s="11">
        <v>1308036</v>
      </c>
      <c r="F113" s="1">
        <v>1518</v>
      </c>
      <c r="G113" s="11">
        <v>171495</v>
      </c>
      <c r="H113" s="1">
        <v>215382</v>
      </c>
      <c r="I113" s="11">
        <v>26123385</v>
      </c>
      <c r="J113" s="1">
        <v>69080</v>
      </c>
      <c r="K113" s="11">
        <v>7922326</v>
      </c>
      <c r="L113" s="1">
        <v>14773</v>
      </c>
      <c r="M113" s="11">
        <v>1713665</v>
      </c>
      <c r="N113" s="1">
        <v>0</v>
      </c>
      <c r="O113" s="11">
        <v>0</v>
      </c>
      <c r="P113" s="1">
        <v>46154</v>
      </c>
      <c r="Q113" s="11">
        <v>2324626</v>
      </c>
      <c r="R113" s="1">
        <f t="shared" ref="R113:S124" si="44">L113+J113+H113+F113+D113+N113+P113</f>
        <v>362840</v>
      </c>
      <c r="S113" s="11">
        <f t="shared" si="44"/>
        <v>39563533</v>
      </c>
      <c r="U113" s="17">
        <f t="shared" ref="U113:U124" si="45">+(D113+F113)/P113</f>
        <v>0.37810373965420113</v>
      </c>
      <c r="V113" s="17">
        <f t="shared" ref="V113:V124" si="46">1-U113</f>
        <v>0.62189626034579892</v>
      </c>
      <c r="W113" s="17">
        <f t="shared" ref="W113:W124" si="47">+H113/P113</f>
        <v>4.6665944446851846</v>
      </c>
      <c r="X113" s="17">
        <f t="shared" ref="X113:X124" si="48">+J113/P113</f>
        <v>1.4967283442388526</v>
      </c>
      <c r="Y113" s="17">
        <f t="shared" ref="Y113:Y124" si="49">+L113/P113</f>
        <v>0.32008059973133424</v>
      </c>
      <c r="Z113" s="17">
        <f t="shared" ref="Z113:Z124" si="50">+N113/P113</f>
        <v>0</v>
      </c>
      <c r="AB113" s="30">
        <v>137562.37</v>
      </c>
      <c r="AC113" s="30">
        <f t="shared" ref="AC113:AC124" si="51">+AB113/H113</f>
        <v>0.63869018766656449</v>
      </c>
      <c r="AD113" s="31">
        <v>193199.48249999998</v>
      </c>
      <c r="AE113" s="32">
        <f t="shared" ref="AE113:AE124" si="52">+AD113/I113</f>
        <v>7.3956526881948864E-3</v>
      </c>
    </row>
    <row r="114" spans="2:31" x14ac:dyDescent="0.25">
      <c r="B114" s="2" t="s">
        <v>6</v>
      </c>
      <c r="C114" s="2">
        <v>2019</v>
      </c>
      <c r="D114" s="1">
        <v>14894</v>
      </c>
      <c r="E114" s="11">
        <v>1347382</v>
      </c>
      <c r="F114" s="1">
        <v>1554</v>
      </c>
      <c r="G114" s="11">
        <v>169981</v>
      </c>
      <c r="H114" s="1">
        <v>201461</v>
      </c>
      <c r="I114" s="11">
        <v>26645605</v>
      </c>
      <c r="J114" s="1">
        <v>60534</v>
      </c>
      <c r="K114" s="11">
        <v>7570988</v>
      </c>
      <c r="L114" s="1">
        <v>14417</v>
      </c>
      <c r="M114" s="11">
        <v>1847815</v>
      </c>
      <c r="N114" s="1">
        <v>1</v>
      </c>
      <c r="O114" s="11">
        <v>93</v>
      </c>
      <c r="P114" s="1">
        <v>45186</v>
      </c>
      <c r="Q114" s="11">
        <v>2495887</v>
      </c>
      <c r="R114" s="1">
        <f t="shared" si="44"/>
        <v>338047</v>
      </c>
      <c r="S114" s="11">
        <f t="shared" si="44"/>
        <v>40077751</v>
      </c>
      <c r="U114" s="17">
        <f t="shared" si="45"/>
        <v>0.36400655070154475</v>
      </c>
      <c r="V114" s="17">
        <f t="shared" si="46"/>
        <v>0.63599344929845525</v>
      </c>
      <c r="W114" s="17">
        <f t="shared" si="47"/>
        <v>4.4584827158854514</v>
      </c>
      <c r="X114" s="17">
        <f t="shared" si="48"/>
        <v>1.3396627273934405</v>
      </c>
      <c r="Y114" s="17">
        <f t="shared" si="49"/>
        <v>0.31905900057539949</v>
      </c>
      <c r="Z114" s="17">
        <f t="shared" si="50"/>
        <v>2.2130748461912981E-5</v>
      </c>
      <c r="AB114" s="30">
        <v>128281.3</v>
      </c>
      <c r="AC114" s="30">
        <f t="shared" si="51"/>
        <v>0.63675500469073421</v>
      </c>
      <c r="AD114" s="31">
        <v>198336.16250000001</v>
      </c>
      <c r="AE114" s="32">
        <f t="shared" si="52"/>
        <v>7.4434850512870698E-3</v>
      </c>
    </row>
    <row r="115" spans="2:31" x14ac:dyDescent="0.25">
      <c r="B115" s="2" t="s">
        <v>7</v>
      </c>
      <c r="C115" s="2">
        <v>2019</v>
      </c>
      <c r="D115" s="1">
        <v>18036</v>
      </c>
      <c r="E115" s="11">
        <v>1692365</v>
      </c>
      <c r="F115" s="1">
        <v>1765</v>
      </c>
      <c r="G115" s="11">
        <v>206391</v>
      </c>
      <c r="H115" s="1">
        <v>233294</v>
      </c>
      <c r="I115" s="11">
        <v>31208118</v>
      </c>
      <c r="J115" s="1">
        <v>68729</v>
      </c>
      <c r="K115" s="11">
        <v>8797839</v>
      </c>
      <c r="L115" s="1">
        <v>16236</v>
      </c>
      <c r="M115" s="11">
        <v>2044725</v>
      </c>
      <c r="N115" s="1">
        <v>0</v>
      </c>
      <c r="O115" s="11">
        <v>0</v>
      </c>
      <c r="P115" s="1">
        <v>47855</v>
      </c>
      <c r="Q115" s="11">
        <v>2658696</v>
      </c>
      <c r="R115" s="1">
        <f t="shared" si="44"/>
        <v>385915</v>
      </c>
      <c r="S115" s="11">
        <f t="shared" si="44"/>
        <v>46608134</v>
      </c>
      <c r="U115" s="17">
        <f t="shared" si="45"/>
        <v>0.41377076585518757</v>
      </c>
      <c r="V115" s="17">
        <f t="shared" si="46"/>
        <v>0.58622923414481243</v>
      </c>
      <c r="W115" s="17">
        <f t="shared" si="47"/>
        <v>4.8750182844007943</v>
      </c>
      <c r="X115" s="17">
        <f t="shared" si="48"/>
        <v>1.4361926653432244</v>
      </c>
      <c r="Y115" s="17">
        <f t="shared" si="49"/>
        <v>0.33927489290565249</v>
      </c>
      <c r="Z115" s="17">
        <f t="shared" si="50"/>
        <v>0</v>
      </c>
      <c r="AB115" s="30">
        <v>147675.78000000003</v>
      </c>
      <c r="AC115" s="30">
        <f t="shared" si="51"/>
        <v>0.63300290620418886</v>
      </c>
      <c r="AD115" s="31">
        <v>234550.02249999999</v>
      </c>
      <c r="AE115" s="32">
        <f t="shared" si="52"/>
        <v>7.5156734058747145E-3</v>
      </c>
    </row>
    <row r="116" spans="2:31" x14ac:dyDescent="0.25">
      <c r="B116" s="2" t="s">
        <v>8</v>
      </c>
      <c r="C116" s="2">
        <v>2019</v>
      </c>
      <c r="D116" s="1">
        <v>19771</v>
      </c>
      <c r="E116" s="11">
        <v>1800288</v>
      </c>
      <c r="F116" s="1">
        <v>1844</v>
      </c>
      <c r="G116" s="11">
        <v>204222</v>
      </c>
      <c r="H116" s="1">
        <v>235370</v>
      </c>
      <c r="I116" s="11">
        <v>30791790</v>
      </c>
      <c r="J116" s="1">
        <v>70394</v>
      </c>
      <c r="K116" s="11">
        <v>8937674</v>
      </c>
      <c r="L116" s="1">
        <v>16361</v>
      </c>
      <c r="M116" s="11">
        <v>2076267</v>
      </c>
      <c r="N116" s="1">
        <v>0</v>
      </c>
      <c r="O116" s="11">
        <v>0</v>
      </c>
      <c r="P116" s="1">
        <v>46591</v>
      </c>
      <c r="Q116" s="11">
        <v>2592599</v>
      </c>
      <c r="R116" s="1">
        <f t="shared" si="44"/>
        <v>390331</v>
      </c>
      <c r="S116" s="11">
        <f t="shared" si="44"/>
        <v>46402840</v>
      </c>
      <c r="U116" s="17">
        <f t="shared" si="45"/>
        <v>0.46393080208623982</v>
      </c>
      <c r="V116" s="17">
        <f t="shared" si="46"/>
        <v>0.53606919791376018</v>
      </c>
      <c r="W116" s="17">
        <f t="shared" si="47"/>
        <v>5.0518340452018631</v>
      </c>
      <c r="X116" s="17">
        <f t="shared" si="48"/>
        <v>1.5108926616728553</v>
      </c>
      <c r="Y116" s="17">
        <f t="shared" si="49"/>
        <v>0.35116224163465048</v>
      </c>
      <c r="Z116" s="17">
        <f t="shared" si="50"/>
        <v>0</v>
      </c>
      <c r="AB116" s="30">
        <v>149269.14000000001</v>
      </c>
      <c r="AC116" s="30">
        <f t="shared" si="51"/>
        <v>0.63418931894464037</v>
      </c>
      <c r="AD116" s="31">
        <v>233835.54749999999</v>
      </c>
      <c r="AE116" s="32">
        <f t="shared" si="52"/>
        <v>7.5940874986481785E-3</v>
      </c>
    </row>
    <row r="117" spans="2:31" x14ac:dyDescent="0.25">
      <c r="B117" s="2" t="s">
        <v>9</v>
      </c>
      <c r="C117" s="2">
        <v>2019</v>
      </c>
      <c r="D117" s="1">
        <v>18825</v>
      </c>
      <c r="E117" s="11">
        <v>1747272</v>
      </c>
      <c r="F117" s="1">
        <v>1631</v>
      </c>
      <c r="G117" s="11">
        <v>196330</v>
      </c>
      <c r="H117" s="1">
        <v>243258</v>
      </c>
      <c r="I117" s="11">
        <v>32947601</v>
      </c>
      <c r="J117" s="1">
        <v>70810</v>
      </c>
      <c r="K117" s="11">
        <v>8945837</v>
      </c>
      <c r="L117" s="1">
        <v>16609</v>
      </c>
      <c r="M117" s="11">
        <v>2076834</v>
      </c>
      <c r="N117" s="1">
        <v>2</v>
      </c>
      <c r="O117" s="11">
        <v>221</v>
      </c>
      <c r="P117" s="1">
        <v>46426</v>
      </c>
      <c r="Q117" s="11">
        <v>2569759</v>
      </c>
      <c r="R117" s="1">
        <f t="shared" si="44"/>
        <v>397561</v>
      </c>
      <c r="S117" s="11">
        <f t="shared" si="44"/>
        <v>48483854</v>
      </c>
      <c r="U117" s="17">
        <f t="shared" si="45"/>
        <v>0.4406151725326326</v>
      </c>
      <c r="V117" s="17">
        <f t="shared" si="46"/>
        <v>0.5593848274673674</v>
      </c>
      <c r="W117" s="17">
        <f t="shared" si="47"/>
        <v>5.2396932753198637</v>
      </c>
      <c r="X117" s="17">
        <f t="shared" si="48"/>
        <v>1.5252229354241158</v>
      </c>
      <c r="Y117" s="17">
        <f t="shared" si="49"/>
        <v>0.35775212165596865</v>
      </c>
      <c r="Z117" s="17">
        <f t="shared" si="50"/>
        <v>4.3079309007883516E-5</v>
      </c>
      <c r="AB117" s="30">
        <v>153739.95000000001</v>
      </c>
      <c r="AC117" s="30">
        <f t="shared" si="51"/>
        <v>0.63200367511037669</v>
      </c>
      <c r="AD117" s="31">
        <v>251014.14499999999</v>
      </c>
      <c r="AE117" s="32">
        <f t="shared" si="52"/>
        <v>7.6185864033014115E-3</v>
      </c>
    </row>
    <row r="118" spans="2:31" x14ac:dyDescent="0.25">
      <c r="B118" s="2" t="s">
        <v>10</v>
      </c>
      <c r="C118" s="2">
        <v>2019</v>
      </c>
      <c r="D118" s="1">
        <v>22188</v>
      </c>
      <c r="E118" s="11">
        <v>1874523</v>
      </c>
      <c r="F118" s="1">
        <v>1248</v>
      </c>
      <c r="G118" s="11">
        <v>146193</v>
      </c>
      <c r="H118" s="1">
        <v>236045</v>
      </c>
      <c r="I118" s="11">
        <v>32200139</v>
      </c>
      <c r="J118" s="1">
        <v>66252</v>
      </c>
      <c r="K118" s="11">
        <v>8450925</v>
      </c>
      <c r="L118" s="1">
        <v>16238</v>
      </c>
      <c r="M118" s="11">
        <v>2056714</v>
      </c>
      <c r="N118" s="1">
        <v>0</v>
      </c>
      <c r="O118" s="11">
        <v>0</v>
      </c>
      <c r="P118" s="1">
        <v>40527</v>
      </c>
      <c r="Q118" s="11">
        <v>2271319</v>
      </c>
      <c r="R118" s="1">
        <f t="shared" si="44"/>
        <v>382498</v>
      </c>
      <c r="S118" s="11">
        <f t="shared" si="44"/>
        <v>46999813</v>
      </c>
      <c r="U118" s="17">
        <f t="shared" si="45"/>
        <v>0.5782811459027315</v>
      </c>
      <c r="V118" s="17">
        <f t="shared" si="46"/>
        <v>0.4217188540972685</v>
      </c>
      <c r="W118" s="17">
        <f t="shared" si="47"/>
        <v>5.82438867915217</v>
      </c>
      <c r="X118" s="17">
        <f t="shared" si="48"/>
        <v>1.6347620105115108</v>
      </c>
      <c r="Y118" s="17">
        <f t="shared" si="49"/>
        <v>0.40067115749993831</v>
      </c>
      <c r="Z118" s="17">
        <f t="shared" si="50"/>
        <v>0</v>
      </c>
      <c r="AB118" s="30">
        <v>145695.1</v>
      </c>
      <c r="AC118" s="30">
        <f t="shared" si="51"/>
        <v>0.61723442563917896</v>
      </c>
      <c r="AD118" s="31">
        <v>244771.77499999999</v>
      </c>
      <c r="AE118" s="32">
        <f t="shared" si="52"/>
        <v>7.6015751050018754E-3</v>
      </c>
    </row>
    <row r="119" spans="2:31" x14ac:dyDescent="0.25">
      <c r="B119" s="2" t="s">
        <v>11</v>
      </c>
      <c r="C119" s="2">
        <v>2019</v>
      </c>
      <c r="D119" s="1">
        <v>21377</v>
      </c>
      <c r="E119" s="11">
        <v>1973194</v>
      </c>
      <c r="F119" s="1">
        <v>1427</v>
      </c>
      <c r="G119" s="11">
        <v>154329</v>
      </c>
      <c r="H119" s="1">
        <v>251478</v>
      </c>
      <c r="I119" s="11">
        <v>34323808</v>
      </c>
      <c r="J119" s="1">
        <v>74027</v>
      </c>
      <c r="K119" s="11">
        <v>9490099</v>
      </c>
      <c r="L119" s="1">
        <v>17337</v>
      </c>
      <c r="M119" s="11">
        <v>2138986</v>
      </c>
      <c r="N119" s="1">
        <v>0</v>
      </c>
      <c r="O119" s="11">
        <v>0</v>
      </c>
      <c r="P119" s="1">
        <v>41494</v>
      </c>
      <c r="Q119" s="11">
        <v>2316260</v>
      </c>
      <c r="R119" s="1">
        <f t="shared" si="44"/>
        <v>407140</v>
      </c>
      <c r="S119" s="11">
        <f t="shared" si="44"/>
        <v>50396676</v>
      </c>
      <c r="U119" s="17">
        <f t="shared" si="45"/>
        <v>0.54957343230346556</v>
      </c>
      <c r="V119" s="17">
        <f t="shared" si="46"/>
        <v>0.45042656769653444</v>
      </c>
      <c r="W119" s="17">
        <f t="shared" si="47"/>
        <v>6.060587072829807</v>
      </c>
      <c r="X119" s="17">
        <f t="shared" si="48"/>
        <v>1.7840410661782427</v>
      </c>
      <c r="Y119" s="17">
        <f t="shared" si="49"/>
        <v>0.41781944377500363</v>
      </c>
      <c r="Z119" s="17">
        <f t="shared" si="50"/>
        <v>0</v>
      </c>
      <c r="AB119" s="30">
        <v>158165.53</v>
      </c>
      <c r="AC119" s="30">
        <f t="shared" si="51"/>
        <v>0.62894380422939578</v>
      </c>
      <c r="AD119" s="31">
        <v>264646.74</v>
      </c>
      <c r="AE119" s="32">
        <f t="shared" si="52"/>
        <v>7.7102965964615583E-3</v>
      </c>
    </row>
    <row r="120" spans="2:31" x14ac:dyDescent="0.25">
      <c r="B120" s="2" t="s">
        <v>4</v>
      </c>
      <c r="C120" s="2">
        <v>2019</v>
      </c>
      <c r="D120" s="1">
        <v>19756</v>
      </c>
      <c r="E120" s="11">
        <v>1867484</v>
      </c>
      <c r="F120" s="1">
        <v>996</v>
      </c>
      <c r="G120" s="11">
        <v>84415</v>
      </c>
      <c r="H120" s="1">
        <v>244470</v>
      </c>
      <c r="I120" s="11">
        <v>33667259</v>
      </c>
      <c r="J120" s="1">
        <v>70421</v>
      </c>
      <c r="K120" s="11">
        <v>9260502</v>
      </c>
      <c r="L120" s="1">
        <v>17419</v>
      </c>
      <c r="M120" s="11">
        <v>2145134</v>
      </c>
      <c r="N120" s="1">
        <v>4</v>
      </c>
      <c r="O120" s="11">
        <v>358</v>
      </c>
      <c r="P120" s="1">
        <v>35722</v>
      </c>
      <c r="Q120" s="11">
        <v>1991929</v>
      </c>
      <c r="R120" s="1">
        <f t="shared" si="44"/>
        <v>388788</v>
      </c>
      <c r="S120" s="11">
        <f t="shared" si="44"/>
        <v>49017081</v>
      </c>
      <c r="U120" s="17">
        <f t="shared" si="45"/>
        <v>0.58093051900789427</v>
      </c>
      <c r="V120" s="17">
        <f t="shared" si="46"/>
        <v>0.41906948099210573</v>
      </c>
      <c r="W120" s="17">
        <f t="shared" si="47"/>
        <v>6.8436817647388164</v>
      </c>
      <c r="X120" s="17">
        <f t="shared" si="48"/>
        <v>1.971362185767874</v>
      </c>
      <c r="Y120" s="17">
        <f t="shared" si="49"/>
        <v>0.48762667263871001</v>
      </c>
      <c r="Z120" s="17">
        <f t="shared" si="50"/>
        <v>1.1197581322434354E-4</v>
      </c>
      <c r="AB120" s="30">
        <v>155699.73000000001</v>
      </c>
      <c r="AC120" s="30">
        <f t="shared" si="51"/>
        <v>0.63688685728310224</v>
      </c>
      <c r="AD120" s="31">
        <v>252097.1225</v>
      </c>
      <c r="AE120" s="32">
        <f t="shared" si="52"/>
        <v>7.4879015989985998E-3</v>
      </c>
    </row>
    <row r="121" spans="2:31" x14ac:dyDescent="0.25">
      <c r="B121" s="2" t="s">
        <v>28</v>
      </c>
      <c r="C121" s="2">
        <v>2019</v>
      </c>
      <c r="D121" s="1">
        <v>19770</v>
      </c>
      <c r="E121" s="11">
        <v>1827138</v>
      </c>
      <c r="F121" s="1">
        <v>967</v>
      </c>
      <c r="G121" s="11">
        <v>74719</v>
      </c>
      <c r="H121" s="1">
        <v>235035</v>
      </c>
      <c r="I121" s="11">
        <v>32219439</v>
      </c>
      <c r="J121" s="1">
        <v>72491</v>
      </c>
      <c r="K121" s="11">
        <v>9319972</v>
      </c>
      <c r="L121" s="1">
        <v>16939</v>
      </c>
      <c r="M121" s="11">
        <v>2047896</v>
      </c>
      <c r="N121" s="1">
        <v>0</v>
      </c>
      <c r="O121" s="11">
        <v>0</v>
      </c>
      <c r="P121" s="1">
        <v>42261</v>
      </c>
      <c r="Q121" s="11">
        <v>2424172</v>
      </c>
      <c r="R121" s="1">
        <f t="shared" si="44"/>
        <v>387463</v>
      </c>
      <c r="S121" s="11">
        <f t="shared" si="44"/>
        <v>47913336</v>
      </c>
      <c r="U121" s="17">
        <f t="shared" si="45"/>
        <v>0.49068881474645654</v>
      </c>
      <c r="V121" s="17">
        <f t="shared" si="46"/>
        <v>0.50931118525354346</v>
      </c>
      <c r="W121" s="17">
        <f t="shared" si="47"/>
        <v>5.5615106126215661</v>
      </c>
      <c r="X121" s="17">
        <f t="shared" si="48"/>
        <v>1.7153167222734909</v>
      </c>
      <c r="Y121" s="17">
        <f t="shared" si="49"/>
        <v>0.40081872175291638</v>
      </c>
      <c r="Z121" s="17">
        <f t="shared" si="50"/>
        <v>0</v>
      </c>
      <c r="AB121" s="30">
        <v>149972.31</v>
      </c>
      <c r="AC121" s="30">
        <f t="shared" si="51"/>
        <v>0.63808500861573803</v>
      </c>
      <c r="AD121" s="31">
        <v>241318.66</v>
      </c>
      <c r="AE121" s="32">
        <f t="shared" si="52"/>
        <v>7.4898467350719544E-3</v>
      </c>
    </row>
    <row r="122" spans="2:31" x14ac:dyDescent="0.25">
      <c r="B122" s="2" t="s">
        <v>29</v>
      </c>
      <c r="C122" s="2">
        <v>2019</v>
      </c>
      <c r="D122" s="1">
        <v>20311</v>
      </c>
      <c r="E122" s="11">
        <v>1915116</v>
      </c>
      <c r="F122" s="1">
        <v>1111</v>
      </c>
      <c r="G122" s="11">
        <v>88075</v>
      </c>
      <c r="H122" s="1">
        <v>250374</v>
      </c>
      <c r="I122" s="11">
        <v>34631001</v>
      </c>
      <c r="J122" s="1">
        <v>72290</v>
      </c>
      <c r="K122" s="11">
        <v>9454414</v>
      </c>
      <c r="L122" s="1">
        <v>18626</v>
      </c>
      <c r="M122" s="11">
        <v>2259329</v>
      </c>
      <c r="N122" s="1">
        <v>1</v>
      </c>
      <c r="O122" s="11">
        <v>47</v>
      </c>
      <c r="P122" s="1">
        <v>44301</v>
      </c>
      <c r="Q122" s="11">
        <v>2513600</v>
      </c>
      <c r="R122" s="1">
        <f t="shared" si="44"/>
        <v>407014</v>
      </c>
      <c r="S122" s="11">
        <f t="shared" si="44"/>
        <v>50861582</v>
      </c>
      <c r="U122" s="17">
        <f t="shared" si="45"/>
        <v>0.48355567594410959</v>
      </c>
      <c r="V122" s="17">
        <f t="shared" si="46"/>
        <v>0.51644432405589047</v>
      </c>
      <c r="W122" s="17">
        <f t="shared" si="47"/>
        <v>5.651655718832532</v>
      </c>
      <c r="X122" s="17">
        <f t="shared" si="48"/>
        <v>1.6317916074129253</v>
      </c>
      <c r="Y122" s="17">
        <f t="shared" si="49"/>
        <v>0.42044197647908627</v>
      </c>
      <c r="Z122" s="17">
        <f t="shared" si="50"/>
        <v>2.2572853885916798E-5</v>
      </c>
      <c r="AB122" s="30">
        <v>159310.15000000002</v>
      </c>
      <c r="AC122" s="30">
        <f t="shared" si="51"/>
        <v>0.63628871208671833</v>
      </c>
      <c r="AD122" s="31">
        <v>261632.11749999999</v>
      </c>
      <c r="AE122" s="32">
        <f t="shared" si="52"/>
        <v>7.5548528758957907E-3</v>
      </c>
    </row>
    <row r="123" spans="2:31" x14ac:dyDescent="0.25">
      <c r="B123" s="2" t="s">
        <v>30</v>
      </c>
      <c r="C123" s="2">
        <v>2019</v>
      </c>
      <c r="D123" s="1">
        <v>17114</v>
      </c>
      <c r="E123" s="11">
        <v>1623356</v>
      </c>
      <c r="F123" s="1">
        <v>1129</v>
      </c>
      <c r="G123" s="11">
        <v>96422</v>
      </c>
      <c r="H123" s="1">
        <v>240959</v>
      </c>
      <c r="I123" s="11">
        <v>33002542</v>
      </c>
      <c r="J123" s="1">
        <v>68041</v>
      </c>
      <c r="K123" s="11">
        <v>8996328</v>
      </c>
      <c r="L123" s="1">
        <v>18115</v>
      </c>
      <c r="M123" s="11">
        <v>2202299</v>
      </c>
      <c r="N123" s="1">
        <v>1</v>
      </c>
      <c r="O123" s="11">
        <v>122</v>
      </c>
      <c r="P123" s="1">
        <v>40203</v>
      </c>
      <c r="Q123" s="11">
        <v>2284112</v>
      </c>
      <c r="R123" s="1">
        <f t="shared" si="44"/>
        <v>385562</v>
      </c>
      <c r="S123" s="11">
        <f t="shared" si="44"/>
        <v>48205181</v>
      </c>
      <c r="U123" s="17">
        <f t="shared" si="45"/>
        <v>0.45377210655921202</v>
      </c>
      <c r="V123" s="17">
        <f t="shared" si="46"/>
        <v>0.54622789344078804</v>
      </c>
      <c r="W123" s="17">
        <f t="shared" si="47"/>
        <v>5.9935576946994003</v>
      </c>
      <c r="X123" s="17">
        <f t="shared" si="48"/>
        <v>1.6924358878690644</v>
      </c>
      <c r="Y123" s="17">
        <f t="shared" si="49"/>
        <v>0.45058826455737133</v>
      </c>
      <c r="Z123" s="17">
        <f t="shared" si="50"/>
        <v>2.4873765639380147E-5</v>
      </c>
      <c r="AB123" s="30">
        <v>154018.19</v>
      </c>
      <c r="AC123" s="30">
        <f t="shared" si="51"/>
        <v>0.63918836814561819</v>
      </c>
      <c r="AD123" s="31">
        <v>248437.62</v>
      </c>
      <c r="AE123" s="32">
        <f t="shared" si="52"/>
        <v>7.5278328560266661E-3</v>
      </c>
    </row>
    <row r="124" spans="2:31" x14ac:dyDescent="0.25">
      <c r="B124" s="2" t="s">
        <v>31</v>
      </c>
      <c r="C124" s="2">
        <v>2019</v>
      </c>
      <c r="D124" s="1">
        <v>19728</v>
      </c>
      <c r="E124" s="11">
        <v>1899332</v>
      </c>
      <c r="F124" s="1">
        <v>1278</v>
      </c>
      <c r="G124" s="11">
        <v>108273</v>
      </c>
      <c r="H124" s="1">
        <v>243716</v>
      </c>
      <c r="I124" s="11">
        <v>33153392</v>
      </c>
      <c r="J124" s="1">
        <v>67534</v>
      </c>
      <c r="K124" s="11">
        <v>9097679</v>
      </c>
      <c r="L124" s="1">
        <v>18754</v>
      </c>
      <c r="M124" s="11">
        <v>2378421</v>
      </c>
      <c r="N124" s="1">
        <v>1</v>
      </c>
      <c r="O124" s="11">
        <v>122</v>
      </c>
      <c r="P124" s="1">
        <v>27051</v>
      </c>
      <c r="Q124" s="11">
        <v>1513140</v>
      </c>
      <c r="R124" s="1">
        <f t="shared" si="44"/>
        <v>378062</v>
      </c>
      <c r="S124" s="11">
        <f t="shared" si="44"/>
        <v>48150359</v>
      </c>
      <c r="U124" s="17">
        <f t="shared" si="45"/>
        <v>0.77653321503826112</v>
      </c>
      <c r="V124" s="17">
        <f t="shared" si="46"/>
        <v>0.22346678496173888</v>
      </c>
      <c r="W124" s="17">
        <f t="shared" si="47"/>
        <v>9.0095005729917563</v>
      </c>
      <c r="X124" s="17">
        <f t="shared" si="48"/>
        <v>2.4965435658570847</v>
      </c>
      <c r="Y124" s="17">
        <f t="shared" si="49"/>
        <v>0.69328305792761824</v>
      </c>
      <c r="Z124" s="17">
        <f t="shared" si="50"/>
        <v>3.6967210084654914E-5</v>
      </c>
      <c r="AB124" s="30">
        <v>153331.25</v>
      </c>
      <c r="AC124" s="30">
        <f t="shared" si="51"/>
        <v>0.62913903888132083</v>
      </c>
      <c r="AD124" s="31">
        <v>254166.45</v>
      </c>
      <c r="AE124" s="32">
        <f t="shared" si="52"/>
        <v>7.6663784508082915E-3</v>
      </c>
    </row>
    <row r="125" spans="2:31" x14ac:dyDescent="0.25">
      <c r="P125" s="9"/>
      <c r="S125" s="9"/>
      <c r="U125" s="18"/>
      <c r="V125" s="19"/>
      <c r="W125" s="18"/>
      <c r="X125" s="18"/>
      <c r="Y125" s="18"/>
      <c r="Z125" s="18"/>
    </row>
    <row r="126" spans="2:31" x14ac:dyDescent="0.25">
      <c r="B126" s="3" t="s">
        <v>12</v>
      </c>
      <c r="C126" s="3"/>
      <c r="D126" s="4">
        <f t="shared" ref="D126:S126" si="53">SUM(D113:D125)</f>
        <v>227703</v>
      </c>
      <c r="E126" s="12">
        <f t="shared" si="53"/>
        <v>20875486</v>
      </c>
      <c r="F126" s="4">
        <f t="shared" si="53"/>
        <v>16468</v>
      </c>
      <c r="G126" s="12">
        <f t="shared" si="53"/>
        <v>1700845</v>
      </c>
      <c r="H126" s="4">
        <f t="shared" si="53"/>
        <v>2830842</v>
      </c>
      <c r="I126" s="12">
        <f t="shared" si="53"/>
        <v>380914079</v>
      </c>
      <c r="J126" s="4">
        <f t="shared" si="53"/>
        <v>830603</v>
      </c>
      <c r="K126" s="12">
        <f t="shared" si="53"/>
        <v>106244583</v>
      </c>
      <c r="L126" s="4">
        <f t="shared" si="53"/>
        <v>201824</v>
      </c>
      <c r="M126" s="12">
        <f t="shared" si="53"/>
        <v>24988085</v>
      </c>
      <c r="N126" s="4">
        <f t="shared" si="53"/>
        <v>10</v>
      </c>
      <c r="O126" s="12">
        <f t="shared" si="53"/>
        <v>963</v>
      </c>
      <c r="P126" s="4">
        <f>SUM(P113:P125)</f>
        <v>503771</v>
      </c>
      <c r="Q126" s="12">
        <f>SUM(Q113:Q125)</f>
        <v>27956099</v>
      </c>
      <c r="R126" s="4">
        <f t="shared" si="53"/>
        <v>4611221</v>
      </c>
      <c r="S126" s="12">
        <f t="shared" si="53"/>
        <v>562680140</v>
      </c>
      <c r="U126" s="16">
        <f>+(D126+F126)/R126</f>
        <v>5.2951485083885592E-2</v>
      </c>
      <c r="V126" s="16">
        <f>1-U126</f>
        <v>0.94704851491611441</v>
      </c>
      <c r="W126" s="16">
        <f>+H126/R126</f>
        <v>0.61390291204867431</v>
      </c>
      <c r="X126" s="16">
        <f>+J126/R126</f>
        <v>0.18012647843163448</v>
      </c>
      <c r="Y126" s="16">
        <f>+L126/R126</f>
        <v>4.3768017191108385E-2</v>
      </c>
      <c r="Z126" s="16">
        <f>+N126/R126</f>
        <v>2.1686230176345918E-6</v>
      </c>
      <c r="AB126" s="12">
        <f>AVERAGE(AB113:AB125)</f>
        <v>149393.40000000002</v>
      </c>
      <c r="AC126" s="12">
        <f>AVERAGE(AC113:AC125)</f>
        <v>0.633367275624798</v>
      </c>
      <c r="AD126" s="12">
        <f>AVERAGE(AD113:AD125)</f>
        <v>239833.82041666668</v>
      </c>
      <c r="AE126" s="16">
        <f>AVERAGE(AE113:AE125)</f>
        <v>7.5505141054642497E-3</v>
      </c>
    </row>
    <row r="127" spans="2:31" x14ac:dyDescent="0.25">
      <c r="K127" s="9">
        <f>+K126/12</f>
        <v>8853715.25</v>
      </c>
    </row>
    <row r="128" spans="2:31" x14ac:dyDescent="0.25">
      <c r="B128" s="5" t="s">
        <v>14</v>
      </c>
    </row>
    <row r="129" spans="1:26" x14ac:dyDescent="0.25">
      <c r="B129" s="5" t="s">
        <v>36</v>
      </c>
    </row>
    <row r="130" spans="1:26" x14ac:dyDescent="0.25">
      <c r="B130" s="5"/>
    </row>
    <row r="131" spans="1:26" x14ac:dyDescent="0.25">
      <c r="D131" s="89" t="s">
        <v>15</v>
      </c>
      <c r="E131" s="90"/>
      <c r="F131" s="89" t="s">
        <v>16</v>
      </c>
      <c r="G131" s="90"/>
      <c r="H131" s="89" t="s">
        <v>17</v>
      </c>
      <c r="I131" s="93"/>
      <c r="J131" s="89" t="s">
        <v>18</v>
      </c>
      <c r="K131" s="93"/>
      <c r="L131" s="89" t="s">
        <v>13</v>
      </c>
      <c r="M131" s="93"/>
      <c r="N131" s="89" t="s">
        <v>34</v>
      </c>
      <c r="O131" s="93"/>
      <c r="P131" s="89" t="s">
        <v>12</v>
      </c>
      <c r="Q131" s="93"/>
      <c r="U131" s="91" t="s">
        <v>42</v>
      </c>
      <c r="V131" s="92"/>
      <c r="W131" s="92"/>
      <c r="X131" s="92"/>
      <c r="Y131" s="92"/>
      <c r="Z131" s="92"/>
    </row>
    <row r="132" spans="1:26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U132" s="7" t="s">
        <v>38</v>
      </c>
      <c r="V132" s="10" t="s">
        <v>39</v>
      </c>
      <c r="W132" s="10" t="s">
        <v>40</v>
      </c>
      <c r="X132" s="10" t="s">
        <v>18</v>
      </c>
      <c r="Y132" s="10" t="s">
        <v>13</v>
      </c>
      <c r="Z132" s="10" t="s">
        <v>41</v>
      </c>
    </row>
    <row r="133" spans="1:26" x14ac:dyDescent="0.25">
      <c r="V133" s="9"/>
    </row>
    <row r="134" spans="1:26" x14ac:dyDescent="0.25">
      <c r="B134" s="2" t="s">
        <v>5</v>
      </c>
      <c r="C134" s="2">
        <v>2019</v>
      </c>
      <c r="D134" s="1">
        <v>2581</v>
      </c>
      <c r="E134" s="11">
        <v>221597</v>
      </c>
      <c r="F134" s="1">
        <v>295</v>
      </c>
      <c r="G134" s="11">
        <v>40379</v>
      </c>
      <c r="H134" s="1"/>
      <c r="I134" s="11"/>
      <c r="J134" s="1"/>
      <c r="K134" s="11"/>
      <c r="L134" s="1">
        <v>4391</v>
      </c>
      <c r="M134" s="11">
        <v>571117</v>
      </c>
      <c r="N134" s="1">
        <v>136</v>
      </c>
      <c r="O134" s="11">
        <v>18308</v>
      </c>
      <c r="P134" s="8">
        <f t="shared" ref="P134:Q145" si="54">L134+J134+H134+F134+D134+N134</f>
        <v>7403</v>
      </c>
      <c r="Q134" s="11">
        <f t="shared" si="54"/>
        <v>851401</v>
      </c>
      <c r="U134" s="17">
        <f>+(D134+F134)/P134</f>
        <v>0.38849115223558017</v>
      </c>
      <c r="V134" s="17">
        <f>1-U134</f>
        <v>0.61150884776441983</v>
      </c>
      <c r="W134" s="17">
        <f>+H134/P134</f>
        <v>0</v>
      </c>
      <c r="X134" s="17">
        <f>+J134/P134</f>
        <v>0</v>
      </c>
      <c r="Y134" s="17">
        <f>+L134/P134</f>
        <v>0.59313791706065111</v>
      </c>
      <c r="Z134" s="17">
        <f>+N134/P134</f>
        <v>1.8370930703768742E-2</v>
      </c>
    </row>
    <row r="135" spans="1:26" x14ac:dyDescent="0.25">
      <c r="B135" s="2" t="s">
        <v>6</v>
      </c>
      <c r="C135" s="2">
        <v>2019</v>
      </c>
      <c r="D135" s="1">
        <v>2521</v>
      </c>
      <c r="E135" s="11">
        <v>228019</v>
      </c>
      <c r="F135" s="1">
        <v>348</v>
      </c>
      <c r="G135" s="11">
        <v>45544</v>
      </c>
      <c r="H135" s="1"/>
      <c r="I135" s="11"/>
      <c r="J135" s="1"/>
      <c r="K135" s="11"/>
      <c r="L135" s="1">
        <v>4207</v>
      </c>
      <c r="M135" s="11">
        <v>594878</v>
      </c>
      <c r="N135" s="1">
        <v>135</v>
      </c>
      <c r="O135" s="11">
        <v>18816</v>
      </c>
      <c r="P135" s="8">
        <f t="shared" si="54"/>
        <v>7211</v>
      </c>
      <c r="Q135" s="11">
        <f t="shared" si="54"/>
        <v>887257</v>
      </c>
      <c r="U135" s="17">
        <f>+(D135+F135)/P135</f>
        <v>0.39786437387324919</v>
      </c>
      <c r="V135" s="17">
        <f>1-U135</f>
        <v>0.60213562612675076</v>
      </c>
      <c r="W135" s="17">
        <f>+H135/P135</f>
        <v>0</v>
      </c>
      <c r="X135" s="17">
        <f>+J135/P135</f>
        <v>0</v>
      </c>
      <c r="Y135" s="17">
        <f>+L135/P135</f>
        <v>0.58341422826237688</v>
      </c>
      <c r="Z135" s="17">
        <f>+N135/P135</f>
        <v>1.8721397864373872E-2</v>
      </c>
    </row>
    <row r="136" spans="1:26" x14ac:dyDescent="0.25">
      <c r="B136" s="2" t="s">
        <v>7</v>
      </c>
      <c r="C136" s="2">
        <v>2019</v>
      </c>
      <c r="D136" s="1">
        <v>2854</v>
      </c>
      <c r="E136" s="11">
        <v>251479</v>
      </c>
      <c r="F136" s="1">
        <v>382</v>
      </c>
      <c r="G136" s="11">
        <v>49344</v>
      </c>
      <c r="H136" s="1"/>
      <c r="I136" s="11"/>
      <c r="J136" s="1"/>
      <c r="K136" s="11"/>
      <c r="L136" s="1">
        <v>3924</v>
      </c>
      <c r="M136" s="11">
        <v>515280</v>
      </c>
      <c r="N136" s="1">
        <v>185</v>
      </c>
      <c r="O136" s="11">
        <v>26249</v>
      </c>
      <c r="P136" s="8">
        <f t="shared" si="54"/>
        <v>7345</v>
      </c>
      <c r="Q136" s="11">
        <f t="shared" si="54"/>
        <v>842352</v>
      </c>
      <c r="U136" s="17">
        <f>+(D136+F136)/P136</f>
        <v>0.44057181756296798</v>
      </c>
      <c r="V136" s="17">
        <f>1-U136</f>
        <v>0.55942818243703196</v>
      </c>
      <c r="W136" s="17">
        <f>+H136/P136</f>
        <v>0</v>
      </c>
      <c r="X136" s="17">
        <f>+J136/P136</f>
        <v>0</v>
      </c>
      <c r="Y136" s="17">
        <f>+L136/P136</f>
        <v>0.53424098025867939</v>
      </c>
      <c r="Z136" s="17">
        <f>+N136/P136</f>
        <v>2.518720217835262E-2</v>
      </c>
    </row>
    <row r="137" spans="1:26" x14ac:dyDescent="0.25">
      <c r="B137" s="2" t="s">
        <v>8</v>
      </c>
      <c r="C137" s="2">
        <v>2019</v>
      </c>
      <c r="D137" s="1">
        <v>3801</v>
      </c>
      <c r="E137" s="11">
        <v>325770</v>
      </c>
      <c r="F137" s="1">
        <v>317</v>
      </c>
      <c r="G137" s="11">
        <v>44983</v>
      </c>
      <c r="H137" s="1"/>
      <c r="I137" s="11"/>
      <c r="J137" s="1"/>
      <c r="K137" s="11"/>
      <c r="L137" s="1">
        <v>3069</v>
      </c>
      <c r="M137" s="11">
        <v>411352</v>
      </c>
      <c r="N137" s="1">
        <v>144</v>
      </c>
      <c r="O137" s="11">
        <v>21724</v>
      </c>
      <c r="P137" s="8">
        <f t="shared" si="54"/>
        <v>7331</v>
      </c>
      <c r="Q137" s="11">
        <f t="shared" si="54"/>
        <v>803829</v>
      </c>
      <c r="U137" s="17">
        <f t="shared" ref="U137:U145" si="55">+(D137+F137)/P137</f>
        <v>0.5617241849679443</v>
      </c>
      <c r="V137" s="17">
        <f t="shared" ref="V137:V145" si="56">1-U137</f>
        <v>0.4382758150320557</v>
      </c>
      <c r="W137" s="17">
        <f t="shared" ref="W137:W145" si="57">+H137/P137</f>
        <v>0</v>
      </c>
      <c r="X137" s="17">
        <f t="shared" ref="X137:X145" si="58">+J137/P137</f>
        <v>0</v>
      </c>
      <c r="Y137" s="17">
        <f t="shared" ref="Y137:Y145" si="59">+L137/P137</f>
        <v>0.41863320147319599</v>
      </c>
      <c r="Z137" s="17">
        <f t="shared" ref="Z137:Z145" si="60">+N137/P137</f>
        <v>1.9642613558859639E-2</v>
      </c>
    </row>
    <row r="138" spans="1:26" x14ac:dyDescent="0.25">
      <c r="B138" s="2" t="s">
        <v>9</v>
      </c>
      <c r="C138" s="2">
        <v>2019</v>
      </c>
      <c r="D138" s="1">
        <v>3585</v>
      </c>
      <c r="E138" s="11">
        <v>308669</v>
      </c>
      <c r="F138" s="1">
        <v>358</v>
      </c>
      <c r="G138" s="11">
        <v>50517</v>
      </c>
      <c r="H138" s="1"/>
      <c r="I138" s="11"/>
      <c r="J138" s="1"/>
      <c r="K138" s="11"/>
      <c r="L138" s="1">
        <v>3526</v>
      </c>
      <c r="M138" s="11">
        <v>483733</v>
      </c>
      <c r="N138" s="1">
        <v>187</v>
      </c>
      <c r="O138" s="11">
        <v>28573</v>
      </c>
      <c r="P138" s="8">
        <f t="shared" si="54"/>
        <v>7656</v>
      </c>
      <c r="Q138" s="11">
        <f t="shared" si="54"/>
        <v>871492</v>
      </c>
      <c r="U138" s="17">
        <f t="shared" si="55"/>
        <v>0.51502089864158829</v>
      </c>
      <c r="V138" s="17">
        <f t="shared" si="56"/>
        <v>0.48497910135841171</v>
      </c>
      <c r="W138" s="17">
        <f t="shared" si="57"/>
        <v>0</v>
      </c>
      <c r="X138" s="17">
        <f t="shared" si="58"/>
        <v>0</v>
      </c>
      <c r="Y138" s="17">
        <f t="shared" si="59"/>
        <v>0.46055381400208989</v>
      </c>
      <c r="Z138" s="17">
        <f t="shared" si="60"/>
        <v>2.442528735632184E-2</v>
      </c>
    </row>
    <row r="139" spans="1:26" x14ac:dyDescent="0.25">
      <c r="B139" s="2" t="s">
        <v>10</v>
      </c>
      <c r="C139" s="2">
        <v>2019</v>
      </c>
      <c r="D139" s="1">
        <v>4009</v>
      </c>
      <c r="E139" s="11">
        <v>364102</v>
      </c>
      <c r="F139" s="1">
        <v>274</v>
      </c>
      <c r="G139" s="11">
        <v>33923</v>
      </c>
      <c r="H139" s="1"/>
      <c r="I139" s="11"/>
      <c r="J139" s="1"/>
      <c r="K139" s="11"/>
      <c r="L139" s="1">
        <v>3508</v>
      </c>
      <c r="M139" s="11">
        <v>473393</v>
      </c>
      <c r="N139" s="1">
        <v>144</v>
      </c>
      <c r="O139" s="11">
        <v>22329</v>
      </c>
      <c r="P139" s="8">
        <f t="shared" si="54"/>
        <v>7935</v>
      </c>
      <c r="Q139" s="11">
        <f t="shared" si="54"/>
        <v>893747</v>
      </c>
      <c r="U139" s="17">
        <f t="shared" si="55"/>
        <v>0.53976055450535598</v>
      </c>
      <c r="V139" s="17">
        <f t="shared" si="56"/>
        <v>0.46023944549464402</v>
      </c>
      <c r="W139" s="17">
        <f t="shared" si="57"/>
        <v>0</v>
      </c>
      <c r="X139" s="17">
        <f t="shared" si="58"/>
        <v>0</v>
      </c>
      <c r="Y139" s="17">
        <f t="shared" si="59"/>
        <v>0.4420919974795211</v>
      </c>
      <c r="Z139" s="17">
        <f t="shared" si="60"/>
        <v>1.8147448015122872E-2</v>
      </c>
    </row>
    <row r="140" spans="1:26" x14ac:dyDescent="0.25">
      <c r="B140" s="2" t="s">
        <v>11</v>
      </c>
      <c r="C140" s="2">
        <v>2019</v>
      </c>
      <c r="D140" s="1">
        <v>4590</v>
      </c>
      <c r="E140" s="11">
        <v>400199</v>
      </c>
      <c r="F140" s="1">
        <v>381</v>
      </c>
      <c r="G140" s="11">
        <v>50177</v>
      </c>
      <c r="H140" s="1"/>
      <c r="I140" s="11"/>
      <c r="J140" s="1"/>
      <c r="K140" s="11"/>
      <c r="L140" s="1">
        <v>3610</v>
      </c>
      <c r="M140" s="11">
        <v>476263</v>
      </c>
      <c r="N140" s="1">
        <v>135</v>
      </c>
      <c r="O140" s="11">
        <v>19886</v>
      </c>
      <c r="P140" s="8">
        <f t="shared" si="54"/>
        <v>8716</v>
      </c>
      <c r="Q140" s="11">
        <f t="shared" si="54"/>
        <v>946525</v>
      </c>
      <c r="U140" s="17">
        <f t="shared" si="55"/>
        <v>0.57033042680128498</v>
      </c>
      <c r="V140" s="17">
        <f t="shared" si="56"/>
        <v>0.42966957319871502</v>
      </c>
      <c r="W140" s="17">
        <f t="shared" si="57"/>
        <v>0</v>
      </c>
      <c r="X140" s="17">
        <f t="shared" si="58"/>
        <v>0</v>
      </c>
      <c r="Y140" s="17">
        <f t="shared" si="59"/>
        <v>0.41418081688848096</v>
      </c>
      <c r="Z140" s="17">
        <f t="shared" si="60"/>
        <v>1.5488756310234053E-2</v>
      </c>
    </row>
    <row r="141" spans="1:26" x14ac:dyDescent="0.25">
      <c r="B141" s="2" t="s">
        <v>4</v>
      </c>
      <c r="C141" s="2">
        <v>2019</v>
      </c>
      <c r="D141" s="1">
        <v>4594</v>
      </c>
      <c r="E141" s="11">
        <v>399647</v>
      </c>
      <c r="F141" s="1">
        <v>380</v>
      </c>
      <c r="G141" s="11">
        <v>49322</v>
      </c>
      <c r="H141" s="1"/>
      <c r="I141" s="11"/>
      <c r="J141" s="1"/>
      <c r="K141" s="11"/>
      <c r="L141" s="1">
        <v>3439</v>
      </c>
      <c r="M141" s="11">
        <v>472688</v>
      </c>
      <c r="N141" s="1">
        <v>136</v>
      </c>
      <c r="O141" s="11">
        <v>20245</v>
      </c>
      <c r="P141" s="8">
        <f t="shared" si="54"/>
        <v>8549</v>
      </c>
      <c r="Q141" s="11">
        <f t="shared" si="54"/>
        <v>941902</v>
      </c>
      <c r="U141" s="17">
        <f t="shared" si="55"/>
        <v>0.58182243537255818</v>
      </c>
      <c r="V141" s="17">
        <f t="shared" si="56"/>
        <v>0.41817756462744182</v>
      </c>
      <c r="W141" s="17">
        <f t="shared" si="57"/>
        <v>0</v>
      </c>
      <c r="X141" s="17">
        <f t="shared" si="58"/>
        <v>0</v>
      </c>
      <c r="Y141" s="17">
        <f t="shared" si="59"/>
        <v>0.40226927125979645</v>
      </c>
      <c r="Z141" s="17">
        <f t="shared" si="60"/>
        <v>1.5908293367645338E-2</v>
      </c>
    </row>
    <row r="142" spans="1:26" x14ac:dyDescent="0.25">
      <c r="B142" s="2" t="s">
        <v>28</v>
      </c>
      <c r="C142" s="2">
        <v>2019</v>
      </c>
      <c r="D142" s="1">
        <v>4180</v>
      </c>
      <c r="E142" s="11">
        <v>370124</v>
      </c>
      <c r="F142" s="1">
        <v>356</v>
      </c>
      <c r="G142" s="11">
        <v>45867</v>
      </c>
      <c r="H142" s="1"/>
      <c r="I142" s="11"/>
      <c r="J142" s="1"/>
      <c r="K142" s="11"/>
      <c r="L142" s="1">
        <v>3376</v>
      </c>
      <c r="M142" s="11">
        <v>452594</v>
      </c>
      <c r="N142" s="1">
        <v>129</v>
      </c>
      <c r="O142" s="11">
        <v>18596</v>
      </c>
      <c r="P142" s="8">
        <f t="shared" si="54"/>
        <v>8041</v>
      </c>
      <c r="Q142" s="11">
        <f t="shared" si="54"/>
        <v>887181</v>
      </c>
      <c r="U142" s="17">
        <f t="shared" si="55"/>
        <v>0.56410894167392112</v>
      </c>
      <c r="V142" s="17">
        <f t="shared" si="56"/>
        <v>0.43589105832607888</v>
      </c>
      <c r="W142" s="17">
        <f t="shared" si="57"/>
        <v>0</v>
      </c>
      <c r="X142" s="17">
        <f t="shared" si="58"/>
        <v>0</v>
      </c>
      <c r="Y142" s="17">
        <f t="shared" si="59"/>
        <v>0.41984827757741572</v>
      </c>
      <c r="Z142" s="17">
        <f t="shared" si="60"/>
        <v>1.6042780748663103E-2</v>
      </c>
    </row>
    <row r="143" spans="1:26" x14ac:dyDescent="0.25">
      <c r="B143" s="2" t="s">
        <v>29</v>
      </c>
      <c r="C143" s="2">
        <v>2019</v>
      </c>
      <c r="D143" s="1">
        <v>4831</v>
      </c>
      <c r="E143" s="11">
        <v>422418</v>
      </c>
      <c r="F143" s="1">
        <v>418</v>
      </c>
      <c r="G143" s="11">
        <v>52970</v>
      </c>
      <c r="H143" s="1"/>
      <c r="I143" s="11"/>
      <c r="J143" s="1"/>
      <c r="K143" s="11"/>
      <c r="L143" s="1">
        <v>3864</v>
      </c>
      <c r="M143" s="11">
        <v>520575</v>
      </c>
      <c r="N143" s="1">
        <v>135</v>
      </c>
      <c r="O143" s="11">
        <v>19272</v>
      </c>
      <c r="P143" s="8">
        <f t="shared" si="54"/>
        <v>9248</v>
      </c>
      <c r="Q143" s="11">
        <f t="shared" si="54"/>
        <v>1015235</v>
      </c>
      <c r="U143" s="17">
        <f t="shared" si="55"/>
        <v>0.56758217993079585</v>
      </c>
      <c r="V143" s="17">
        <f t="shared" si="56"/>
        <v>0.43241782006920415</v>
      </c>
      <c r="W143" s="17">
        <f t="shared" si="57"/>
        <v>0</v>
      </c>
      <c r="X143" s="17">
        <f t="shared" si="58"/>
        <v>0</v>
      </c>
      <c r="Y143" s="17">
        <f t="shared" si="59"/>
        <v>0.41782006920415227</v>
      </c>
      <c r="Z143" s="17">
        <f t="shared" si="60"/>
        <v>1.4597750865051903E-2</v>
      </c>
    </row>
    <row r="144" spans="1:26" x14ac:dyDescent="0.25">
      <c r="B144" s="2" t="s">
        <v>30</v>
      </c>
      <c r="C144" s="2">
        <v>2019</v>
      </c>
      <c r="D144" s="1">
        <v>5409</v>
      </c>
      <c r="E144" s="11">
        <v>474699</v>
      </c>
      <c r="F144" s="1">
        <v>328</v>
      </c>
      <c r="G144" s="11">
        <v>38750</v>
      </c>
      <c r="H144" s="1">
        <v>0</v>
      </c>
      <c r="I144" s="11">
        <v>0</v>
      </c>
      <c r="J144" s="1">
        <v>0</v>
      </c>
      <c r="K144" s="11">
        <v>0</v>
      </c>
      <c r="L144" s="8">
        <v>3668</v>
      </c>
      <c r="M144" s="11">
        <v>500398</v>
      </c>
      <c r="N144" s="8">
        <v>80</v>
      </c>
      <c r="O144" s="11">
        <v>11674</v>
      </c>
      <c r="P144" s="8">
        <f t="shared" si="54"/>
        <v>9485</v>
      </c>
      <c r="Q144" s="11">
        <f t="shared" si="54"/>
        <v>1025521</v>
      </c>
      <c r="U144" s="17">
        <f t="shared" si="55"/>
        <v>0.60484976278334213</v>
      </c>
      <c r="V144" s="17">
        <f t="shared" si="56"/>
        <v>0.39515023721665787</v>
      </c>
      <c r="W144" s="17">
        <f t="shared" si="57"/>
        <v>0</v>
      </c>
      <c r="X144" s="17">
        <f t="shared" si="58"/>
        <v>0</v>
      </c>
      <c r="Y144" s="17">
        <f t="shared" si="59"/>
        <v>0.38671586715867157</v>
      </c>
      <c r="Z144" s="17">
        <f t="shared" si="60"/>
        <v>8.4343700579862946E-3</v>
      </c>
    </row>
    <row r="145" spans="1:26" x14ac:dyDescent="0.25">
      <c r="B145" s="2" t="s">
        <v>31</v>
      </c>
      <c r="C145" s="2">
        <v>2019</v>
      </c>
      <c r="D145" s="1">
        <v>5953</v>
      </c>
      <c r="E145" s="11">
        <v>498673</v>
      </c>
      <c r="F145" s="1">
        <v>342</v>
      </c>
      <c r="G145" s="11">
        <v>44255</v>
      </c>
      <c r="H145" s="1">
        <v>0</v>
      </c>
      <c r="I145" s="11">
        <v>0</v>
      </c>
      <c r="J145" s="8">
        <v>0</v>
      </c>
      <c r="K145" s="11">
        <v>0</v>
      </c>
      <c r="L145" s="8">
        <v>3410</v>
      </c>
      <c r="M145" s="11">
        <v>465070</v>
      </c>
      <c r="N145" s="8">
        <v>39</v>
      </c>
      <c r="O145" s="11">
        <v>5414</v>
      </c>
      <c r="P145" s="8">
        <f t="shared" si="54"/>
        <v>9744</v>
      </c>
      <c r="Q145" s="11">
        <f t="shared" si="54"/>
        <v>1013412</v>
      </c>
      <c r="U145" s="17">
        <f t="shared" si="55"/>
        <v>0.64603858784893264</v>
      </c>
      <c r="V145" s="17">
        <f t="shared" si="56"/>
        <v>0.35396141215106736</v>
      </c>
      <c r="W145" s="17">
        <f t="shared" si="57"/>
        <v>0</v>
      </c>
      <c r="X145" s="17">
        <f t="shared" si="58"/>
        <v>0</v>
      </c>
      <c r="Y145" s="17">
        <f t="shared" si="59"/>
        <v>0.34995894909688013</v>
      </c>
      <c r="Z145" s="17">
        <f t="shared" si="60"/>
        <v>4.0024630541871924E-3</v>
      </c>
    </row>
    <row r="146" spans="1:26" x14ac:dyDescent="0.25">
      <c r="U146" s="18"/>
      <c r="V146" s="19"/>
      <c r="W146" s="18"/>
      <c r="X146" s="18"/>
      <c r="Y146" s="18"/>
      <c r="Z146" s="18"/>
    </row>
    <row r="147" spans="1:26" x14ac:dyDescent="0.25">
      <c r="B147" s="3" t="s">
        <v>12</v>
      </c>
      <c r="C147" s="3"/>
      <c r="D147" s="4">
        <f t="shared" ref="D147:Q147" si="61">SUM(D134:D146)</f>
        <v>48908</v>
      </c>
      <c r="E147" s="12">
        <f t="shared" si="61"/>
        <v>4265396</v>
      </c>
      <c r="F147" s="4">
        <f t="shared" si="61"/>
        <v>4179</v>
      </c>
      <c r="G147" s="12">
        <f t="shared" si="61"/>
        <v>546031</v>
      </c>
      <c r="H147" s="4">
        <f t="shared" si="61"/>
        <v>0</v>
      </c>
      <c r="I147" s="12">
        <f t="shared" si="61"/>
        <v>0</v>
      </c>
      <c r="J147" s="4">
        <f t="shared" si="61"/>
        <v>0</v>
      </c>
      <c r="K147" s="12">
        <f t="shared" si="61"/>
        <v>0</v>
      </c>
      <c r="L147" s="4">
        <f t="shared" si="61"/>
        <v>43992</v>
      </c>
      <c r="M147" s="12">
        <f t="shared" si="61"/>
        <v>5937341</v>
      </c>
      <c r="N147" s="4">
        <f t="shared" si="61"/>
        <v>1585</v>
      </c>
      <c r="O147" s="12">
        <f t="shared" si="61"/>
        <v>231086</v>
      </c>
      <c r="P147" s="4">
        <f t="shared" si="61"/>
        <v>98664</v>
      </c>
      <c r="Q147" s="12">
        <f t="shared" si="61"/>
        <v>10979854</v>
      </c>
      <c r="U147" s="16">
        <f>+(D147+F147)/P147</f>
        <v>0.53805846103948751</v>
      </c>
      <c r="V147" s="16">
        <f>1-U147</f>
        <v>0.46194153896051249</v>
      </c>
      <c r="W147" s="16">
        <f>+H147/P147</f>
        <v>0</v>
      </c>
      <c r="X147" s="16">
        <f>+J147/P147</f>
        <v>0</v>
      </c>
      <c r="Y147" s="16">
        <f>+L147/P147</f>
        <v>0.44587691559231329</v>
      </c>
      <c r="Z147" s="16">
        <f>+N147/P147</f>
        <v>1.6064623368199141E-2</v>
      </c>
    </row>
    <row r="149" spans="1:26" x14ac:dyDescent="0.25">
      <c r="B149" s="5" t="s">
        <v>14</v>
      </c>
    </row>
    <row r="150" spans="1:26" x14ac:dyDescent="0.25">
      <c r="B150" s="5" t="s">
        <v>49</v>
      </c>
    </row>
    <row r="151" spans="1:26" x14ac:dyDescent="0.25">
      <c r="B151" s="5"/>
    </row>
    <row r="152" spans="1:26" x14ac:dyDescent="0.25">
      <c r="D152" s="89" t="s">
        <v>15</v>
      </c>
      <c r="E152" s="90"/>
      <c r="F152" s="89" t="s">
        <v>16</v>
      </c>
      <c r="G152" s="90"/>
      <c r="H152" s="89" t="s">
        <v>17</v>
      </c>
      <c r="I152" s="93"/>
      <c r="J152" s="89" t="s">
        <v>18</v>
      </c>
      <c r="K152" s="93"/>
      <c r="L152" s="89" t="s">
        <v>13</v>
      </c>
      <c r="M152" s="93"/>
      <c r="N152" s="89" t="s">
        <v>34</v>
      </c>
      <c r="O152" s="93"/>
      <c r="P152" s="89" t="s">
        <v>12</v>
      </c>
      <c r="Q152" s="93"/>
      <c r="U152" s="91" t="s">
        <v>42</v>
      </c>
      <c r="V152" s="92"/>
      <c r="W152" s="92"/>
      <c r="X152" s="92"/>
      <c r="Y152" s="92"/>
      <c r="Z152" s="92"/>
    </row>
    <row r="153" spans="1:26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U153" s="7" t="s">
        <v>38</v>
      </c>
      <c r="V153" s="10" t="s">
        <v>39</v>
      </c>
      <c r="W153" s="10" t="s">
        <v>40</v>
      </c>
      <c r="X153" s="10" t="s">
        <v>18</v>
      </c>
      <c r="Y153" s="10" t="s">
        <v>13</v>
      </c>
      <c r="Z153" s="10" t="s">
        <v>41</v>
      </c>
    </row>
    <row r="154" spans="1:26" x14ac:dyDescent="0.25">
      <c r="V154" s="9"/>
    </row>
    <row r="155" spans="1:26" x14ac:dyDescent="0.25">
      <c r="B155" s="2" t="s">
        <v>5</v>
      </c>
      <c r="C155" s="2">
        <v>2019</v>
      </c>
      <c r="D155" s="1"/>
      <c r="E155" s="11"/>
      <c r="F155" s="1"/>
      <c r="G155" s="11"/>
      <c r="H155" s="1"/>
      <c r="I155" s="11"/>
      <c r="J155" s="1"/>
      <c r="K155" s="11"/>
      <c r="L155" s="1"/>
      <c r="M155" s="11"/>
      <c r="N155" s="1"/>
      <c r="O155" s="11"/>
      <c r="P155" s="8">
        <f t="shared" ref="P155:P166" si="62">L155+J155+H155+F155+D155+N155</f>
        <v>0</v>
      </c>
      <c r="Q155" s="11">
        <f t="shared" ref="Q155:Q166" si="63">M155+K155+I155+G155+E155+O155</f>
        <v>0</v>
      </c>
      <c r="U155" s="17" t="e">
        <f>+(D155+F155)/P155</f>
        <v>#DIV/0!</v>
      </c>
      <c r="V155" s="17" t="e">
        <f t="shared" ref="V155:V166" si="64">1-U155</f>
        <v>#DIV/0!</v>
      </c>
      <c r="W155" s="17" t="e">
        <f>+H155/P155</f>
        <v>#DIV/0!</v>
      </c>
      <c r="X155" s="17" t="e">
        <f>+J155/P155</f>
        <v>#DIV/0!</v>
      </c>
      <c r="Y155" s="17" t="e">
        <f>+L155/P155</f>
        <v>#DIV/0!</v>
      </c>
      <c r="Z155" s="17" t="e">
        <f>+N155/P155</f>
        <v>#DIV/0!</v>
      </c>
    </row>
    <row r="156" spans="1:26" x14ac:dyDescent="0.25">
      <c r="B156" s="2" t="s">
        <v>6</v>
      </c>
      <c r="C156" s="2">
        <v>2019</v>
      </c>
      <c r="D156" s="1"/>
      <c r="E156" s="11"/>
      <c r="F156" s="1"/>
      <c r="G156" s="11"/>
      <c r="H156" s="1"/>
      <c r="I156" s="11"/>
      <c r="J156" s="1"/>
      <c r="K156" s="11"/>
      <c r="L156" s="1"/>
      <c r="M156" s="11"/>
      <c r="N156" s="1"/>
      <c r="O156" s="11"/>
      <c r="P156" s="8">
        <f t="shared" si="62"/>
        <v>0</v>
      </c>
      <c r="Q156" s="11">
        <f t="shared" si="63"/>
        <v>0</v>
      </c>
      <c r="U156" s="17" t="e">
        <f>+(D156+F156)/P156</f>
        <v>#DIV/0!</v>
      </c>
      <c r="V156" s="17" t="e">
        <f t="shared" si="64"/>
        <v>#DIV/0!</v>
      </c>
      <c r="W156" s="17" t="e">
        <f>+H156/P156</f>
        <v>#DIV/0!</v>
      </c>
      <c r="X156" s="17" t="e">
        <f>+J156/P156</f>
        <v>#DIV/0!</v>
      </c>
      <c r="Y156" s="17" t="e">
        <f>+L156/P156</f>
        <v>#DIV/0!</v>
      </c>
      <c r="Z156" s="17" t="e">
        <f>+N156/P156</f>
        <v>#DIV/0!</v>
      </c>
    </row>
    <row r="157" spans="1:26" x14ac:dyDescent="0.25">
      <c r="B157" s="2" t="s">
        <v>7</v>
      </c>
      <c r="C157" s="2">
        <v>2019</v>
      </c>
      <c r="D157" s="1"/>
      <c r="E157" s="11"/>
      <c r="F157" s="1"/>
      <c r="G157" s="11"/>
      <c r="H157" s="1"/>
      <c r="I157" s="11"/>
      <c r="J157" s="1"/>
      <c r="K157" s="11"/>
      <c r="L157" s="1"/>
      <c r="M157" s="11"/>
      <c r="N157" s="1"/>
      <c r="O157" s="11"/>
      <c r="P157" s="8">
        <f t="shared" si="62"/>
        <v>0</v>
      </c>
      <c r="Q157" s="11">
        <f t="shared" si="63"/>
        <v>0</v>
      </c>
      <c r="U157" s="17" t="e">
        <f>+(D157+F157)/P157</f>
        <v>#DIV/0!</v>
      </c>
      <c r="V157" s="17" t="e">
        <f t="shared" si="64"/>
        <v>#DIV/0!</v>
      </c>
      <c r="W157" s="17" t="e">
        <f>+H157/P157</f>
        <v>#DIV/0!</v>
      </c>
      <c r="X157" s="17" t="e">
        <f>+J157/P157</f>
        <v>#DIV/0!</v>
      </c>
      <c r="Y157" s="17" t="e">
        <f>+L157/P157</f>
        <v>#DIV/0!</v>
      </c>
      <c r="Z157" s="17" t="e">
        <f>+N157/P157</f>
        <v>#DIV/0!</v>
      </c>
    </row>
    <row r="158" spans="1:26" x14ac:dyDescent="0.25">
      <c r="B158" s="2" t="s">
        <v>8</v>
      </c>
      <c r="C158" s="2">
        <v>2019</v>
      </c>
      <c r="D158" s="1"/>
      <c r="E158" s="11"/>
      <c r="F158" s="1"/>
      <c r="G158" s="11"/>
      <c r="H158" s="1"/>
      <c r="I158" s="11"/>
      <c r="J158" s="1"/>
      <c r="K158" s="11"/>
      <c r="L158" s="1"/>
      <c r="M158" s="11"/>
      <c r="N158" s="8"/>
      <c r="O158" s="11"/>
      <c r="P158" s="8">
        <f t="shared" si="62"/>
        <v>0</v>
      </c>
      <c r="Q158" s="11">
        <f t="shared" si="63"/>
        <v>0</v>
      </c>
      <c r="U158" s="17" t="e">
        <f t="shared" ref="U158:U166" si="65">+(D158+F158)/P158</f>
        <v>#DIV/0!</v>
      </c>
      <c r="V158" s="17" t="e">
        <f t="shared" si="64"/>
        <v>#DIV/0!</v>
      </c>
      <c r="W158" s="17" t="e">
        <f t="shared" ref="W158:W166" si="66">+H158/P158</f>
        <v>#DIV/0!</v>
      </c>
      <c r="X158" s="17" t="e">
        <f t="shared" ref="X158:X166" si="67">+J158/P158</f>
        <v>#DIV/0!</v>
      </c>
      <c r="Y158" s="17" t="e">
        <f t="shared" ref="Y158:Y166" si="68">+L158/P158</f>
        <v>#DIV/0!</v>
      </c>
      <c r="Z158" s="17" t="e">
        <f t="shared" ref="Z158:Z166" si="69">+N158/P158</f>
        <v>#DIV/0!</v>
      </c>
    </row>
    <row r="159" spans="1:26" x14ac:dyDescent="0.25">
      <c r="B159" s="2" t="s">
        <v>9</v>
      </c>
      <c r="C159" s="2">
        <v>2019</v>
      </c>
      <c r="D159" s="1"/>
      <c r="E159" s="11"/>
      <c r="F159" s="1"/>
      <c r="G159" s="11"/>
      <c r="H159" s="1"/>
      <c r="I159" s="11"/>
      <c r="J159" s="1"/>
      <c r="K159" s="11"/>
      <c r="L159" s="1"/>
      <c r="M159" s="11"/>
      <c r="N159" s="8"/>
      <c r="O159" s="11"/>
      <c r="P159" s="8">
        <f t="shared" si="62"/>
        <v>0</v>
      </c>
      <c r="Q159" s="11">
        <f t="shared" si="63"/>
        <v>0</v>
      </c>
      <c r="U159" s="17" t="e">
        <f t="shared" si="65"/>
        <v>#DIV/0!</v>
      </c>
      <c r="V159" s="17" t="e">
        <f t="shared" si="64"/>
        <v>#DIV/0!</v>
      </c>
      <c r="W159" s="17" t="e">
        <f t="shared" si="66"/>
        <v>#DIV/0!</v>
      </c>
      <c r="X159" s="17" t="e">
        <f t="shared" si="67"/>
        <v>#DIV/0!</v>
      </c>
      <c r="Y159" s="17" t="e">
        <f t="shared" si="68"/>
        <v>#DIV/0!</v>
      </c>
      <c r="Z159" s="17" t="e">
        <f t="shared" si="69"/>
        <v>#DIV/0!</v>
      </c>
    </row>
    <row r="160" spans="1:26" x14ac:dyDescent="0.25">
      <c r="B160" s="2" t="s">
        <v>10</v>
      </c>
      <c r="C160" s="2">
        <v>2019</v>
      </c>
      <c r="D160" s="1"/>
      <c r="E160" s="11"/>
      <c r="F160" s="1"/>
      <c r="G160" s="11"/>
      <c r="H160" s="1"/>
      <c r="I160" s="11"/>
      <c r="J160" s="1"/>
      <c r="K160" s="11"/>
      <c r="L160" s="1"/>
      <c r="M160" s="11"/>
      <c r="N160" s="8"/>
      <c r="O160" s="11"/>
      <c r="P160" s="8">
        <f t="shared" si="62"/>
        <v>0</v>
      </c>
      <c r="Q160" s="11">
        <f t="shared" si="63"/>
        <v>0</v>
      </c>
      <c r="U160" s="17" t="e">
        <f t="shared" si="65"/>
        <v>#DIV/0!</v>
      </c>
      <c r="V160" s="17" t="e">
        <f t="shared" si="64"/>
        <v>#DIV/0!</v>
      </c>
      <c r="W160" s="17" t="e">
        <f t="shared" si="66"/>
        <v>#DIV/0!</v>
      </c>
      <c r="X160" s="17" t="e">
        <f t="shared" si="67"/>
        <v>#DIV/0!</v>
      </c>
      <c r="Y160" s="17" t="e">
        <f t="shared" si="68"/>
        <v>#DIV/0!</v>
      </c>
      <c r="Z160" s="17" t="e">
        <f t="shared" si="69"/>
        <v>#DIV/0!</v>
      </c>
    </row>
    <row r="161" spans="1:31" x14ac:dyDescent="0.25">
      <c r="B161" s="2" t="s">
        <v>11</v>
      </c>
      <c r="C161" s="2">
        <v>2019</v>
      </c>
      <c r="D161" s="1">
        <v>65</v>
      </c>
      <c r="E161" s="11">
        <v>12465</v>
      </c>
      <c r="F161" s="1">
        <v>20</v>
      </c>
      <c r="G161" s="11">
        <v>7219</v>
      </c>
      <c r="H161" s="1">
        <v>6119</v>
      </c>
      <c r="I161" s="11">
        <v>2285071</v>
      </c>
      <c r="J161" s="1">
        <v>648</v>
      </c>
      <c r="K161" s="11">
        <v>229048</v>
      </c>
      <c r="L161" s="1">
        <v>91</v>
      </c>
      <c r="M161" s="11">
        <v>32189</v>
      </c>
      <c r="N161" s="8">
        <v>0</v>
      </c>
      <c r="O161" s="11">
        <v>0</v>
      </c>
      <c r="P161" s="8">
        <f t="shared" si="62"/>
        <v>6943</v>
      </c>
      <c r="Q161" s="11">
        <f t="shared" si="63"/>
        <v>2565992</v>
      </c>
      <c r="U161" s="17">
        <f t="shared" si="65"/>
        <v>1.224254644966153E-2</v>
      </c>
      <c r="V161" s="17">
        <f t="shared" si="64"/>
        <v>0.9877574535503385</v>
      </c>
      <c r="W161" s="17">
        <f t="shared" si="66"/>
        <v>0.88131931441739886</v>
      </c>
      <c r="X161" s="17">
        <f t="shared" si="67"/>
        <v>9.3331412933890245E-2</v>
      </c>
      <c r="Y161" s="17">
        <f t="shared" si="68"/>
        <v>1.3106726199049403E-2</v>
      </c>
      <c r="Z161" s="17">
        <f t="shared" si="69"/>
        <v>0</v>
      </c>
      <c r="AB161" s="30">
        <v>4116.5</v>
      </c>
      <c r="AC161" s="30">
        <f t="shared" ref="AC161:AC166" si="70">+AB161/H161</f>
        <v>0.67274064389606147</v>
      </c>
      <c r="AD161" s="31">
        <v>15969.934999999999</v>
      </c>
      <c r="AE161" s="32">
        <f t="shared" ref="AE161:AE166" si="71">+AD161/I161</f>
        <v>6.9888134766928466E-3</v>
      </c>
    </row>
    <row r="162" spans="1:31" x14ac:dyDescent="0.25">
      <c r="B162" s="2" t="s">
        <v>4</v>
      </c>
      <c r="C162" s="2">
        <v>2019</v>
      </c>
      <c r="D162" s="1">
        <v>54</v>
      </c>
      <c r="E162" s="11">
        <v>14111</v>
      </c>
      <c r="F162" s="1">
        <v>39</v>
      </c>
      <c r="G162" s="11">
        <v>14203</v>
      </c>
      <c r="H162" s="1">
        <v>13223</v>
      </c>
      <c r="I162" s="11">
        <v>4889583</v>
      </c>
      <c r="J162" s="1">
        <v>1222</v>
      </c>
      <c r="K162" s="11">
        <v>436616</v>
      </c>
      <c r="L162" s="1">
        <v>217</v>
      </c>
      <c r="M162" s="11">
        <v>82115</v>
      </c>
      <c r="N162" s="8">
        <v>0</v>
      </c>
      <c r="O162" s="11">
        <v>0</v>
      </c>
      <c r="P162" s="8">
        <f t="shared" si="62"/>
        <v>14755</v>
      </c>
      <c r="Q162" s="11">
        <f t="shared" si="63"/>
        <v>5436628</v>
      </c>
      <c r="U162" s="17">
        <f t="shared" si="65"/>
        <v>6.3029481531684172E-3</v>
      </c>
      <c r="V162" s="17">
        <f t="shared" si="64"/>
        <v>0.99369705184683155</v>
      </c>
      <c r="W162" s="17">
        <f t="shared" si="66"/>
        <v>0.89617078956286</v>
      </c>
      <c r="X162" s="17">
        <f t="shared" si="67"/>
        <v>8.2819383259911894E-2</v>
      </c>
      <c r="Y162" s="17">
        <f t="shared" si="68"/>
        <v>1.4706879024059641E-2</v>
      </c>
      <c r="Z162" s="17">
        <f t="shared" si="69"/>
        <v>0</v>
      </c>
      <c r="AB162" s="30">
        <v>8594</v>
      </c>
      <c r="AC162" s="30">
        <f t="shared" si="70"/>
        <v>0.64992815548665206</v>
      </c>
      <c r="AD162" s="31">
        <v>36013.547499999993</v>
      </c>
      <c r="AE162" s="32">
        <f t="shared" si="71"/>
        <v>7.365361729210854E-3</v>
      </c>
    </row>
    <row r="163" spans="1:31" x14ac:dyDescent="0.25">
      <c r="B163" s="2" t="s">
        <v>28</v>
      </c>
      <c r="C163" s="2">
        <v>2019</v>
      </c>
      <c r="D163" s="1">
        <v>69</v>
      </c>
      <c r="E163" s="11">
        <v>19931</v>
      </c>
      <c r="F163" s="1">
        <v>36</v>
      </c>
      <c r="G163" s="11">
        <v>12955</v>
      </c>
      <c r="H163" s="1">
        <v>14182</v>
      </c>
      <c r="I163" s="11">
        <v>5196933</v>
      </c>
      <c r="J163" s="1">
        <v>1378</v>
      </c>
      <c r="K163" s="11">
        <v>481125</v>
      </c>
      <c r="L163" s="1">
        <v>306</v>
      </c>
      <c r="M163" s="11">
        <v>116680</v>
      </c>
      <c r="N163" s="8">
        <v>0</v>
      </c>
      <c r="O163" s="11">
        <v>0</v>
      </c>
      <c r="P163" s="8">
        <f t="shared" si="62"/>
        <v>15971</v>
      </c>
      <c r="Q163" s="11">
        <f t="shared" si="63"/>
        <v>5827624</v>
      </c>
      <c r="U163" s="17">
        <f t="shared" si="65"/>
        <v>6.5744161292342375E-3</v>
      </c>
      <c r="V163" s="17">
        <f t="shared" si="64"/>
        <v>0.99342558387076574</v>
      </c>
      <c r="W163" s="17">
        <f t="shared" si="66"/>
        <v>0.88798447185523766</v>
      </c>
      <c r="X163" s="17">
        <f t="shared" si="67"/>
        <v>8.6281385010331224E-2</v>
      </c>
      <c r="Y163" s="17">
        <f t="shared" si="68"/>
        <v>1.9159727005196921E-2</v>
      </c>
      <c r="Z163" s="17">
        <f t="shared" si="69"/>
        <v>0</v>
      </c>
      <c r="AB163" s="30">
        <v>9418</v>
      </c>
      <c r="AC163" s="30">
        <f t="shared" si="70"/>
        <v>0.66408122972782402</v>
      </c>
      <c r="AD163" s="31">
        <v>36238.375</v>
      </c>
      <c r="AE163" s="32">
        <f t="shared" si="71"/>
        <v>6.9730310165630385E-3</v>
      </c>
    </row>
    <row r="164" spans="1:31" x14ac:dyDescent="0.25">
      <c r="B164" s="2" t="s">
        <v>29</v>
      </c>
      <c r="C164" s="2">
        <v>2019</v>
      </c>
      <c r="D164" s="1">
        <v>52</v>
      </c>
      <c r="E164" s="11">
        <v>14575</v>
      </c>
      <c r="F164" s="1">
        <v>48</v>
      </c>
      <c r="G164" s="11">
        <v>17567</v>
      </c>
      <c r="H164" s="1">
        <v>15373</v>
      </c>
      <c r="I164" s="11">
        <v>5636446</v>
      </c>
      <c r="J164" s="1">
        <v>1732</v>
      </c>
      <c r="K164" s="11">
        <v>602930</v>
      </c>
      <c r="L164" s="1">
        <v>311</v>
      </c>
      <c r="M164" s="11">
        <v>119911</v>
      </c>
      <c r="N164" s="8">
        <v>0</v>
      </c>
      <c r="O164" s="11">
        <v>0</v>
      </c>
      <c r="P164" s="8">
        <f t="shared" si="62"/>
        <v>17516</v>
      </c>
      <c r="Q164" s="11">
        <f t="shared" si="63"/>
        <v>6391429</v>
      </c>
      <c r="U164" s="17">
        <f t="shared" si="65"/>
        <v>5.7090659968029233E-3</v>
      </c>
      <c r="V164" s="17">
        <f t="shared" si="64"/>
        <v>0.99429093400319712</v>
      </c>
      <c r="W164" s="17">
        <f t="shared" si="66"/>
        <v>0.87765471568851339</v>
      </c>
      <c r="X164" s="17">
        <f t="shared" si="67"/>
        <v>9.8881023064626622E-2</v>
      </c>
      <c r="Y164" s="17">
        <f t="shared" si="68"/>
        <v>1.7755195250057091E-2</v>
      </c>
      <c r="Z164" s="17">
        <f t="shared" si="69"/>
        <v>0</v>
      </c>
      <c r="AB164" s="30">
        <v>9880</v>
      </c>
      <c r="AC164" s="30">
        <f t="shared" si="70"/>
        <v>0.64268522734664668</v>
      </c>
      <c r="AD164" s="31">
        <v>42296.184999999998</v>
      </c>
      <c r="AE164" s="32">
        <f t="shared" si="71"/>
        <v>7.5040521988501262E-3</v>
      </c>
    </row>
    <row r="165" spans="1:31" x14ac:dyDescent="0.25">
      <c r="B165" s="2" t="s">
        <v>30</v>
      </c>
      <c r="C165" s="2">
        <v>2019</v>
      </c>
      <c r="D165" s="1">
        <v>62</v>
      </c>
      <c r="E165" s="11">
        <v>16393</v>
      </c>
      <c r="F165" s="1">
        <v>44</v>
      </c>
      <c r="G165" s="11">
        <v>16061</v>
      </c>
      <c r="H165" s="1">
        <v>18523</v>
      </c>
      <c r="I165" s="11">
        <v>6805584</v>
      </c>
      <c r="J165" s="1">
        <v>2111</v>
      </c>
      <c r="K165" s="11">
        <v>742493</v>
      </c>
      <c r="L165" s="1">
        <v>412</v>
      </c>
      <c r="M165" s="11">
        <v>155414</v>
      </c>
      <c r="N165" s="8">
        <v>0</v>
      </c>
      <c r="O165" s="11">
        <v>0</v>
      </c>
      <c r="P165" s="8">
        <f t="shared" si="62"/>
        <v>21152</v>
      </c>
      <c r="Q165" s="11">
        <f t="shared" si="63"/>
        <v>7735945</v>
      </c>
      <c r="U165" s="17">
        <f t="shared" si="65"/>
        <v>5.0113464447806358E-3</v>
      </c>
      <c r="V165" s="17">
        <f t="shared" si="64"/>
        <v>0.99498865355521937</v>
      </c>
      <c r="W165" s="17">
        <f t="shared" si="66"/>
        <v>0.87570915279878969</v>
      </c>
      <c r="X165" s="17">
        <f t="shared" si="67"/>
        <v>9.9801437216338884E-2</v>
      </c>
      <c r="Y165" s="17">
        <f t="shared" si="68"/>
        <v>1.9478063540090771E-2</v>
      </c>
      <c r="Z165" s="17">
        <f t="shared" si="69"/>
        <v>0</v>
      </c>
      <c r="AB165" s="30">
        <v>12224.5</v>
      </c>
      <c r="AC165" s="30">
        <f t="shared" si="70"/>
        <v>0.65996328888409006</v>
      </c>
      <c r="AD165" s="31">
        <v>48349.647499999999</v>
      </c>
      <c r="AE165" s="32">
        <f t="shared" si="71"/>
        <v>7.1044083064730375E-3</v>
      </c>
    </row>
    <row r="166" spans="1:31" x14ac:dyDescent="0.25">
      <c r="B166" s="2" t="s">
        <v>31</v>
      </c>
      <c r="C166" s="2">
        <v>2019</v>
      </c>
      <c r="D166" s="1">
        <v>77</v>
      </c>
      <c r="E166" s="11">
        <v>16491</v>
      </c>
      <c r="F166" s="1">
        <v>30</v>
      </c>
      <c r="G166" s="11">
        <v>11358</v>
      </c>
      <c r="H166" s="1">
        <v>19670</v>
      </c>
      <c r="I166" s="11">
        <v>7129443</v>
      </c>
      <c r="J166" s="8">
        <v>2339</v>
      </c>
      <c r="K166" s="11">
        <v>801715</v>
      </c>
      <c r="L166" s="8">
        <v>379</v>
      </c>
      <c r="M166" s="11">
        <v>132659</v>
      </c>
      <c r="N166" s="8">
        <v>0</v>
      </c>
      <c r="O166" s="11">
        <v>0</v>
      </c>
      <c r="P166" s="8">
        <f t="shared" si="62"/>
        <v>22495</v>
      </c>
      <c r="Q166" s="11">
        <f t="shared" si="63"/>
        <v>8091666</v>
      </c>
      <c r="U166" s="17">
        <f t="shared" si="65"/>
        <v>4.7566125805734612E-3</v>
      </c>
      <c r="V166" s="17">
        <f t="shared" si="64"/>
        <v>0.99524338741942653</v>
      </c>
      <c r="W166" s="17">
        <f t="shared" si="66"/>
        <v>0.87441653700822408</v>
      </c>
      <c r="X166" s="17">
        <f t="shared" si="67"/>
        <v>0.10397866192487219</v>
      </c>
      <c r="Y166" s="17">
        <f t="shared" si="68"/>
        <v>1.6848188486330296E-2</v>
      </c>
      <c r="Z166" s="17">
        <f t="shared" si="69"/>
        <v>0</v>
      </c>
      <c r="AB166" s="30">
        <v>12916.25</v>
      </c>
      <c r="AC166" s="30">
        <f t="shared" si="70"/>
        <v>0.65664717844433151</v>
      </c>
      <c r="AD166" s="31">
        <v>50929.08</v>
      </c>
      <c r="AE166" s="32">
        <f t="shared" si="71"/>
        <v>7.1434865248238893E-3</v>
      </c>
    </row>
    <row r="167" spans="1:31" x14ac:dyDescent="0.25">
      <c r="U167" s="18"/>
      <c r="V167" s="19"/>
      <c r="W167" s="18"/>
      <c r="X167" s="18"/>
      <c r="Y167" s="18"/>
      <c r="Z167" s="18"/>
    </row>
    <row r="168" spans="1:31" x14ac:dyDescent="0.25">
      <c r="B168" s="3" t="s">
        <v>12</v>
      </c>
      <c r="C168" s="3"/>
      <c r="D168" s="4">
        <f t="shared" ref="D168:Q168" si="72">SUM(D155:D167)</f>
        <v>379</v>
      </c>
      <c r="E168" s="12">
        <f t="shared" si="72"/>
        <v>93966</v>
      </c>
      <c r="F168" s="4">
        <f t="shared" si="72"/>
        <v>217</v>
      </c>
      <c r="G168" s="12">
        <f t="shared" si="72"/>
        <v>79363</v>
      </c>
      <c r="H168" s="4">
        <f t="shared" si="72"/>
        <v>87090</v>
      </c>
      <c r="I168" s="12">
        <f t="shared" si="72"/>
        <v>31943060</v>
      </c>
      <c r="J168" s="4">
        <f t="shared" si="72"/>
        <v>9430</v>
      </c>
      <c r="K168" s="12">
        <f t="shared" si="72"/>
        <v>3293927</v>
      </c>
      <c r="L168" s="4">
        <f t="shared" si="72"/>
        <v>1716</v>
      </c>
      <c r="M168" s="12">
        <f t="shared" si="72"/>
        <v>638968</v>
      </c>
      <c r="N168" s="4">
        <f t="shared" si="72"/>
        <v>0</v>
      </c>
      <c r="O168" s="12">
        <f t="shared" si="72"/>
        <v>0</v>
      </c>
      <c r="P168" s="4">
        <f t="shared" si="72"/>
        <v>98832</v>
      </c>
      <c r="Q168" s="12">
        <f t="shared" si="72"/>
        <v>36049284</v>
      </c>
      <c r="U168" s="16">
        <f>+(D168+F168)/P168</f>
        <v>6.0304354864821113E-3</v>
      </c>
      <c r="V168" s="16">
        <f>1-U168</f>
        <v>0.99396956451351792</v>
      </c>
      <c r="W168" s="16">
        <f>+H168/P168</f>
        <v>0.88119232637202527</v>
      </c>
      <c r="X168" s="16">
        <f>+J168/P168</f>
        <v>9.5414440666990452E-2</v>
      </c>
      <c r="Y168" s="16">
        <f>+L168/P168</f>
        <v>1.7362797474502187E-2</v>
      </c>
      <c r="Z168" s="16">
        <f>+N168/P168</f>
        <v>0</v>
      </c>
      <c r="AB168" s="12">
        <f>AVERAGE(AB155:AB167)</f>
        <v>9524.875</v>
      </c>
      <c r="AC168" s="12">
        <f>AVERAGE(AC155:AC167)</f>
        <v>0.65767428729760102</v>
      </c>
      <c r="AD168" s="12">
        <f>AVERAGE(AD155:AD167)</f>
        <v>38299.461666666662</v>
      </c>
      <c r="AE168" s="16">
        <f>AVERAGE(AE155:AE167)</f>
        <v>7.1798588754356319E-3</v>
      </c>
    </row>
    <row r="169" spans="1:31" x14ac:dyDescent="0.25">
      <c r="K169" s="9">
        <f>+K168/12</f>
        <v>274493.91666666669</v>
      </c>
    </row>
    <row r="170" spans="1:31" x14ac:dyDescent="0.25">
      <c r="B170" s="5" t="s">
        <v>14</v>
      </c>
    </row>
    <row r="171" spans="1:31" x14ac:dyDescent="0.25">
      <c r="B171" s="5" t="s">
        <v>50</v>
      </c>
    </row>
    <row r="172" spans="1:31" x14ac:dyDescent="0.25">
      <c r="B172" s="5"/>
    </row>
    <row r="173" spans="1:31" x14ac:dyDescent="0.25">
      <c r="D173" s="89" t="s">
        <v>15</v>
      </c>
      <c r="E173" s="90"/>
      <c r="F173" s="89" t="s">
        <v>16</v>
      </c>
      <c r="G173" s="90"/>
      <c r="H173" s="89" t="s">
        <v>17</v>
      </c>
      <c r="I173" s="93"/>
      <c r="J173" s="89" t="s">
        <v>18</v>
      </c>
      <c r="K173" s="93"/>
      <c r="L173" s="89" t="s">
        <v>13</v>
      </c>
      <c r="M173" s="93"/>
      <c r="N173" s="89" t="s">
        <v>34</v>
      </c>
      <c r="O173" s="93"/>
      <c r="P173" s="89" t="s">
        <v>12</v>
      </c>
      <c r="Q173" s="93"/>
      <c r="U173" s="91" t="s">
        <v>42</v>
      </c>
      <c r="V173" s="92"/>
      <c r="W173" s="92"/>
      <c r="X173" s="92"/>
      <c r="Y173" s="92"/>
      <c r="Z173" s="92"/>
    </row>
    <row r="174" spans="1:3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U174" s="7" t="s">
        <v>38</v>
      </c>
      <c r="V174" s="10" t="s">
        <v>39</v>
      </c>
      <c r="W174" s="10" t="s">
        <v>40</v>
      </c>
      <c r="X174" s="10" t="s">
        <v>18</v>
      </c>
      <c r="Y174" s="10" t="s">
        <v>13</v>
      </c>
      <c r="Z174" s="10" t="s">
        <v>41</v>
      </c>
    </row>
    <row r="175" spans="1:31" x14ac:dyDescent="0.25">
      <c r="V175" s="9"/>
    </row>
    <row r="176" spans="1:31" x14ac:dyDescent="0.25">
      <c r="B176" s="2" t="s">
        <v>5</v>
      </c>
      <c r="C176" s="2">
        <v>2019</v>
      </c>
      <c r="D176" s="1"/>
      <c r="E176" s="11"/>
      <c r="F176" s="1"/>
      <c r="G176" s="11"/>
      <c r="H176" s="1"/>
      <c r="I176" s="11"/>
      <c r="J176" s="1"/>
      <c r="K176" s="11"/>
      <c r="L176" s="1"/>
      <c r="M176" s="11"/>
      <c r="N176" s="1"/>
      <c r="O176" s="11"/>
      <c r="P176" s="8">
        <f t="shared" ref="P176:P187" si="73">L176+J176+H176+F176+D176+N176</f>
        <v>0</v>
      </c>
      <c r="Q176" s="11">
        <f t="shared" ref="Q176:Q187" si="74">M176+K176+I176+G176+E176+O176</f>
        <v>0</v>
      </c>
      <c r="U176" s="17" t="e">
        <f>+(D176+F176)/P176</f>
        <v>#DIV/0!</v>
      </c>
      <c r="V176" s="17" t="e">
        <f t="shared" ref="V176:V187" si="75">1-U176</f>
        <v>#DIV/0!</v>
      </c>
      <c r="W176" s="17" t="e">
        <f>+H176/P176</f>
        <v>#DIV/0!</v>
      </c>
      <c r="X176" s="17" t="e">
        <f>+J176/P176</f>
        <v>#DIV/0!</v>
      </c>
      <c r="Y176" s="17" t="e">
        <f>+L176/P176</f>
        <v>#DIV/0!</v>
      </c>
      <c r="Z176" s="17" t="e">
        <f>+N176/P176</f>
        <v>#DIV/0!</v>
      </c>
    </row>
    <row r="177" spans="2:31" x14ac:dyDescent="0.25">
      <c r="B177" s="2" t="s">
        <v>6</v>
      </c>
      <c r="C177" s="2">
        <v>2019</v>
      </c>
      <c r="D177" s="1"/>
      <c r="E177" s="11"/>
      <c r="F177" s="1"/>
      <c r="G177" s="11"/>
      <c r="H177" s="1"/>
      <c r="I177" s="11"/>
      <c r="J177" s="1"/>
      <c r="K177" s="11"/>
      <c r="L177" s="1"/>
      <c r="M177" s="11"/>
      <c r="N177" s="1"/>
      <c r="O177" s="11"/>
      <c r="P177" s="8">
        <f t="shared" si="73"/>
        <v>0</v>
      </c>
      <c r="Q177" s="11">
        <f t="shared" si="74"/>
        <v>0</v>
      </c>
      <c r="U177" s="17" t="e">
        <f>+(D177+F177)/P177</f>
        <v>#DIV/0!</v>
      </c>
      <c r="V177" s="17" t="e">
        <f t="shared" si="75"/>
        <v>#DIV/0!</v>
      </c>
      <c r="W177" s="17" t="e">
        <f>+H177/P177</f>
        <v>#DIV/0!</v>
      </c>
      <c r="X177" s="17" t="e">
        <f>+J177/P177</f>
        <v>#DIV/0!</v>
      </c>
      <c r="Y177" s="17" t="e">
        <f>+L177/P177</f>
        <v>#DIV/0!</v>
      </c>
      <c r="Z177" s="17" t="e">
        <f>+N177/P177</f>
        <v>#DIV/0!</v>
      </c>
    </row>
    <row r="178" spans="2:31" x14ac:dyDescent="0.25">
      <c r="B178" s="2" t="s">
        <v>7</v>
      </c>
      <c r="C178" s="2">
        <v>2019</v>
      </c>
      <c r="D178" s="1"/>
      <c r="E178" s="11"/>
      <c r="F178" s="1"/>
      <c r="G178" s="11"/>
      <c r="H178" s="1"/>
      <c r="I178" s="11"/>
      <c r="J178" s="1"/>
      <c r="K178" s="11"/>
      <c r="L178" s="1"/>
      <c r="M178" s="11"/>
      <c r="N178" s="1"/>
      <c r="O178" s="11"/>
      <c r="P178" s="8">
        <f t="shared" si="73"/>
        <v>0</v>
      </c>
      <c r="Q178" s="11">
        <f t="shared" si="74"/>
        <v>0</v>
      </c>
      <c r="U178" s="17" t="e">
        <f>+(D178+F178)/P178</f>
        <v>#DIV/0!</v>
      </c>
      <c r="V178" s="17" t="e">
        <f t="shared" si="75"/>
        <v>#DIV/0!</v>
      </c>
      <c r="W178" s="17" t="e">
        <f>+H178/P178</f>
        <v>#DIV/0!</v>
      </c>
      <c r="X178" s="17" t="e">
        <f>+J178/P178</f>
        <v>#DIV/0!</v>
      </c>
      <c r="Y178" s="17" t="e">
        <f>+L178/P178</f>
        <v>#DIV/0!</v>
      </c>
      <c r="Z178" s="17" t="e">
        <f>+N178/P178</f>
        <v>#DIV/0!</v>
      </c>
    </row>
    <row r="179" spans="2:31" x14ac:dyDescent="0.25">
      <c r="B179" s="2" t="s">
        <v>8</v>
      </c>
      <c r="C179" s="2">
        <v>2019</v>
      </c>
      <c r="D179" s="1"/>
      <c r="E179" s="11"/>
      <c r="F179" s="1"/>
      <c r="G179" s="11"/>
      <c r="H179" s="1"/>
      <c r="I179" s="11"/>
      <c r="J179" s="1"/>
      <c r="K179" s="11"/>
      <c r="L179" s="1"/>
      <c r="M179" s="11"/>
      <c r="N179" s="8"/>
      <c r="O179" s="11"/>
      <c r="P179" s="8">
        <f t="shared" si="73"/>
        <v>0</v>
      </c>
      <c r="Q179" s="11">
        <f t="shared" si="74"/>
        <v>0</v>
      </c>
      <c r="U179" s="17" t="e">
        <f t="shared" ref="U179:U187" si="76">+(D179+F179)/P179</f>
        <v>#DIV/0!</v>
      </c>
      <c r="V179" s="17" t="e">
        <f t="shared" si="75"/>
        <v>#DIV/0!</v>
      </c>
      <c r="W179" s="17" t="e">
        <f t="shared" ref="W179:W187" si="77">+H179/P179</f>
        <v>#DIV/0!</v>
      </c>
      <c r="X179" s="17" t="e">
        <f t="shared" ref="X179:X187" si="78">+J179/P179</f>
        <v>#DIV/0!</v>
      </c>
      <c r="Y179" s="17" t="e">
        <f t="shared" ref="Y179:Y187" si="79">+L179/P179</f>
        <v>#DIV/0!</v>
      </c>
      <c r="Z179" s="17" t="e">
        <f t="shared" ref="Z179:Z187" si="80">+N179/P179</f>
        <v>#DIV/0!</v>
      </c>
    </row>
    <row r="180" spans="2:31" x14ac:dyDescent="0.25">
      <c r="B180" s="2" t="s">
        <v>9</v>
      </c>
      <c r="C180" s="2">
        <v>2019</v>
      </c>
      <c r="D180" s="1"/>
      <c r="E180" s="11"/>
      <c r="F180" s="1"/>
      <c r="G180" s="11"/>
      <c r="H180" s="1"/>
      <c r="I180" s="11"/>
      <c r="J180" s="1"/>
      <c r="K180" s="11"/>
      <c r="L180" s="1"/>
      <c r="M180" s="11"/>
      <c r="N180" s="8"/>
      <c r="O180" s="11"/>
      <c r="P180" s="8">
        <f t="shared" si="73"/>
        <v>0</v>
      </c>
      <c r="Q180" s="11">
        <f t="shared" si="74"/>
        <v>0</v>
      </c>
      <c r="U180" s="17" t="e">
        <f t="shared" si="76"/>
        <v>#DIV/0!</v>
      </c>
      <c r="V180" s="17" t="e">
        <f t="shared" si="75"/>
        <v>#DIV/0!</v>
      </c>
      <c r="W180" s="17" t="e">
        <f t="shared" si="77"/>
        <v>#DIV/0!</v>
      </c>
      <c r="X180" s="17" t="e">
        <f t="shared" si="78"/>
        <v>#DIV/0!</v>
      </c>
      <c r="Y180" s="17" t="e">
        <f t="shared" si="79"/>
        <v>#DIV/0!</v>
      </c>
      <c r="Z180" s="17" t="e">
        <f t="shared" si="80"/>
        <v>#DIV/0!</v>
      </c>
    </row>
    <row r="181" spans="2:31" x14ac:dyDescent="0.25">
      <c r="B181" s="2" t="s">
        <v>10</v>
      </c>
      <c r="C181" s="2">
        <v>2019</v>
      </c>
      <c r="D181" s="1"/>
      <c r="E181" s="11"/>
      <c r="F181" s="1"/>
      <c r="G181" s="11"/>
      <c r="H181" s="1"/>
      <c r="I181" s="11"/>
      <c r="J181" s="1"/>
      <c r="K181" s="11"/>
      <c r="L181" s="1"/>
      <c r="M181" s="11"/>
      <c r="N181" s="8"/>
      <c r="O181" s="11"/>
      <c r="P181" s="8">
        <f t="shared" si="73"/>
        <v>0</v>
      </c>
      <c r="Q181" s="11">
        <f t="shared" si="74"/>
        <v>0</v>
      </c>
      <c r="U181" s="17" t="e">
        <f t="shared" si="76"/>
        <v>#DIV/0!</v>
      </c>
      <c r="V181" s="17" t="e">
        <f t="shared" si="75"/>
        <v>#DIV/0!</v>
      </c>
      <c r="W181" s="17" t="e">
        <f t="shared" si="77"/>
        <v>#DIV/0!</v>
      </c>
      <c r="X181" s="17" t="e">
        <f t="shared" si="78"/>
        <v>#DIV/0!</v>
      </c>
      <c r="Y181" s="17" t="e">
        <f t="shared" si="79"/>
        <v>#DIV/0!</v>
      </c>
      <c r="Z181" s="17" t="e">
        <f t="shared" si="80"/>
        <v>#DIV/0!</v>
      </c>
    </row>
    <row r="182" spans="2:31" x14ac:dyDescent="0.25">
      <c r="B182" s="2" t="s">
        <v>11</v>
      </c>
      <c r="C182" s="2">
        <v>2019</v>
      </c>
      <c r="D182" s="1">
        <v>178</v>
      </c>
      <c r="E182" s="11">
        <v>7598</v>
      </c>
      <c r="F182" s="1">
        <v>3</v>
      </c>
      <c r="G182" s="11">
        <v>155</v>
      </c>
      <c r="H182" s="1">
        <v>4627</v>
      </c>
      <c r="I182" s="11">
        <v>233423</v>
      </c>
      <c r="J182" s="1">
        <v>608</v>
      </c>
      <c r="K182" s="11">
        <v>31405</v>
      </c>
      <c r="L182" s="1">
        <v>96</v>
      </c>
      <c r="M182" s="11">
        <v>3982</v>
      </c>
      <c r="N182" s="8">
        <v>3</v>
      </c>
      <c r="O182" s="11">
        <v>179</v>
      </c>
      <c r="P182" s="8">
        <f t="shared" si="73"/>
        <v>5515</v>
      </c>
      <c r="Q182" s="11">
        <f t="shared" si="74"/>
        <v>276742</v>
      </c>
      <c r="U182" s="17">
        <f t="shared" si="76"/>
        <v>3.2819582955575702E-2</v>
      </c>
      <c r="V182" s="17">
        <f t="shared" si="75"/>
        <v>0.96718041704442426</v>
      </c>
      <c r="W182" s="17">
        <f t="shared" si="77"/>
        <v>0.83898458748866722</v>
      </c>
      <c r="X182" s="17">
        <f t="shared" si="78"/>
        <v>0.11024478694469628</v>
      </c>
      <c r="Y182" s="17">
        <f t="shared" si="79"/>
        <v>1.7407071622846781E-2</v>
      </c>
      <c r="Z182" s="17">
        <f t="shared" si="80"/>
        <v>5.439709882139619E-4</v>
      </c>
      <c r="AB182" s="30">
        <v>2716.09</v>
      </c>
      <c r="AC182" s="30">
        <f t="shared" ref="AC182:AC187" si="81">+AB182/H182</f>
        <v>0.58700886103306682</v>
      </c>
      <c r="AD182" s="31">
        <v>1389.3050000000001</v>
      </c>
      <c r="AE182" s="32">
        <f t="shared" ref="AE182:AE187" si="82">+AD182/I182</f>
        <v>5.9518770643852579E-3</v>
      </c>
    </row>
    <row r="183" spans="2:31" x14ac:dyDescent="0.25">
      <c r="B183" s="2" t="s">
        <v>4</v>
      </c>
      <c r="C183" s="2">
        <v>2019</v>
      </c>
      <c r="D183" s="1">
        <v>2045</v>
      </c>
      <c r="E183" s="11">
        <v>85790</v>
      </c>
      <c r="F183" s="1">
        <v>38</v>
      </c>
      <c r="G183" s="11">
        <v>1486</v>
      </c>
      <c r="H183" s="1">
        <v>45568</v>
      </c>
      <c r="I183" s="11">
        <v>2273942</v>
      </c>
      <c r="J183" s="1">
        <v>6797</v>
      </c>
      <c r="K183" s="11">
        <v>347694</v>
      </c>
      <c r="L183" s="1">
        <v>814</v>
      </c>
      <c r="M183" s="11">
        <v>36314</v>
      </c>
      <c r="N183" s="8">
        <v>49</v>
      </c>
      <c r="O183" s="11">
        <v>2478</v>
      </c>
      <c r="P183" s="8">
        <f t="shared" si="73"/>
        <v>55311</v>
      </c>
      <c r="Q183" s="11">
        <f t="shared" si="74"/>
        <v>2747704</v>
      </c>
      <c r="U183" s="17">
        <f t="shared" si="76"/>
        <v>3.7659778344271484E-2</v>
      </c>
      <c r="V183" s="17">
        <f t="shared" si="75"/>
        <v>0.96234022165572852</v>
      </c>
      <c r="W183" s="17">
        <f t="shared" si="77"/>
        <v>0.82385059029849395</v>
      </c>
      <c r="X183" s="17">
        <f t="shared" si="78"/>
        <v>0.12288694834662182</v>
      </c>
      <c r="Y183" s="17">
        <f t="shared" si="79"/>
        <v>1.4716783279998554E-2</v>
      </c>
      <c r="Z183" s="17">
        <f t="shared" si="80"/>
        <v>8.8589973061416357E-4</v>
      </c>
      <c r="AB183" s="30">
        <v>26633.879999999997</v>
      </c>
      <c r="AC183" s="30">
        <f t="shared" si="81"/>
        <v>0.58448648174157303</v>
      </c>
      <c r="AD183" s="31">
        <v>13498.622500000001</v>
      </c>
      <c r="AE183" s="32">
        <f t="shared" si="82"/>
        <v>5.9362211085419074E-3</v>
      </c>
    </row>
    <row r="184" spans="2:31" x14ac:dyDescent="0.25">
      <c r="B184" s="2" t="s">
        <v>28</v>
      </c>
      <c r="C184" s="2">
        <v>2019</v>
      </c>
      <c r="D184" s="1">
        <v>4904</v>
      </c>
      <c r="E184" s="11">
        <v>214383</v>
      </c>
      <c r="F184" s="1">
        <v>330</v>
      </c>
      <c r="G184" s="11">
        <v>10707</v>
      </c>
      <c r="H184" s="1">
        <v>92037</v>
      </c>
      <c r="I184" s="11">
        <v>4695860</v>
      </c>
      <c r="J184" s="1">
        <v>12942</v>
      </c>
      <c r="K184" s="11">
        <v>679596</v>
      </c>
      <c r="L184" s="1">
        <v>1534</v>
      </c>
      <c r="M184" s="11">
        <v>76374</v>
      </c>
      <c r="N184" s="8">
        <v>89</v>
      </c>
      <c r="O184" s="11">
        <v>4541</v>
      </c>
      <c r="P184" s="8">
        <f t="shared" si="73"/>
        <v>111836</v>
      </c>
      <c r="Q184" s="11">
        <f t="shared" si="74"/>
        <v>5681461</v>
      </c>
      <c r="U184" s="17">
        <f t="shared" si="76"/>
        <v>4.6800672413176439E-2</v>
      </c>
      <c r="V184" s="17">
        <f t="shared" si="75"/>
        <v>0.95319932758682357</v>
      </c>
      <c r="W184" s="17">
        <f t="shared" si="77"/>
        <v>0.82296398297507067</v>
      </c>
      <c r="X184" s="17">
        <f t="shared" si="78"/>
        <v>0.11572302299796131</v>
      </c>
      <c r="Y184" s="17">
        <f t="shared" si="79"/>
        <v>1.3716513466146859E-2</v>
      </c>
      <c r="Z184" s="17">
        <f t="shared" si="80"/>
        <v>7.9580814764476551E-4</v>
      </c>
      <c r="AB184" s="30">
        <v>54236.680000000008</v>
      </c>
      <c r="AC184" s="30">
        <f t="shared" si="81"/>
        <v>0.58929213251192458</v>
      </c>
      <c r="AD184" s="31">
        <v>29444.645</v>
      </c>
      <c r="AE184" s="32">
        <f t="shared" si="82"/>
        <v>6.2703413219303812E-3</v>
      </c>
    </row>
    <row r="185" spans="2:31" x14ac:dyDescent="0.25">
      <c r="B185" s="2" t="s">
        <v>29</v>
      </c>
      <c r="C185" s="2">
        <v>2019</v>
      </c>
      <c r="D185" s="1">
        <v>6041</v>
      </c>
      <c r="E185" s="11">
        <v>259773</v>
      </c>
      <c r="F185" s="1">
        <v>569</v>
      </c>
      <c r="G185" s="11">
        <v>18578</v>
      </c>
      <c r="H185" s="1">
        <v>108304</v>
      </c>
      <c r="I185" s="11">
        <v>5378469</v>
      </c>
      <c r="J185" s="1">
        <v>16463</v>
      </c>
      <c r="K185" s="11">
        <v>859593</v>
      </c>
      <c r="L185" s="1">
        <v>1906</v>
      </c>
      <c r="M185" s="11">
        <v>95341</v>
      </c>
      <c r="N185" s="8">
        <v>85</v>
      </c>
      <c r="O185" s="11">
        <v>4630</v>
      </c>
      <c r="P185" s="8">
        <f t="shared" si="73"/>
        <v>133368</v>
      </c>
      <c r="Q185" s="11">
        <f t="shared" si="74"/>
        <v>6616384</v>
      </c>
      <c r="U185" s="17">
        <f t="shared" si="76"/>
        <v>4.9562113850398895E-2</v>
      </c>
      <c r="V185" s="17">
        <f t="shared" si="75"/>
        <v>0.95043788614960112</v>
      </c>
      <c r="W185" s="17">
        <f t="shared" si="77"/>
        <v>0.81206886209585505</v>
      </c>
      <c r="X185" s="17">
        <f t="shared" si="78"/>
        <v>0.12344040549457141</v>
      </c>
      <c r="Y185" s="17">
        <f t="shared" si="79"/>
        <v>1.4291284266090816E-2</v>
      </c>
      <c r="Z185" s="17">
        <f t="shared" si="80"/>
        <v>6.3733429308379826E-4</v>
      </c>
      <c r="AB185" s="30">
        <v>64499.729999999996</v>
      </c>
      <c r="AC185" s="30">
        <f t="shared" si="81"/>
        <v>0.5955433778992465</v>
      </c>
      <c r="AD185" s="31">
        <v>31654.682499999999</v>
      </c>
      <c r="AE185" s="32">
        <f t="shared" si="82"/>
        <v>5.8854448171031569E-3</v>
      </c>
    </row>
    <row r="186" spans="2:31" x14ac:dyDescent="0.25">
      <c r="B186" s="2" t="s">
        <v>30</v>
      </c>
      <c r="C186" s="2">
        <v>2019</v>
      </c>
      <c r="D186" s="1">
        <v>5595</v>
      </c>
      <c r="E186" s="11">
        <v>234835</v>
      </c>
      <c r="F186" s="1">
        <v>682</v>
      </c>
      <c r="G186" s="11">
        <v>23289</v>
      </c>
      <c r="H186" s="1">
        <v>108584</v>
      </c>
      <c r="I186" s="11">
        <v>5341064</v>
      </c>
      <c r="J186" s="1">
        <v>16963</v>
      </c>
      <c r="K186" s="11">
        <v>861289</v>
      </c>
      <c r="L186" s="8">
        <v>1604</v>
      </c>
      <c r="M186" s="11">
        <v>73802</v>
      </c>
      <c r="N186" s="8">
        <v>70</v>
      </c>
      <c r="O186" s="11">
        <v>3855</v>
      </c>
      <c r="P186" s="8">
        <f t="shared" si="73"/>
        <v>133498</v>
      </c>
      <c r="Q186" s="11">
        <f t="shared" si="74"/>
        <v>6538134</v>
      </c>
      <c r="U186" s="17">
        <f t="shared" si="76"/>
        <v>4.7019431002711651E-2</v>
      </c>
      <c r="V186" s="17">
        <f t="shared" si="75"/>
        <v>0.95298056899728834</v>
      </c>
      <c r="W186" s="17">
        <f t="shared" si="77"/>
        <v>0.81337548128061843</v>
      </c>
      <c r="X186" s="17">
        <f t="shared" si="78"/>
        <v>0.12706557401609012</v>
      </c>
      <c r="Y186" s="17">
        <f t="shared" si="79"/>
        <v>1.2015161275824356E-2</v>
      </c>
      <c r="Z186" s="17">
        <f t="shared" si="80"/>
        <v>5.2435242475542708E-4</v>
      </c>
      <c r="AB186" s="30">
        <v>64804.320000000007</v>
      </c>
      <c r="AC186" s="30">
        <f t="shared" si="81"/>
        <v>0.59681279009798871</v>
      </c>
      <c r="AD186" s="31">
        <v>30787.370000000003</v>
      </c>
      <c r="AE186" s="32">
        <f t="shared" si="82"/>
        <v>5.7642765561318875E-3</v>
      </c>
    </row>
    <row r="187" spans="2:31" x14ac:dyDescent="0.25">
      <c r="B187" s="2" t="s">
        <v>31</v>
      </c>
      <c r="C187" s="2">
        <v>2019</v>
      </c>
      <c r="D187" s="1">
        <v>5135</v>
      </c>
      <c r="E187" s="11">
        <v>210497</v>
      </c>
      <c r="F187" s="1">
        <v>715</v>
      </c>
      <c r="G187" s="11">
        <v>24928</v>
      </c>
      <c r="H187" s="1">
        <v>103521</v>
      </c>
      <c r="I187" s="11">
        <v>5128332</v>
      </c>
      <c r="J187" s="8">
        <v>14413</v>
      </c>
      <c r="K187" s="11">
        <v>745050</v>
      </c>
      <c r="L187" s="8">
        <v>1484</v>
      </c>
      <c r="M187" s="11">
        <v>71157</v>
      </c>
      <c r="N187" s="8">
        <v>73</v>
      </c>
      <c r="O187" s="11">
        <v>3865</v>
      </c>
      <c r="P187" s="8">
        <f t="shared" si="73"/>
        <v>125341</v>
      </c>
      <c r="Q187" s="11">
        <f t="shared" si="74"/>
        <v>6183829</v>
      </c>
      <c r="U187" s="17">
        <f t="shared" si="76"/>
        <v>4.6672676937315007E-2</v>
      </c>
      <c r="V187" s="17">
        <f t="shared" si="75"/>
        <v>0.95332732306268497</v>
      </c>
      <c r="W187" s="17">
        <f t="shared" si="77"/>
        <v>0.82591490414150204</v>
      </c>
      <c r="X187" s="17">
        <f t="shared" si="78"/>
        <v>0.11499030644402071</v>
      </c>
      <c r="Y187" s="17">
        <f t="shared" si="79"/>
        <v>1.1839701294867602E-2</v>
      </c>
      <c r="Z187" s="17">
        <f t="shared" si="80"/>
        <v>5.8241118229470008E-4</v>
      </c>
      <c r="AB187" s="30">
        <v>61988.75</v>
      </c>
      <c r="AC187" s="30">
        <f t="shared" si="81"/>
        <v>0.59880362438539037</v>
      </c>
      <c r="AD187" s="31">
        <v>28179.115000000002</v>
      </c>
      <c r="AE187" s="32">
        <f t="shared" si="82"/>
        <v>5.4947914838586898E-3</v>
      </c>
    </row>
    <row r="188" spans="2:31" x14ac:dyDescent="0.25">
      <c r="U188" s="18"/>
      <c r="V188" s="19"/>
      <c r="W188" s="18"/>
      <c r="X188" s="18"/>
      <c r="Y188" s="18"/>
      <c r="Z188" s="18"/>
    </row>
    <row r="189" spans="2:31" x14ac:dyDescent="0.25">
      <c r="B189" s="3" t="s">
        <v>12</v>
      </c>
      <c r="C189" s="3"/>
      <c r="D189" s="4">
        <f t="shared" ref="D189:Q189" si="83">SUM(D176:D188)</f>
        <v>23898</v>
      </c>
      <c r="E189" s="12">
        <f t="shared" si="83"/>
        <v>1012876</v>
      </c>
      <c r="F189" s="4">
        <f t="shared" si="83"/>
        <v>2337</v>
      </c>
      <c r="G189" s="12">
        <f t="shared" si="83"/>
        <v>79143</v>
      </c>
      <c r="H189" s="4">
        <f t="shared" si="83"/>
        <v>462641</v>
      </c>
      <c r="I189" s="12">
        <f t="shared" si="83"/>
        <v>23051090</v>
      </c>
      <c r="J189" s="4">
        <f t="shared" si="83"/>
        <v>68186</v>
      </c>
      <c r="K189" s="12">
        <f t="shared" si="83"/>
        <v>3524627</v>
      </c>
      <c r="L189" s="4">
        <f t="shared" si="83"/>
        <v>7438</v>
      </c>
      <c r="M189" s="12">
        <f t="shared" si="83"/>
        <v>356970</v>
      </c>
      <c r="N189" s="4">
        <f t="shared" si="83"/>
        <v>369</v>
      </c>
      <c r="O189" s="12">
        <f t="shared" si="83"/>
        <v>19548</v>
      </c>
      <c r="P189" s="4">
        <f t="shared" si="83"/>
        <v>564869</v>
      </c>
      <c r="Q189" s="12">
        <f t="shared" si="83"/>
        <v>28044254</v>
      </c>
      <c r="U189" s="16">
        <f>+(D189+F189)/P189</f>
        <v>4.6444396842453738E-2</v>
      </c>
      <c r="V189" s="16">
        <f>1-U189</f>
        <v>0.95355560315754628</v>
      </c>
      <c r="W189" s="16">
        <f>+H189/P189</f>
        <v>0.8190235258086388</v>
      </c>
      <c r="X189" s="16">
        <f>+J189/P189</f>
        <v>0.12071117374116831</v>
      </c>
      <c r="Y189" s="16">
        <f>+L189/P189</f>
        <v>1.3167654801378726E-2</v>
      </c>
      <c r="Z189" s="16">
        <f>+N189/P189</f>
        <v>6.5324880636041273E-4</v>
      </c>
      <c r="AB189" s="12">
        <f>AVERAGE(AB176:AB188)</f>
        <v>45813.241666666669</v>
      </c>
      <c r="AC189" s="12">
        <f>AVERAGE(AC176:AC188)</f>
        <v>0.59199121127819831</v>
      </c>
      <c r="AD189" s="12">
        <f>AVERAGE(AD176:AD188)</f>
        <v>22492.289999999997</v>
      </c>
      <c r="AE189" s="16">
        <f>AVERAGE(AE176:AE188)</f>
        <v>5.8838253919918796E-3</v>
      </c>
    </row>
    <row r="191" spans="2:31" x14ac:dyDescent="0.25">
      <c r="B191" s="5" t="s">
        <v>14</v>
      </c>
    </row>
    <row r="192" spans="2:31" x14ac:dyDescent="0.25">
      <c r="B192" s="5" t="s">
        <v>51</v>
      </c>
    </row>
    <row r="193" spans="1:31" x14ac:dyDescent="0.25">
      <c r="B193" s="5"/>
    </row>
    <row r="194" spans="1:31" x14ac:dyDescent="0.25">
      <c r="D194" s="89" t="s">
        <v>15</v>
      </c>
      <c r="E194" s="90"/>
      <c r="F194" s="89" t="s">
        <v>16</v>
      </c>
      <c r="G194" s="90"/>
      <c r="H194" s="89" t="s">
        <v>17</v>
      </c>
      <c r="I194" s="93"/>
      <c r="J194" s="89" t="s">
        <v>18</v>
      </c>
      <c r="K194" s="93"/>
      <c r="L194" s="89" t="s">
        <v>13</v>
      </c>
      <c r="M194" s="93"/>
      <c r="N194" s="89" t="s">
        <v>34</v>
      </c>
      <c r="O194" s="93"/>
      <c r="P194" s="89" t="s">
        <v>12</v>
      </c>
      <c r="Q194" s="93"/>
      <c r="U194" s="91" t="s">
        <v>42</v>
      </c>
      <c r="V194" s="92"/>
      <c r="W194" s="92"/>
      <c r="X194" s="92"/>
      <c r="Y194" s="92"/>
      <c r="Z194" s="92"/>
    </row>
    <row r="195" spans="1:3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U195" s="7" t="s">
        <v>38</v>
      </c>
      <c r="V195" s="10" t="s">
        <v>39</v>
      </c>
      <c r="W195" s="10" t="s">
        <v>40</v>
      </c>
      <c r="X195" s="10" t="s">
        <v>18</v>
      </c>
      <c r="Y195" s="10" t="s">
        <v>13</v>
      </c>
      <c r="Z195" s="10" t="s">
        <v>41</v>
      </c>
    </row>
    <row r="196" spans="1:31" x14ac:dyDescent="0.25">
      <c r="V196" s="9"/>
    </row>
    <row r="197" spans="1:31" x14ac:dyDescent="0.25">
      <c r="B197" s="2" t="s">
        <v>5</v>
      </c>
      <c r="C197" s="2">
        <v>2019</v>
      </c>
      <c r="D197" s="1"/>
      <c r="E197" s="11"/>
      <c r="F197" s="1"/>
      <c r="G197" s="11"/>
      <c r="H197" s="1"/>
      <c r="I197" s="11"/>
      <c r="J197" s="1"/>
      <c r="K197" s="11"/>
      <c r="L197" s="1"/>
      <c r="M197" s="11"/>
      <c r="N197" s="1"/>
      <c r="O197" s="11"/>
      <c r="P197" s="8">
        <f t="shared" ref="P197:P208" si="84">L197+J197+H197+F197+D197+N197</f>
        <v>0</v>
      </c>
      <c r="Q197" s="11">
        <f t="shared" ref="Q197:Q208" si="85">M197+K197+I197+G197+E197+O197</f>
        <v>0</v>
      </c>
      <c r="U197" s="17" t="e">
        <f>+(D197+F197)/P197</f>
        <v>#DIV/0!</v>
      </c>
      <c r="V197" s="17" t="e">
        <f t="shared" ref="V197:V208" si="86">1-U197</f>
        <v>#DIV/0!</v>
      </c>
      <c r="W197" s="17" t="e">
        <f>+H197/P197</f>
        <v>#DIV/0!</v>
      </c>
      <c r="X197" s="17" t="e">
        <f>+J197/P197</f>
        <v>#DIV/0!</v>
      </c>
      <c r="Y197" s="17" t="e">
        <f>+L197/P197</f>
        <v>#DIV/0!</v>
      </c>
      <c r="Z197" s="17" t="e">
        <f>+N197/P197</f>
        <v>#DIV/0!</v>
      </c>
    </row>
    <row r="198" spans="1:31" x14ac:dyDescent="0.25">
      <c r="B198" s="2" t="s">
        <v>6</v>
      </c>
      <c r="C198" s="2">
        <v>2019</v>
      </c>
      <c r="D198" s="1"/>
      <c r="E198" s="11"/>
      <c r="F198" s="1"/>
      <c r="G198" s="11"/>
      <c r="H198" s="1"/>
      <c r="I198" s="11"/>
      <c r="J198" s="1"/>
      <c r="K198" s="11"/>
      <c r="L198" s="1"/>
      <c r="M198" s="11"/>
      <c r="N198" s="1"/>
      <c r="O198" s="11"/>
      <c r="P198" s="8">
        <f t="shared" si="84"/>
        <v>0</v>
      </c>
      <c r="Q198" s="11">
        <f t="shared" si="85"/>
        <v>0</v>
      </c>
      <c r="U198" s="17" t="e">
        <f>+(D198+F198)/P198</f>
        <v>#DIV/0!</v>
      </c>
      <c r="V198" s="17" t="e">
        <f t="shared" si="86"/>
        <v>#DIV/0!</v>
      </c>
      <c r="W198" s="17" t="e">
        <f>+H198/P198</f>
        <v>#DIV/0!</v>
      </c>
      <c r="X198" s="17" t="e">
        <f>+J198/P198</f>
        <v>#DIV/0!</v>
      </c>
      <c r="Y198" s="17" t="e">
        <f>+L198/P198</f>
        <v>#DIV/0!</v>
      </c>
      <c r="Z198" s="17" t="e">
        <f>+N198/P198</f>
        <v>#DIV/0!</v>
      </c>
    </row>
    <row r="199" spans="1:31" x14ac:dyDescent="0.25">
      <c r="B199" s="2" t="s">
        <v>7</v>
      </c>
      <c r="C199" s="2">
        <v>2019</v>
      </c>
      <c r="D199" s="1"/>
      <c r="E199" s="11"/>
      <c r="F199" s="1"/>
      <c r="G199" s="11"/>
      <c r="H199" s="1"/>
      <c r="I199" s="11"/>
      <c r="J199" s="1"/>
      <c r="K199" s="11"/>
      <c r="L199" s="1"/>
      <c r="M199" s="11"/>
      <c r="N199" s="1"/>
      <c r="O199" s="11"/>
      <c r="P199" s="8">
        <f t="shared" si="84"/>
        <v>0</v>
      </c>
      <c r="Q199" s="11">
        <f t="shared" si="85"/>
        <v>0</v>
      </c>
      <c r="U199" s="17" t="e">
        <f>+(D199+F199)/P199</f>
        <v>#DIV/0!</v>
      </c>
      <c r="V199" s="17" t="e">
        <f t="shared" si="86"/>
        <v>#DIV/0!</v>
      </c>
      <c r="W199" s="17" t="e">
        <f>+H199/P199</f>
        <v>#DIV/0!</v>
      </c>
      <c r="X199" s="17" t="e">
        <f>+J199/P199</f>
        <v>#DIV/0!</v>
      </c>
      <c r="Y199" s="17" t="e">
        <f>+L199/P199</f>
        <v>#DIV/0!</v>
      </c>
      <c r="Z199" s="17" t="e">
        <f>+N199/P199</f>
        <v>#DIV/0!</v>
      </c>
    </row>
    <row r="200" spans="1:31" x14ac:dyDescent="0.25">
      <c r="B200" s="2" t="s">
        <v>8</v>
      </c>
      <c r="C200" s="2">
        <v>2019</v>
      </c>
      <c r="D200" s="1"/>
      <c r="E200" s="11"/>
      <c r="F200" s="1"/>
      <c r="G200" s="11"/>
      <c r="H200" s="1"/>
      <c r="I200" s="11"/>
      <c r="J200" s="1"/>
      <c r="K200" s="11"/>
      <c r="L200" s="1"/>
      <c r="M200" s="11"/>
      <c r="N200" s="8"/>
      <c r="O200" s="11"/>
      <c r="P200" s="8">
        <f t="shared" si="84"/>
        <v>0</v>
      </c>
      <c r="Q200" s="11">
        <f t="shared" si="85"/>
        <v>0</v>
      </c>
      <c r="U200" s="17" t="e">
        <f t="shared" ref="U200:U208" si="87">+(D200+F200)/P200</f>
        <v>#DIV/0!</v>
      </c>
      <c r="V200" s="17" t="e">
        <f t="shared" si="86"/>
        <v>#DIV/0!</v>
      </c>
      <c r="W200" s="17" t="e">
        <f t="shared" ref="W200:W208" si="88">+H200/P200</f>
        <v>#DIV/0!</v>
      </c>
      <c r="X200" s="17" t="e">
        <f t="shared" ref="X200:X208" si="89">+J200/P200</f>
        <v>#DIV/0!</v>
      </c>
      <c r="Y200" s="17" t="e">
        <f t="shared" ref="Y200:Y208" si="90">+L200/P200</f>
        <v>#DIV/0!</v>
      </c>
      <c r="Z200" s="17" t="e">
        <f t="shared" ref="Z200:Z208" si="91">+N200/P200</f>
        <v>#DIV/0!</v>
      </c>
    </row>
    <row r="201" spans="1:31" x14ac:dyDescent="0.25">
      <c r="B201" s="2" t="s">
        <v>9</v>
      </c>
      <c r="C201" s="2">
        <v>2019</v>
      </c>
      <c r="D201" s="1"/>
      <c r="E201" s="11"/>
      <c r="F201" s="1"/>
      <c r="G201" s="11"/>
      <c r="H201" s="1"/>
      <c r="I201" s="11"/>
      <c r="J201" s="1"/>
      <c r="K201" s="11"/>
      <c r="L201" s="1"/>
      <c r="M201" s="11"/>
      <c r="N201" s="8"/>
      <c r="O201" s="11"/>
      <c r="P201" s="8">
        <f t="shared" si="84"/>
        <v>0</v>
      </c>
      <c r="Q201" s="11">
        <f t="shared" si="85"/>
        <v>0</v>
      </c>
      <c r="U201" s="17" t="e">
        <f t="shared" si="87"/>
        <v>#DIV/0!</v>
      </c>
      <c r="V201" s="17" t="e">
        <f t="shared" si="86"/>
        <v>#DIV/0!</v>
      </c>
      <c r="W201" s="17" t="e">
        <f t="shared" si="88"/>
        <v>#DIV/0!</v>
      </c>
      <c r="X201" s="17" t="e">
        <f t="shared" si="89"/>
        <v>#DIV/0!</v>
      </c>
      <c r="Y201" s="17" t="e">
        <f t="shared" si="90"/>
        <v>#DIV/0!</v>
      </c>
      <c r="Z201" s="17" t="e">
        <f t="shared" si="91"/>
        <v>#DIV/0!</v>
      </c>
    </row>
    <row r="202" spans="1:31" x14ac:dyDescent="0.25">
      <c r="B202" s="2" t="s">
        <v>10</v>
      </c>
      <c r="C202" s="2">
        <v>2019</v>
      </c>
      <c r="D202" s="1"/>
      <c r="E202" s="11"/>
      <c r="F202" s="1"/>
      <c r="G202" s="11"/>
      <c r="H202" s="1"/>
      <c r="I202" s="11"/>
      <c r="J202" s="1"/>
      <c r="K202" s="11"/>
      <c r="L202" s="1"/>
      <c r="M202" s="11"/>
      <c r="N202" s="8"/>
      <c r="O202" s="11"/>
      <c r="P202" s="8">
        <f t="shared" si="84"/>
        <v>0</v>
      </c>
      <c r="Q202" s="11">
        <f t="shared" si="85"/>
        <v>0</v>
      </c>
      <c r="U202" s="17" t="e">
        <f t="shared" si="87"/>
        <v>#DIV/0!</v>
      </c>
      <c r="V202" s="17" t="e">
        <f t="shared" si="86"/>
        <v>#DIV/0!</v>
      </c>
      <c r="W202" s="17" t="e">
        <f t="shared" si="88"/>
        <v>#DIV/0!</v>
      </c>
      <c r="X202" s="17" t="e">
        <f t="shared" si="89"/>
        <v>#DIV/0!</v>
      </c>
      <c r="Y202" s="17" t="e">
        <f t="shared" si="90"/>
        <v>#DIV/0!</v>
      </c>
      <c r="Z202" s="17" t="e">
        <f t="shared" si="91"/>
        <v>#DIV/0!</v>
      </c>
    </row>
    <row r="203" spans="1:31" x14ac:dyDescent="0.25">
      <c r="B203" s="2" t="s">
        <v>11</v>
      </c>
      <c r="C203" s="2">
        <v>2019</v>
      </c>
      <c r="D203" s="1">
        <v>6809</v>
      </c>
      <c r="E203" s="11">
        <v>787546</v>
      </c>
      <c r="F203" s="1">
        <v>131</v>
      </c>
      <c r="G203" s="11">
        <v>8720</v>
      </c>
      <c r="H203" s="1">
        <v>137089</v>
      </c>
      <c r="I203" s="11">
        <v>21013767</v>
      </c>
      <c r="J203" s="1">
        <v>23595</v>
      </c>
      <c r="K203" s="11">
        <v>3098416</v>
      </c>
      <c r="L203" s="1">
        <v>3846</v>
      </c>
      <c r="M203" s="11">
        <v>759235</v>
      </c>
      <c r="N203" s="8">
        <v>0</v>
      </c>
      <c r="O203" s="11">
        <v>0</v>
      </c>
      <c r="P203" s="8">
        <f t="shared" si="84"/>
        <v>171470</v>
      </c>
      <c r="Q203" s="11">
        <f t="shared" si="85"/>
        <v>25667684</v>
      </c>
      <c r="U203" s="17">
        <f t="shared" si="87"/>
        <v>4.0473552224878986E-2</v>
      </c>
      <c r="V203" s="17">
        <f t="shared" si="86"/>
        <v>0.95952644777512097</v>
      </c>
      <c r="W203" s="17">
        <f t="shared" si="88"/>
        <v>0.79949262261620113</v>
      </c>
      <c r="X203" s="17">
        <f t="shared" si="89"/>
        <v>0.13760424564063684</v>
      </c>
      <c r="Y203" s="17">
        <f t="shared" si="90"/>
        <v>2.2429579518283081E-2</v>
      </c>
      <c r="Z203" s="17">
        <f t="shared" si="91"/>
        <v>0</v>
      </c>
      <c r="AB203" s="30">
        <v>92764.18</v>
      </c>
      <c r="AC203" s="30">
        <f t="shared" ref="AC203:AC208" si="92">+AB203/H203</f>
        <v>0.67667121359117066</v>
      </c>
      <c r="AD203" s="31">
        <v>146632.1275</v>
      </c>
      <c r="AE203" s="32">
        <f t="shared" ref="AE203:AE208" si="93">+AD203/I203</f>
        <v>6.9779077449559617E-3</v>
      </c>
    </row>
    <row r="204" spans="1:31" x14ac:dyDescent="0.25">
      <c r="B204" s="2" t="s">
        <v>4</v>
      </c>
      <c r="C204" s="2">
        <v>2019</v>
      </c>
      <c r="D204" s="1">
        <v>6513</v>
      </c>
      <c r="E204" s="11">
        <v>732662</v>
      </c>
      <c r="F204" s="1">
        <v>166</v>
      </c>
      <c r="G204" s="11">
        <v>17021</v>
      </c>
      <c r="H204" s="1">
        <v>152873</v>
      </c>
      <c r="I204" s="11">
        <v>23102141</v>
      </c>
      <c r="J204" s="1">
        <v>34083</v>
      </c>
      <c r="K204" s="11">
        <v>4117458</v>
      </c>
      <c r="L204" s="1">
        <v>4070</v>
      </c>
      <c r="M204" s="11">
        <v>813475</v>
      </c>
      <c r="N204" s="8">
        <v>0</v>
      </c>
      <c r="O204" s="11">
        <v>0</v>
      </c>
      <c r="P204" s="8">
        <f t="shared" si="84"/>
        <v>197705</v>
      </c>
      <c r="Q204" s="11">
        <f t="shared" si="85"/>
        <v>28782757</v>
      </c>
      <c r="U204" s="17">
        <f t="shared" si="87"/>
        <v>3.3782655977339975E-2</v>
      </c>
      <c r="V204" s="17">
        <f t="shared" si="86"/>
        <v>0.96621734402266002</v>
      </c>
      <c r="W204" s="17">
        <f t="shared" si="88"/>
        <v>0.77323790495940925</v>
      </c>
      <c r="X204" s="17">
        <f t="shared" si="89"/>
        <v>0.1723932121089502</v>
      </c>
      <c r="Y204" s="17">
        <f t="shared" si="90"/>
        <v>2.0586226954300599E-2</v>
      </c>
      <c r="Z204" s="17">
        <f t="shared" si="91"/>
        <v>0</v>
      </c>
      <c r="AB204" s="30">
        <v>104842.09</v>
      </c>
      <c r="AC204" s="30">
        <f t="shared" si="92"/>
        <v>0.68581168682501159</v>
      </c>
      <c r="AD204" s="31">
        <v>155873.98000000001</v>
      </c>
      <c r="AE204" s="32">
        <f t="shared" si="93"/>
        <v>6.7471659877757651E-3</v>
      </c>
    </row>
    <row r="205" spans="1:31" x14ac:dyDescent="0.25">
      <c r="B205" s="2" t="s">
        <v>28</v>
      </c>
      <c r="C205" s="2">
        <v>2019</v>
      </c>
      <c r="D205" s="1">
        <v>6153</v>
      </c>
      <c r="E205" s="11">
        <v>726390</v>
      </c>
      <c r="F205" s="1">
        <v>174</v>
      </c>
      <c r="G205" s="11">
        <v>14766</v>
      </c>
      <c r="H205" s="1">
        <v>146315</v>
      </c>
      <c r="I205" s="11">
        <v>22147110</v>
      </c>
      <c r="J205" s="1">
        <v>38651</v>
      </c>
      <c r="K205" s="11">
        <v>4461895</v>
      </c>
      <c r="L205" s="1">
        <v>3835</v>
      </c>
      <c r="M205" s="11">
        <v>741812</v>
      </c>
      <c r="N205" s="8">
        <v>0</v>
      </c>
      <c r="O205" s="11">
        <v>0</v>
      </c>
      <c r="P205" s="8">
        <f t="shared" si="84"/>
        <v>195128</v>
      </c>
      <c r="Q205" s="11">
        <f t="shared" si="85"/>
        <v>28091973</v>
      </c>
      <c r="U205" s="17">
        <f t="shared" si="87"/>
        <v>3.2424869829035301E-2</v>
      </c>
      <c r="V205" s="17">
        <f t="shared" si="86"/>
        <v>0.96757513017096475</v>
      </c>
      <c r="W205" s="17">
        <f t="shared" si="88"/>
        <v>0.74984112992497232</v>
      </c>
      <c r="X205" s="17">
        <f t="shared" si="89"/>
        <v>0.1980802345127301</v>
      </c>
      <c r="Y205" s="17">
        <f t="shared" si="90"/>
        <v>1.965376573326227E-2</v>
      </c>
      <c r="Z205" s="17">
        <f t="shared" si="91"/>
        <v>0</v>
      </c>
      <c r="AB205" s="30">
        <v>99804.45</v>
      </c>
      <c r="AC205" s="30">
        <f t="shared" si="92"/>
        <v>0.68212042511020743</v>
      </c>
      <c r="AD205" s="31">
        <v>152579.13</v>
      </c>
      <c r="AE205" s="32">
        <f t="shared" si="93"/>
        <v>6.8893471879626737E-3</v>
      </c>
    </row>
    <row r="206" spans="1:31" x14ac:dyDescent="0.25">
      <c r="B206" s="2" t="s">
        <v>29</v>
      </c>
      <c r="C206" s="2">
        <v>2019</v>
      </c>
      <c r="D206" s="1">
        <v>6412</v>
      </c>
      <c r="E206" s="11">
        <v>775393</v>
      </c>
      <c r="F206" s="1">
        <v>190</v>
      </c>
      <c r="G206" s="11">
        <v>15453</v>
      </c>
      <c r="H206" s="1">
        <v>164823</v>
      </c>
      <c r="I206" s="11">
        <v>24435265</v>
      </c>
      <c r="J206" s="1">
        <v>53593</v>
      </c>
      <c r="K206" s="11">
        <v>5840133</v>
      </c>
      <c r="L206" s="1">
        <v>4294</v>
      </c>
      <c r="M206" s="11">
        <v>827080</v>
      </c>
      <c r="N206" s="8">
        <v>0</v>
      </c>
      <c r="O206" s="11">
        <v>0</v>
      </c>
      <c r="P206" s="8">
        <f t="shared" si="84"/>
        <v>229312</v>
      </c>
      <c r="Q206" s="11">
        <f t="shared" si="85"/>
        <v>31893324</v>
      </c>
      <c r="U206" s="17">
        <f t="shared" si="87"/>
        <v>2.8790468880826123E-2</v>
      </c>
      <c r="V206" s="17">
        <f t="shared" si="86"/>
        <v>0.97120953111917385</v>
      </c>
      <c r="W206" s="17">
        <f t="shared" si="88"/>
        <v>0.71877180435389343</v>
      </c>
      <c r="X206" s="17">
        <f t="shared" si="89"/>
        <v>0.23371214764164108</v>
      </c>
      <c r="Y206" s="17">
        <f t="shared" si="90"/>
        <v>1.8725579123639407E-2</v>
      </c>
      <c r="Z206" s="17">
        <f t="shared" si="91"/>
        <v>0</v>
      </c>
      <c r="AB206" s="30">
        <v>111681.05</v>
      </c>
      <c r="AC206" s="30">
        <f t="shared" si="92"/>
        <v>0.67758170886344748</v>
      </c>
      <c r="AD206" s="31">
        <v>169581.245</v>
      </c>
      <c r="AE206" s="32">
        <f t="shared" si="93"/>
        <v>6.9400207036837943E-3</v>
      </c>
    </row>
    <row r="207" spans="1:31" x14ac:dyDescent="0.25">
      <c r="B207" s="2" t="s">
        <v>30</v>
      </c>
      <c r="C207" s="2">
        <v>2019</v>
      </c>
      <c r="D207" s="1">
        <v>6542</v>
      </c>
      <c r="E207" s="11">
        <v>762012</v>
      </c>
      <c r="F207" s="1">
        <v>249</v>
      </c>
      <c r="G207" s="11">
        <v>21160</v>
      </c>
      <c r="H207" s="1">
        <v>160839</v>
      </c>
      <c r="I207" s="11">
        <v>23267309</v>
      </c>
      <c r="J207" s="1">
        <v>53196</v>
      </c>
      <c r="K207" s="11">
        <v>5707038</v>
      </c>
      <c r="L207" s="8">
        <v>4429</v>
      </c>
      <c r="M207" s="11">
        <v>837828</v>
      </c>
      <c r="N207" s="8">
        <v>0</v>
      </c>
      <c r="O207" s="11">
        <v>0</v>
      </c>
      <c r="P207" s="8">
        <f t="shared" si="84"/>
        <v>225255</v>
      </c>
      <c r="Q207" s="11">
        <f t="shared" si="85"/>
        <v>30595347</v>
      </c>
      <c r="U207" s="17">
        <f t="shared" si="87"/>
        <v>3.0148054427204724E-2</v>
      </c>
      <c r="V207" s="17">
        <f t="shared" si="86"/>
        <v>0.9698519455727953</v>
      </c>
      <c r="W207" s="17">
        <f t="shared" si="88"/>
        <v>0.71403076513284947</v>
      </c>
      <c r="X207" s="17">
        <f t="shared" si="89"/>
        <v>0.23615901977758541</v>
      </c>
      <c r="Y207" s="17">
        <f t="shared" si="90"/>
        <v>1.9662160662360435E-2</v>
      </c>
      <c r="Z207" s="17">
        <f t="shared" si="91"/>
        <v>0</v>
      </c>
      <c r="AB207" s="30">
        <v>109154.69</v>
      </c>
      <c r="AC207" s="30">
        <f t="shared" si="92"/>
        <v>0.67865809909288166</v>
      </c>
      <c r="AD207" s="31">
        <v>160278.2825</v>
      </c>
      <c r="AE207" s="32">
        <f t="shared" si="93"/>
        <v>6.8885612212396374E-3</v>
      </c>
    </row>
    <row r="208" spans="1:31" x14ac:dyDescent="0.25">
      <c r="B208" s="2" t="s">
        <v>31</v>
      </c>
      <c r="C208" s="2">
        <v>2019</v>
      </c>
      <c r="D208" s="1">
        <v>8938</v>
      </c>
      <c r="E208" s="11">
        <v>975273</v>
      </c>
      <c r="F208" s="1">
        <v>278</v>
      </c>
      <c r="G208" s="11">
        <v>20376</v>
      </c>
      <c r="H208" s="1">
        <v>171176</v>
      </c>
      <c r="I208" s="11">
        <v>24144995</v>
      </c>
      <c r="J208" s="8">
        <v>57151</v>
      </c>
      <c r="K208" s="11">
        <v>6083952</v>
      </c>
      <c r="L208" s="8">
        <v>5130</v>
      </c>
      <c r="M208" s="11">
        <v>944943</v>
      </c>
      <c r="N208" s="8">
        <v>0</v>
      </c>
      <c r="O208" s="11">
        <v>0</v>
      </c>
      <c r="P208" s="8">
        <f t="shared" si="84"/>
        <v>242673</v>
      </c>
      <c r="Q208" s="11">
        <f t="shared" si="85"/>
        <v>32169539</v>
      </c>
      <c r="U208" s="17">
        <f t="shared" si="87"/>
        <v>3.79770308192506E-2</v>
      </c>
      <c r="V208" s="17">
        <f t="shared" si="86"/>
        <v>0.96202296918074937</v>
      </c>
      <c r="W208" s="17">
        <f t="shared" si="88"/>
        <v>0.70537719482595918</v>
      </c>
      <c r="X208" s="17">
        <f t="shared" si="89"/>
        <v>0.23550621618391829</v>
      </c>
      <c r="Y208" s="17">
        <f t="shared" si="90"/>
        <v>2.1139558170871913E-2</v>
      </c>
      <c r="Z208" s="17">
        <f t="shared" si="91"/>
        <v>0</v>
      </c>
      <c r="AB208" s="30">
        <v>115657.04000000001</v>
      </c>
      <c r="AC208" s="30">
        <f t="shared" si="92"/>
        <v>0.67566154133757073</v>
      </c>
      <c r="AD208" s="31">
        <v>168721.63500000001</v>
      </c>
      <c r="AE208" s="32">
        <f t="shared" si="93"/>
        <v>6.9878513124562672E-3</v>
      </c>
    </row>
    <row r="209" spans="1:31" x14ac:dyDescent="0.25">
      <c r="U209" s="18"/>
      <c r="V209" s="19"/>
      <c r="W209" s="18"/>
      <c r="X209" s="18"/>
      <c r="Y209" s="18"/>
      <c r="Z209" s="18"/>
    </row>
    <row r="210" spans="1:31" x14ac:dyDescent="0.25">
      <c r="B210" s="3" t="s">
        <v>12</v>
      </c>
      <c r="C210" s="3"/>
      <c r="D210" s="4">
        <f t="shared" ref="D210:Q210" si="94">SUM(D197:D209)</f>
        <v>41367</v>
      </c>
      <c r="E210" s="12">
        <f t="shared" si="94"/>
        <v>4759276</v>
      </c>
      <c r="F210" s="4">
        <f t="shared" si="94"/>
        <v>1188</v>
      </c>
      <c r="G210" s="12">
        <f t="shared" si="94"/>
        <v>97496</v>
      </c>
      <c r="H210" s="4">
        <f t="shared" si="94"/>
        <v>933115</v>
      </c>
      <c r="I210" s="12">
        <f t="shared" si="94"/>
        <v>138110587</v>
      </c>
      <c r="J210" s="4">
        <f t="shared" si="94"/>
        <v>260269</v>
      </c>
      <c r="K210" s="12">
        <f t="shared" si="94"/>
        <v>29308892</v>
      </c>
      <c r="L210" s="4">
        <f t="shared" si="94"/>
        <v>25604</v>
      </c>
      <c r="M210" s="12">
        <f t="shared" si="94"/>
        <v>4924373</v>
      </c>
      <c r="N210" s="4">
        <f t="shared" si="94"/>
        <v>0</v>
      </c>
      <c r="O210" s="12">
        <f t="shared" si="94"/>
        <v>0</v>
      </c>
      <c r="P210" s="4">
        <f t="shared" si="94"/>
        <v>1261543</v>
      </c>
      <c r="Q210" s="12">
        <f t="shared" si="94"/>
        <v>177200624</v>
      </c>
      <c r="U210" s="16">
        <f>+(D210+F210)/P210</f>
        <v>3.3732500596491757E-2</v>
      </c>
      <c r="V210" s="16">
        <f>1-U210</f>
        <v>0.9662674994035082</v>
      </c>
      <c r="W210" s="16">
        <f>+H210/P210</f>
        <v>0.73966166829033964</v>
      </c>
      <c r="X210" s="16">
        <f>+J210/P210</f>
        <v>0.20631005046994039</v>
      </c>
      <c r="Y210" s="16">
        <f>+L210/P210</f>
        <v>2.0295780643228175E-2</v>
      </c>
      <c r="Z210" s="16">
        <f>+N210/P210</f>
        <v>0</v>
      </c>
      <c r="AB210" s="12">
        <f>AVERAGE(AB197:AB209)</f>
        <v>105650.58333333333</v>
      </c>
      <c r="AC210" s="12">
        <f>AVERAGE(AC197:AC209)</f>
        <v>0.6794174458033817</v>
      </c>
      <c r="AD210" s="12">
        <f>AVERAGE(AD197:AD209)</f>
        <v>158944.4</v>
      </c>
      <c r="AE210" s="16">
        <f>AVERAGE(AE197:AE209)</f>
        <v>6.9051423596790161E-3</v>
      </c>
    </row>
    <row r="212" spans="1:31" x14ac:dyDescent="0.25">
      <c r="B212" s="5" t="s">
        <v>14</v>
      </c>
    </row>
    <row r="213" spans="1:31" x14ac:dyDescent="0.25">
      <c r="B213" s="5" t="s">
        <v>33</v>
      </c>
    </row>
    <row r="214" spans="1:31" x14ac:dyDescent="0.25">
      <c r="B214" s="5"/>
    </row>
    <row r="215" spans="1:31" x14ac:dyDescent="0.25">
      <c r="D215" s="89" t="s">
        <v>15</v>
      </c>
      <c r="E215" s="90"/>
      <c r="F215" s="89" t="s">
        <v>16</v>
      </c>
      <c r="G215" s="90"/>
      <c r="H215" s="89" t="s">
        <v>17</v>
      </c>
      <c r="I215" s="93"/>
      <c r="J215" s="89" t="s">
        <v>18</v>
      </c>
      <c r="K215" s="93"/>
      <c r="L215" s="89" t="s">
        <v>13</v>
      </c>
      <c r="M215" s="93"/>
      <c r="N215" s="89" t="s">
        <v>34</v>
      </c>
      <c r="O215" s="93"/>
      <c r="P215" s="89" t="s">
        <v>46</v>
      </c>
      <c r="Q215" s="93"/>
      <c r="R215" s="89" t="s">
        <v>44</v>
      </c>
      <c r="S215" s="93"/>
      <c r="U215" s="94" t="s">
        <v>42</v>
      </c>
      <c r="V215" s="94"/>
      <c r="W215" s="94"/>
      <c r="X215" s="94"/>
      <c r="Y215" s="94"/>
      <c r="Z215" s="92"/>
    </row>
    <row r="216" spans="1:3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U216" s="7" t="s">
        <v>38</v>
      </c>
      <c r="V216" s="10" t="s">
        <v>39</v>
      </c>
      <c r="W216" s="10" t="s">
        <v>40</v>
      </c>
      <c r="X216" s="10" t="s">
        <v>18</v>
      </c>
      <c r="Y216" s="10" t="s">
        <v>13</v>
      </c>
      <c r="Z216" s="24" t="s">
        <v>41</v>
      </c>
    </row>
    <row r="217" spans="1:31" x14ac:dyDescent="0.25">
      <c r="P217" s="9"/>
      <c r="S217" s="9"/>
      <c r="V217" s="9"/>
    </row>
    <row r="218" spans="1:31" x14ac:dyDescent="0.25">
      <c r="B218" s="2" t="s">
        <v>5</v>
      </c>
      <c r="C218" s="2">
        <v>2019</v>
      </c>
      <c r="D218" s="1">
        <f>+D92+D71+D50+D29+D8+D113+D134+D155+D176+D197</f>
        <v>2843403</v>
      </c>
      <c r="E218" s="11">
        <f t="shared" ref="E218:O218" si="95">+E92+E71+E50+E29+E8+E113+E134+E155+E176+E197</f>
        <v>103287561.04999998</v>
      </c>
      <c r="F218" s="1">
        <f t="shared" si="95"/>
        <v>125950</v>
      </c>
      <c r="G218" s="11">
        <f t="shared" si="95"/>
        <v>5509742.7800000003</v>
      </c>
      <c r="H218" s="1">
        <f t="shared" si="95"/>
        <v>7703724</v>
      </c>
      <c r="I218" s="11">
        <f t="shared" si="95"/>
        <v>382234849.06</v>
      </c>
      <c r="J218" s="8">
        <f t="shared" si="95"/>
        <v>510005</v>
      </c>
      <c r="K218" s="11">
        <f t="shared" si="95"/>
        <v>45017044.530000001</v>
      </c>
      <c r="L218" s="8">
        <f t="shared" si="95"/>
        <v>108338</v>
      </c>
      <c r="M218" s="11">
        <f t="shared" si="95"/>
        <v>8657216.0700000003</v>
      </c>
      <c r="N218" s="8">
        <f t="shared" si="95"/>
        <v>285</v>
      </c>
      <c r="O218" s="11">
        <f t="shared" si="95"/>
        <v>30468.239999999998</v>
      </c>
      <c r="P218" s="8">
        <f>+P113</f>
        <v>46154</v>
      </c>
      <c r="Q218" s="11">
        <f t="shared" ref="Q218:Q229" si="96">+Q113</f>
        <v>2324626</v>
      </c>
      <c r="R218" s="8">
        <f>L218+J218+H218+F218+D218+N218+P218</f>
        <v>11337859</v>
      </c>
      <c r="S218" s="11">
        <f t="shared" ref="S218" si="97">M218+K218+I218+G218+E218+O218+Q218</f>
        <v>547061507.73000002</v>
      </c>
      <c r="U218" s="17">
        <f t="shared" ref="U218:U226" si="98">+(D218+F218+P218)/R218</f>
        <v>0.26596793980239125</v>
      </c>
      <c r="V218" s="17">
        <f t="shared" ref="V218:V226" si="99">1-U218</f>
        <v>0.73403206019760869</v>
      </c>
      <c r="W218" s="17">
        <f t="shared" ref="W218:W226" si="100">+H218/R218</f>
        <v>0.67946902497199868</v>
      </c>
      <c r="X218" s="17">
        <f t="shared" ref="X218:X226" si="101">+J218/R218</f>
        <v>4.498247861434862E-2</v>
      </c>
      <c r="Y218" s="17">
        <f t="shared" ref="Y218:Y226" si="102">+L218/R218</f>
        <v>9.5554195902418614E-3</v>
      </c>
      <c r="Z218" s="17">
        <f t="shared" ref="Z218:Z226" si="103">+N218/R218</f>
        <v>2.5137021019576975E-5</v>
      </c>
    </row>
    <row r="219" spans="1:31" x14ac:dyDescent="0.25">
      <c r="B219" s="2" t="s">
        <v>6</v>
      </c>
      <c r="C219" s="2">
        <v>2019</v>
      </c>
      <c r="D219" s="1">
        <f t="shared" ref="D219:O219" si="104">+D93+D72+D51+D30+D9+D114+D135+D156+D177+D198</f>
        <v>2857090</v>
      </c>
      <c r="E219" s="11">
        <f t="shared" si="104"/>
        <v>107444439.48999998</v>
      </c>
      <c r="F219" s="1">
        <f t="shared" si="104"/>
        <v>117004</v>
      </c>
      <c r="G219" s="11">
        <f t="shared" si="104"/>
        <v>5377104.4799999995</v>
      </c>
      <c r="H219" s="1">
        <f t="shared" si="104"/>
        <v>7648333</v>
      </c>
      <c r="I219" s="11">
        <f t="shared" si="104"/>
        <v>387255200.56</v>
      </c>
      <c r="J219" s="8">
        <f t="shared" si="104"/>
        <v>471594</v>
      </c>
      <c r="K219" s="11">
        <f t="shared" si="104"/>
        <v>42342423.960000001</v>
      </c>
      <c r="L219" s="8">
        <f t="shared" si="104"/>
        <v>105351</v>
      </c>
      <c r="M219" s="11">
        <f t="shared" si="104"/>
        <v>8441015.8599999994</v>
      </c>
      <c r="N219" s="8">
        <f t="shared" si="104"/>
        <v>266</v>
      </c>
      <c r="O219" s="11">
        <f t="shared" si="104"/>
        <v>27977.34</v>
      </c>
      <c r="P219" s="8">
        <f t="shared" ref="P219" si="105">+P114</f>
        <v>45186</v>
      </c>
      <c r="Q219" s="11">
        <f t="shared" si="96"/>
        <v>2495887</v>
      </c>
      <c r="R219" s="8">
        <f t="shared" ref="R219:R229" si="106">L219+J219+H219+F219+D219+N219+P219</f>
        <v>11244824</v>
      </c>
      <c r="S219" s="11">
        <f t="shared" ref="S219:S229" si="107">M219+K219+I219+G219+E219+O219+Q219</f>
        <v>553384048.69000006</v>
      </c>
      <c r="U219" s="17">
        <f t="shared" si="98"/>
        <v>0.2685039801423304</v>
      </c>
      <c r="V219" s="17">
        <f t="shared" si="99"/>
        <v>0.73149601985766965</v>
      </c>
      <c r="W219" s="17">
        <f t="shared" si="100"/>
        <v>0.68016475847020819</v>
      </c>
      <c r="X219" s="17">
        <f t="shared" si="101"/>
        <v>4.1938762225180226E-2</v>
      </c>
      <c r="Y219" s="17">
        <f t="shared" si="102"/>
        <v>9.3688438342832223E-3</v>
      </c>
      <c r="Z219" s="17">
        <f t="shared" si="103"/>
        <v>2.3655327998019356E-5</v>
      </c>
    </row>
    <row r="220" spans="1:31" x14ac:dyDescent="0.25">
      <c r="B220" s="2" t="s">
        <v>7</v>
      </c>
      <c r="C220" s="2">
        <v>2019</v>
      </c>
      <c r="D220" s="1">
        <f t="shared" ref="D220:O220" si="108">+D94+D73+D52+D31+D10+D115+D136+D157+D178+D199</f>
        <v>3053141</v>
      </c>
      <c r="E220" s="11">
        <f t="shared" si="108"/>
        <v>117249014.28000002</v>
      </c>
      <c r="F220" s="1">
        <f t="shared" si="108"/>
        <v>138181</v>
      </c>
      <c r="G220" s="11">
        <f t="shared" si="108"/>
        <v>6378183.75</v>
      </c>
      <c r="H220" s="1">
        <f t="shared" si="108"/>
        <v>8388359</v>
      </c>
      <c r="I220" s="11">
        <f t="shared" si="108"/>
        <v>438073755.12</v>
      </c>
      <c r="J220" s="8">
        <f t="shared" si="108"/>
        <v>514229</v>
      </c>
      <c r="K220" s="11">
        <f t="shared" si="108"/>
        <v>48259361.949999996</v>
      </c>
      <c r="L220" s="8">
        <f t="shared" si="108"/>
        <v>115757</v>
      </c>
      <c r="M220" s="11">
        <f t="shared" si="108"/>
        <v>9238210.2699999996</v>
      </c>
      <c r="N220" s="8">
        <f t="shared" si="108"/>
        <v>346</v>
      </c>
      <c r="O220" s="11">
        <f t="shared" si="108"/>
        <v>41891</v>
      </c>
      <c r="P220" s="8">
        <f t="shared" ref="P220" si="109">+P115</f>
        <v>47855</v>
      </c>
      <c r="Q220" s="11">
        <f t="shared" si="96"/>
        <v>2658696</v>
      </c>
      <c r="R220" s="8">
        <f t="shared" si="106"/>
        <v>12257868</v>
      </c>
      <c r="S220" s="11">
        <f t="shared" si="107"/>
        <v>621899112.37</v>
      </c>
      <c r="T220" s="13"/>
      <c r="U220" s="17">
        <f t="shared" si="98"/>
        <v>0.26425288639101024</v>
      </c>
      <c r="V220" s="17">
        <f t="shared" si="99"/>
        <v>0.7357471136089897</v>
      </c>
      <c r="W220" s="17">
        <f t="shared" si="100"/>
        <v>0.68432446817015813</v>
      </c>
      <c r="X220" s="17">
        <f t="shared" si="101"/>
        <v>4.1950933066011151E-2</v>
      </c>
      <c r="Y220" s="17">
        <f t="shared" si="102"/>
        <v>9.4434856045113227E-3</v>
      </c>
      <c r="Z220" s="17">
        <f t="shared" si="103"/>
        <v>2.8226768309138262E-5</v>
      </c>
    </row>
    <row r="221" spans="1:31" x14ac:dyDescent="0.25">
      <c r="B221" s="2" t="s">
        <v>8</v>
      </c>
      <c r="C221" s="2">
        <v>2019</v>
      </c>
      <c r="D221" s="1">
        <f t="shared" ref="D221:O221" si="110">+D95+D74+D53+D32+D11+D116+D137+D158+D179+D200</f>
        <v>2718391</v>
      </c>
      <c r="E221" s="11">
        <f t="shared" si="110"/>
        <v>106658907.58</v>
      </c>
      <c r="F221" s="1">
        <f t="shared" si="110"/>
        <v>136291</v>
      </c>
      <c r="G221" s="11">
        <f t="shared" si="110"/>
        <v>6296998.4299999997</v>
      </c>
      <c r="H221" s="1">
        <f t="shared" si="110"/>
        <v>7692979</v>
      </c>
      <c r="I221" s="11">
        <f t="shared" si="110"/>
        <v>415171061.75</v>
      </c>
      <c r="J221" s="8">
        <f t="shared" si="110"/>
        <v>497949</v>
      </c>
      <c r="K221" s="11">
        <f t="shared" si="110"/>
        <v>49258237.380000003</v>
      </c>
      <c r="L221" s="8">
        <f t="shared" si="110"/>
        <v>109527</v>
      </c>
      <c r="M221" s="11">
        <f t="shared" si="110"/>
        <v>9303862.6400000006</v>
      </c>
      <c r="N221" s="8">
        <f t="shared" si="110"/>
        <v>254</v>
      </c>
      <c r="O221" s="11">
        <f t="shared" si="110"/>
        <v>31344</v>
      </c>
      <c r="P221" s="8">
        <f t="shared" ref="P221" si="111">+P116</f>
        <v>46591</v>
      </c>
      <c r="Q221" s="11">
        <f t="shared" si="96"/>
        <v>2592599</v>
      </c>
      <c r="R221" s="8">
        <f t="shared" si="106"/>
        <v>11201982</v>
      </c>
      <c r="S221" s="11">
        <f t="shared" si="107"/>
        <v>589313010.77999997</v>
      </c>
      <c r="U221" s="17">
        <f t="shared" si="98"/>
        <v>0.25899639903010019</v>
      </c>
      <c r="V221" s="17">
        <f t="shared" si="99"/>
        <v>0.74100360096989981</v>
      </c>
      <c r="W221" s="17">
        <f t="shared" si="100"/>
        <v>0.68675159449461709</v>
      </c>
      <c r="X221" s="17">
        <f t="shared" si="101"/>
        <v>4.4451865750185997E-2</v>
      </c>
      <c r="Y221" s="17">
        <f t="shared" si="102"/>
        <v>9.7774661662552217E-3</v>
      </c>
      <c r="Z221" s="17">
        <f t="shared" si="103"/>
        <v>2.2674558841462164E-5</v>
      </c>
    </row>
    <row r="222" spans="1:31" x14ac:dyDescent="0.25">
      <c r="B222" s="2" t="s">
        <v>9</v>
      </c>
      <c r="C222" s="2">
        <v>2019</v>
      </c>
      <c r="D222" s="1">
        <f t="shared" ref="D222:O222" si="112">+D96+D75+D54+D33+D12+D117+D138+D159+D180+D201</f>
        <v>3045807</v>
      </c>
      <c r="E222" s="11">
        <f t="shared" si="112"/>
        <v>118242594.74000001</v>
      </c>
      <c r="F222" s="1">
        <f t="shared" si="112"/>
        <v>153735</v>
      </c>
      <c r="G222" s="11">
        <f t="shared" si="112"/>
        <v>6748690.9000000004</v>
      </c>
      <c r="H222" s="1">
        <f t="shared" si="112"/>
        <v>8510090</v>
      </c>
      <c r="I222" s="11">
        <f t="shared" si="112"/>
        <v>453793878.03999996</v>
      </c>
      <c r="J222" s="8">
        <f t="shared" si="112"/>
        <v>522704</v>
      </c>
      <c r="K222" s="11">
        <f t="shared" si="112"/>
        <v>50926302.32</v>
      </c>
      <c r="L222" s="8">
        <f t="shared" si="112"/>
        <v>115687</v>
      </c>
      <c r="M222" s="11">
        <f t="shared" si="112"/>
        <v>9646304.870000001</v>
      </c>
      <c r="N222" s="8">
        <f t="shared" si="112"/>
        <v>312</v>
      </c>
      <c r="O222" s="11">
        <f t="shared" si="112"/>
        <v>40625</v>
      </c>
      <c r="P222" s="8">
        <f t="shared" ref="P222" si="113">+P117</f>
        <v>46426</v>
      </c>
      <c r="Q222" s="11">
        <f t="shared" si="96"/>
        <v>2569759</v>
      </c>
      <c r="R222" s="8">
        <f t="shared" si="106"/>
        <v>12394761</v>
      </c>
      <c r="S222" s="11">
        <f t="shared" si="107"/>
        <v>641968154.86999989</v>
      </c>
      <c r="U222" s="17">
        <f t="shared" si="98"/>
        <v>0.26188225815729727</v>
      </c>
      <c r="V222" s="17">
        <f t="shared" si="99"/>
        <v>0.73811774184270273</v>
      </c>
      <c r="W222" s="17">
        <f t="shared" si="100"/>
        <v>0.68658766393317305</v>
      </c>
      <c r="X222" s="17">
        <f t="shared" si="101"/>
        <v>4.2171365789142684E-2</v>
      </c>
      <c r="Y222" s="17">
        <f t="shared" si="102"/>
        <v>9.3335401949259048E-3</v>
      </c>
      <c r="Z222" s="17">
        <f t="shared" si="103"/>
        <v>2.5171925461087955E-5</v>
      </c>
    </row>
    <row r="223" spans="1:31" x14ac:dyDescent="0.25">
      <c r="B223" s="2" t="s">
        <v>10</v>
      </c>
      <c r="C223" s="2">
        <v>2019</v>
      </c>
      <c r="D223" s="1">
        <f t="shared" ref="D223:O223" si="114">+D97+D76+D55+D34+D13+D118+D139+D160+D181+D202</f>
        <v>2988692</v>
      </c>
      <c r="E223" s="11">
        <f t="shared" si="114"/>
        <v>115758255.31999999</v>
      </c>
      <c r="F223" s="1">
        <f t="shared" si="114"/>
        <v>127744</v>
      </c>
      <c r="G223" s="11">
        <f t="shared" si="114"/>
        <v>5710714.0100000007</v>
      </c>
      <c r="H223" s="1">
        <f t="shared" si="114"/>
        <v>8075712</v>
      </c>
      <c r="I223" s="11">
        <f t="shared" si="114"/>
        <v>433032510.69999999</v>
      </c>
      <c r="J223" s="8">
        <f t="shared" si="114"/>
        <v>483274</v>
      </c>
      <c r="K223" s="11">
        <f t="shared" si="114"/>
        <v>47376001.450000003</v>
      </c>
      <c r="L223" s="8">
        <f t="shared" si="114"/>
        <v>110204</v>
      </c>
      <c r="M223" s="11">
        <f t="shared" si="114"/>
        <v>9321120.2899999991</v>
      </c>
      <c r="N223" s="8">
        <f t="shared" si="114"/>
        <v>269</v>
      </c>
      <c r="O223" s="11">
        <f t="shared" si="114"/>
        <v>36908</v>
      </c>
      <c r="P223" s="8">
        <f t="shared" ref="P223" si="115">+P118</f>
        <v>40527</v>
      </c>
      <c r="Q223" s="11">
        <f t="shared" si="96"/>
        <v>2271319</v>
      </c>
      <c r="R223" s="8">
        <f t="shared" si="106"/>
        <v>11826422</v>
      </c>
      <c r="S223" s="11">
        <f t="shared" si="107"/>
        <v>613506828.76999998</v>
      </c>
      <c r="U223" s="17">
        <f t="shared" si="98"/>
        <v>0.26694151451723946</v>
      </c>
      <c r="V223" s="17">
        <f t="shared" si="99"/>
        <v>0.73305848548276054</v>
      </c>
      <c r="W223" s="17">
        <f t="shared" si="100"/>
        <v>0.68285336004414521</v>
      </c>
      <c r="X223" s="17">
        <f t="shared" si="101"/>
        <v>4.0863923171353095E-2</v>
      </c>
      <c r="Y223" s="17">
        <f t="shared" si="102"/>
        <v>9.3184565881379838E-3</v>
      </c>
      <c r="Z223" s="17">
        <f t="shared" si="103"/>
        <v>2.2745679124252456E-5</v>
      </c>
    </row>
    <row r="224" spans="1:31" x14ac:dyDescent="0.25">
      <c r="B224" s="2" t="s">
        <v>11</v>
      </c>
      <c r="C224" s="2">
        <v>2019</v>
      </c>
      <c r="D224" s="1">
        <f t="shared" ref="D224:O224" si="116">+D98+D77+D56+D35+D14+D119+D140+D161+D182+D203</f>
        <v>3088728</v>
      </c>
      <c r="E224" s="11">
        <f t="shared" si="116"/>
        <v>121364070.44999999</v>
      </c>
      <c r="F224" s="1">
        <f t="shared" si="116"/>
        <v>115098</v>
      </c>
      <c r="G224" s="11">
        <f t="shared" si="116"/>
        <v>5400935.4800000004</v>
      </c>
      <c r="H224" s="1">
        <f t="shared" si="116"/>
        <v>8217321</v>
      </c>
      <c r="I224" s="11">
        <f t="shared" si="116"/>
        <v>463280813.36000001</v>
      </c>
      <c r="J224" s="8">
        <f t="shared" si="116"/>
        <v>534244</v>
      </c>
      <c r="K224" s="11">
        <f t="shared" si="116"/>
        <v>53908034.700000003</v>
      </c>
      <c r="L224" s="8">
        <f t="shared" si="116"/>
        <v>116364</v>
      </c>
      <c r="M224" s="11">
        <f t="shared" si="116"/>
        <v>10341503.609999999</v>
      </c>
      <c r="N224" s="8">
        <f t="shared" si="116"/>
        <v>280</v>
      </c>
      <c r="O224" s="11">
        <f t="shared" si="116"/>
        <v>37786</v>
      </c>
      <c r="P224" s="8">
        <f t="shared" ref="P224" si="117">+P119</f>
        <v>41494</v>
      </c>
      <c r="Q224" s="11">
        <f t="shared" si="96"/>
        <v>2316260</v>
      </c>
      <c r="R224" s="8">
        <f t="shared" si="106"/>
        <v>12113529</v>
      </c>
      <c r="S224" s="11">
        <f t="shared" si="107"/>
        <v>656649403.60000002</v>
      </c>
      <c r="U224" s="17">
        <f t="shared" si="98"/>
        <v>0.26790871594891957</v>
      </c>
      <c r="V224" s="17">
        <f t="shared" si="99"/>
        <v>0.73209128405108048</v>
      </c>
      <c r="W224" s="17">
        <f t="shared" si="100"/>
        <v>0.6783589654179224</v>
      </c>
      <c r="X224" s="17">
        <f t="shared" si="101"/>
        <v>4.4103085071245544E-2</v>
      </c>
      <c r="Y224" s="17">
        <f t="shared" si="102"/>
        <v>9.6061189105173233E-3</v>
      </c>
      <c r="Z224" s="17">
        <f t="shared" si="103"/>
        <v>2.3114651395146698E-5</v>
      </c>
    </row>
    <row r="225" spans="1:26" x14ac:dyDescent="0.25">
      <c r="B225" s="2" t="s">
        <v>4</v>
      </c>
      <c r="C225" s="2">
        <v>2019</v>
      </c>
      <c r="D225" s="1">
        <f t="shared" ref="D225:O225" si="118">+D99+D78+D57+D36+D15+D120+D141+D162+D183+D204</f>
        <v>3322840</v>
      </c>
      <c r="E225" s="11">
        <f t="shared" si="118"/>
        <v>130366774.00999999</v>
      </c>
      <c r="F225" s="1">
        <f t="shared" si="118"/>
        <v>114183</v>
      </c>
      <c r="G225" s="11">
        <f t="shared" si="118"/>
        <v>5201190.63</v>
      </c>
      <c r="H225" s="1">
        <f t="shared" si="118"/>
        <v>8611734</v>
      </c>
      <c r="I225" s="11">
        <f t="shared" si="118"/>
        <v>481317702.13999999</v>
      </c>
      <c r="J225" s="8">
        <f t="shared" si="118"/>
        <v>553080</v>
      </c>
      <c r="K225" s="11">
        <f t="shared" si="118"/>
        <v>55594794.199999996</v>
      </c>
      <c r="L225" s="8">
        <f t="shared" si="118"/>
        <v>120488</v>
      </c>
      <c r="M225" s="11">
        <f t="shared" si="118"/>
        <v>10595558.210000001</v>
      </c>
      <c r="N225" s="8">
        <f t="shared" si="118"/>
        <v>310</v>
      </c>
      <c r="O225" s="11">
        <f t="shared" si="118"/>
        <v>37675</v>
      </c>
      <c r="P225" s="8">
        <f t="shared" ref="P225" si="119">+P120</f>
        <v>35722</v>
      </c>
      <c r="Q225" s="11">
        <f t="shared" si="96"/>
        <v>1991929</v>
      </c>
      <c r="R225" s="8">
        <f t="shared" si="106"/>
        <v>12758357</v>
      </c>
      <c r="S225" s="11">
        <f t="shared" si="107"/>
        <v>685105623.18999994</v>
      </c>
      <c r="U225" s="17">
        <f t="shared" si="98"/>
        <v>0.27219374720428341</v>
      </c>
      <c r="V225" s="17">
        <f t="shared" si="99"/>
        <v>0.72780625279571654</v>
      </c>
      <c r="W225" s="17">
        <f t="shared" si="100"/>
        <v>0.67498769629976652</v>
      </c>
      <c r="X225" s="17">
        <f t="shared" si="101"/>
        <v>4.335040946103013E-2</v>
      </c>
      <c r="Y225" s="17">
        <f t="shared" si="102"/>
        <v>9.4438492354462257E-3</v>
      </c>
      <c r="Z225" s="17">
        <f t="shared" si="103"/>
        <v>2.4297799473709664E-5</v>
      </c>
    </row>
    <row r="226" spans="1:26" x14ac:dyDescent="0.25">
      <c r="B226" s="2" t="s">
        <v>28</v>
      </c>
      <c r="C226" s="2">
        <v>2019</v>
      </c>
      <c r="D226" s="1">
        <f t="shared" ref="D226:O226" si="120">+D100+D79+D58+D37+D16+D121+D142+D163+D184+D205</f>
        <v>3200360</v>
      </c>
      <c r="E226" s="11">
        <f t="shared" si="120"/>
        <v>125461497.35000001</v>
      </c>
      <c r="F226" s="1">
        <f t="shared" si="120"/>
        <v>116247</v>
      </c>
      <c r="G226" s="11">
        <f t="shared" si="120"/>
        <v>5149458.75</v>
      </c>
      <c r="H226" s="1">
        <f t="shared" si="120"/>
        <v>8290395</v>
      </c>
      <c r="I226" s="11">
        <f t="shared" si="120"/>
        <v>462882711.62</v>
      </c>
      <c r="J226" s="8">
        <f t="shared" si="120"/>
        <v>544060</v>
      </c>
      <c r="K226" s="11">
        <f t="shared" si="120"/>
        <v>53842650.720000006</v>
      </c>
      <c r="L226" s="8">
        <f t="shared" si="120"/>
        <v>118388</v>
      </c>
      <c r="M226" s="11">
        <f t="shared" si="120"/>
        <v>10212988.17</v>
      </c>
      <c r="N226" s="8">
        <f t="shared" si="120"/>
        <v>306</v>
      </c>
      <c r="O226" s="11">
        <f t="shared" si="120"/>
        <v>35808</v>
      </c>
      <c r="P226" s="8">
        <f t="shared" ref="P226" si="121">+P121</f>
        <v>42261</v>
      </c>
      <c r="Q226" s="11">
        <f t="shared" si="96"/>
        <v>2424172</v>
      </c>
      <c r="R226" s="8">
        <f t="shared" si="106"/>
        <v>12312017</v>
      </c>
      <c r="S226" s="11">
        <f t="shared" si="107"/>
        <v>660009286.61000001</v>
      </c>
      <c r="U226" s="17">
        <f t="shared" si="98"/>
        <v>0.2728121639208263</v>
      </c>
      <c r="V226" s="17">
        <f t="shared" si="99"/>
        <v>0.7271878360791737</v>
      </c>
      <c r="W226" s="17">
        <f t="shared" si="100"/>
        <v>0.67335798837834615</v>
      </c>
      <c r="X226" s="17">
        <f t="shared" si="101"/>
        <v>4.418934769177138E-2</v>
      </c>
      <c r="Y226" s="17">
        <f t="shared" si="102"/>
        <v>9.6156462422038562E-3</v>
      </c>
      <c r="Z226" s="17">
        <f t="shared" si="103"/>
        <v>2.4853766852336217E-5</v>
      </c>
    </row>
    <row r="227" spans="1:26" x14ac:dyDescent="0.25">
      <c r="B227" s="2" t="s">
        <v>29</v>
      </c>
      <c r="C227" s="2">
        <v>2019</v>
      </c>
      <c r="D227" s="1">
        <f t="shared" ref="D227:O227" si="122">+D101+D80+D59+D38+D17+D122+D143+D164+D185+D206</f>
        <v>3581712</v>
      </c>
      <c r="E227" s="11">
        <f t="shared" si="122"/>
        <v>140563692.18000001</v>
      </c>
      <c r="F227" s="1">
        <f t="shared" si="122"/>
        <v>148076</v>
      </c>
      <c r="G227" s="11">
        <f t="shared" si="122"/>
        <v>6391695.3899999997</v>
      </c>
      <c r="H227" s="1">
        <f t="shared" si="122"/>
        <v>9160146</v>
      </c>
      <c r="I227" s="11">
        <f t="shared" si="122"/>
        <v>510024245.98000002</v>
      </c>
      <c r="J227" s="8">
        <f t="shared" si="122"/>
        <v>601343</v>
      </c>
      <c r="K227" s="11">
        <f t="shared" si="122"/>
        <v>59149624.789999999</v>
      </c>
      <c r="L227" s="8">
        <f t="shared" si="122"/>
        <v>127979</v>
      </c>
      <c r="M227" s="11">
        <f t="shared" si="122"/>
        <v>11110351.390000001</v>
      </c>
      <c r="N227" s="8">
        <f t="shared" si="122"/>
        <v>327</v>
      </c>
      <c r="O227" s="11">
        <f t="shared" si="122"/>
        <v>34784.050000000003</v>
      </c>
      <c r="P227" s="8">
        <f t="shared" ref="P227" si="123">+P122</f>
        <v>44301</v>
      </c>
      <c r="Q227" s="11">
        <f t="shared" si="96"/>
        <v>2513600</v>
      </c>
      <c r="R227" s="8">
        <f t="shared" si="106"/>
        <v>13663884</v>
      </c>
      <c r="S227" s="11">
        <f t="shared" si="107"/>
        <v>729787993.77999997</v>
      </c>
      <c r="U227" s="17"/>
      <c r="V227" s="17"/>
      <c r="W227" s="17"/>
      <c r="X227" s="17"/>
      <c r="Y227" s="17"/>
      <c r="Z227" s="17"/>
    </row>
    <row r="228" spans="1:26" x14ac:dyDescent="0.25">
      <c r="B228" s="2" t="s">
        <v>30</v>
      </c>
      <c r="C228" s="2">
        <v>2019</v>
      </c>
      <c r="D228" s="1">
        <f t="shared" ref="D228:O228" si="124">+D102+D81+D60+D39+D18+D123+D144+D165+D186+D207</f>
        <v>3392422</v>
      </c>
      <c r="E228" s="11">
        <f t="shared" si="124"/>
        <v>133972764.23</v>
      </c>
      <c r="F228" s="1">
        <f t="shared" si="124"/>
        <v>179466</v>
      </c>
      <c r="G228" s="11">
        <f t="shared" si="124"/>
        <v>7598160.2400000002</v>
      </c>
      <c r="H228" s="1">
        <f t="shared" si="124"/>
        <v>8714000</v>
      </c>
      <c r="I228" s="11">
        <f t="shared" si="124"/>
        <v>488854403.12</v>
      </c>
      <c r="J228" s="8">
        <f t="shared" si="124"/>
        <v>575825</v>
      </c>
      <c r="K228" s="11">
        <f t="shared" si="124"/>
        <v>57014109.600000001</v>
      </c>
      <c r="L228" s="8">
        <f t="shared" si="124"/>
        <v>122249</v>
      </c>
      <c r="M228" s="11">
        <f t="shared" si="124"/>
        <v>10604161.539999999</v>
      </c>
      <c r="N228" s="8">
        <f t="shared" si="124"/>
        <v>262</v>
      </c>
      <c r="O228" s="11">
        <f t="shared" si="124"/>
        <v>26294.129999999997</v>
      </c>
      <c r="P228" s="8">
        <f t="shared" ref="P228" si="125">+P123</f>
        <v>40203</v>
      </c>
      <c r="Q228" s="11">
        <f t="shared" si="96"/>
        <v>2284112</v>
      </c>
      <c r="R228" s="8">
        <f t="shared" si="106"/>
        <v>13024427</v>
      </c>
      <c r="S228" s="11">
        <f t="shared" si="107"/>
        <v>700354004.86000001</v>
      </c>
      <c r="U228" s="17"/>
      <c r="V228" s="17"/>
      <c r="W228" s="17"/>
      <c r="X228" s="17"/>
      <c r="Y228" s="17"/>
      <c r="Z228" s="17"/>
    </row>
    <row r="229" spans="1:26" x14ac:dyDescent="0.25">
      <c r="B229" s="2" t="s">
        <v>31</v>
      </c>
      <c r="C229" s="2">
        <v>2019</v>
      </c>
      <c r="D229" s="1">
        <f t="shared" ref="D229:O229" si="126">+D103+D82+D61+D40+D19+D124+D145+D166+D187+D208</f>
        <v>3228697</v>
      </c>
      <c r="E229" s="11">
        <f t="shared" si="126"/>
        <v>128881121.37</v>
      </c>
      <c r="F229" s="1">
        <f t="shared" si="126"/>
        <v>192743</v>
      </c>
      <c r="G229" s="11">
        <f t="shared" si="126"/>
        <v>8181228.0800000001</v>
      </c>
      <c r="H229" s="1">
        <f t="shared" si="126"/>
        <v>8169519</v>
      </c>
      <c r="I229" s="11">
        <f t="shared" si="126"/>
        <v>468983145.43000001</v>
      </c>
      <c r="J229" s="8">
        <f t="shared" si="126"/>
        <v>564318</v>
      </c>
      <c r="K229" s="11">
        <f t="shared" si="126"/>
        <v>57642025.699999996</v>
      </c>
      <c r="L229" s="8">
        <f t="shared" si="126"/>
        <v>117782</v>
      </c>
      <c r="M229" s="11">
        <f t="shared" si="126"/>
        <v>10470779.300000001</v>
      </c>
      <c r="N229" s="8">
        <f t="shared" si="126"/>
        <v>222</v>
      </c>
      <c r="O229" s="11">
        <f t="shared" si="126"/>
        <v>18793</v>
      </c>
      <c r="P229" s="8">
        <f t="shared" ref="P229" si="127">+P124</f>
        <v>27051</v>
      </c>
      <c r="Q229" s="11">
        <f t="shared" si="96"/>
        <v>1513140</v>
      </c>
      <c r="R229" s="8">
        <f t="shared" si="106"/>
        <v>12300332</v>
      </c>
      <c r="S229" s="11">
        <f t="shared" si="107"/>
        <v>675690232.88000011</v>
      </c>
      <c r="U229" s="17"/>
      <c r="V229" s="17"/>
      <c r="W229" s="17"/>
      <c r="X229" s="17"/>
      <c r="Y229" s="17"/>
      <c r="Z229" s="17"/>
    </row>
    <row r="230" spans="1:26" x14ac:dyDescent="0.25">
      <c r="P230" s="9"/>
      <c r="S230" s="9"/>
      <c r="U230" s="18"/>
      <c r="V230" s="19"/>
      <c r="W230" s="18"/>
      <c r="X230" s="18"/>
      <c r="Y230" s="18"/>
      <c r="Z230" s="18"/>
    </row>
    <row r="231" spans="1:26" x14ac:dyDescent="0.25">
      <c r="B231" s="3" t="s">
        <v>12</v>
      </c>
      <c r="C231" s="3"/>
      <c r="D231" s="4">
        <f t="shared" ref="D231:O231" si="128">SUM(D218:D230)</f>
        <v>37321283</v>
      </c>
      <c r="E231" s="12">
        <f t="shared" si="128"/>
        <v>1449250692.0500002</v>
      </c>
      <c r="F231" s="4">
        <f t="shared" si="128"/>
        <v>1664718</v>
      </c>
      <c r="G231" s="12">
        <f t="shared" si="128"/>
        <v>73944102.920000002</v>
      </c>
      <c r="H231" s="4">
        <f t="shared" si="128"/>
        <v>99182312</v>
      </c>
      <c r="I231" s="12">
        <f t="shared" si="128"/>
        <v>5384904276.8800001</v>
      </c>
      <c r="J231" s="4">
        <f t="shared" si="128"/>
        <v>6372625</v>
      </c>
      <c r="K231" s="12">
        <f t="shared" si="128"/>
        <v>620330611.30000007</v>
      </c>
      <c r="L231" s="4">
        <f t="shared" si="128"/>
        <v>1388114</v>
      </c>
      <c r="M231" s="12">
        <f t="shared" si="128"/>
        <v>117943072.22000001</v>
      </c>
      <c r="N231" s="4">
        <f t="shared" si="128"/>
        <v>3439</v>
      </c>
      <c r="O231" s="12">
        <f t="shared" si="128"/>
        <v>400353.76</v>
      </c>
      <c r="P231" s="4">
        <f>SUM(P218:P230)</f>
        <v>503771</v>
      </c>
      <c r="Q231" s="12">
        <f>SUM(Q218:Q230)</f>
        <v>27956099</v>
      </c>
      <c r="R231" s="4">
        <f>SUM(R218:R230)</f>
        <v>146436262</v>
      </c>
      <c r="S231" s="12">
        <f>SUM(S218:S230)</f>
        <v>7674729208.1299982</v>
      </c>
      <c r="U231" s="16">
        <f>+(D231+F231)/R231</f>
        <v>0.26623187772984808</v>
      </c>
      <c r="V231" s="16">
        <f>1-U231</f>
        <v>0.73376812227015198</v>
      </c>
      <c r="W231" s="16">
        <f>+H231/R231</f>
        <v>0.6773070457097573</v>
      </c>
      <c r="X231" s="16">
        <f>+J231/R231</f>
        <v>4.351808024162758E-2</v>
      </c>
      <c r="Y231" s="16">
        <f>+L231/R231</f>
        <v>9.4793050644791793E-3</v>
      </c>
      <c r="Z231" s="16">
        <f>+N231/R231</f>
        <v>2.3484620223370628E-5</v>
      </c>
    </row>
    <row r="232" spans="1:26" x14ac:dyDescent="0.25">
      <c r="F232" s="15"/>
      <c r="G232" s="9">
        <f>+G231/12</f>
        <v>6162008.5766666671</v>
      </c>
      <c r="H232" s="15"/>
      <c r="I232" s="9">
        <f>+I231+K231+M231+O231</f>
        <v>6123578314.1600008</v>
      </c>
      <c r="J232" s="25">
        <f>+I232*0.3</f>
        <v>1837073494.2480001</v>
      </c>
    </row>
    <row r="233" spans="1:26" x14ac:dyDescent="0.25">
      <c r="B233" s="5" t="s">
        <v>14</v>
      </c>
      <c r="G233" s="9">
        <f>+G232/25</f>
        <v>246480.34306666668</v>
      </c>
      <c r="I233" s="9">
        <f>+I232/12</f>
        <v>510298192.84666675</v>
      </c>
      <c r="J233" s="25">
        <f>+J232/25</f>
        <v>73482939.769920006</v>
      </c>
    </row>
    <row r="234" spans="1:26" x14ac:dyDescent="0.25">
      <c r="B234" s="5" t="s">
        <v>47</v>
      </c>
      <c r="I234" s="9">
        <f>+I233/23</f>
        <v>22186877.949855078</v>
      </c>
    </row>
    <row r="235" spans="1:26" x14ac:dyDescent="0.25">
      <c r="B235" s="5"/>
      <c r="J235" s="9"/>
      <c r="N235"/>
      <c r="P235" s="9"/>
      <c r="S235" s="9"/>
    </row>
    <row r="236" spans="1:26" x14ac:dyDescent="0.25">
      <c r="D236" s="89" t="s">
        <v>23</v>
      </c>
      <c r="E236" s="90"/>
      <c r="F236" s="89" t="s">
        <v>24</v>
      </c>
      <c r="G236" s="90"/>
      <c r="H236" s="89" t="s">
        <v>18</v>
      </c>
      <c r="I236" s="90"/>
      <c r="J236" s="89" t="s">
        <v>48</v>
      </c>
      <c r="K236" s="90"/>
      <c r="L236" s="89" t="s">
        <v>13</v>
      </c>
      <c r="M236" s="90"/>
      <c r="N236" s="89" t="s">
        <v>37</v>
      </c>
      <c r="O236" s="90"/>
      <c r="P236" s="89" t="s">
        <v>43</v>
      </c>
      <c r="Q236" s="93"/>
      <c r="S236" s="9"/>
      <c r="T236" s="89" t="s">
        <v>45</v>
      </c>
      <c r="U236" s="93"/>
    </row>
    <row r="237" spans="1:26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S237" s="9"/>
      <c r="T237" s="7" t="s">
        <v>2</v>
      </c>
      <c r="U237" s="10" t="s">
        <v>3</v>
      </c>
    </row>
    <row r="238" spans="1:26" x14ac:dyDescent="0.25">
      <c r="N238"/>
      <c r="S238" s="9"/>
      <c r="U238" s="9"/>
    </row>
    <row r="239" spans="1:26" x14ac:dyDescent="0.25">
      <c r="B239" s="2" t="s">
        <v>5</v>
      </c>
      <c r="C239" s="2">
        <v>2019</v>
      </c>
      <c r="D239" s="1">
        <v>372739</v>
      </c>
      <c r="E239" s="11">
        <v>9843856.1999999993</v>
      </c>
      <c r="F239" s="1">
        <v>492261</v>
      </c>
      <c r="G239" s="11">
        <v>35882188</v>
      </c>
      <c r="H239" s="1">
        <v>426954</v>
      </c>
      <c r="I239" s="11">
        <v>41847488</v>
      </c>
      <c r="J239" s="1"/>
      <c r="K239" s="11"/>
      <c r="L239" s="8">
        <v>233982</v>
      </c>
      <c r="M239" s="11">
        <v>12832225</v>
      </c>
      <c r="N239" s="8">
        <v>2046</v>
      </c>
      <c r="O239" s="11">
        <v>146734</v>
      </c>
      <c r="P239" s="8">
        <f t="shared" ref="P239:Q242" si="129">+L239+H239+F239+D239+N239+J239</f>
        <v>1527982</v>
      </c>
      <c r="Q239" s="11">
        <f t="shared" si="129"/>
        <v>100552491.2</v>
      </c>
      <c r="S239" s="9"/>
      <c r="T239" s="20">
        <f t="shared" ref="T239:T250" si="130">+P239+R218</f>
        <v>12865841</v>
      </c>
      <c r="U239" s="21">
        <f t="shared" ref="U239:U250" si="131">+Q239+S218</f>
        <v>647613998.93000007</v>
      </c>
    </row>
    <row r="240" spans="1:26" x14ac:dyDescent="0.25">
      <c r="B240" s="2" t="s">
        <v>6</v>
      </c>
      <c r="C240" s="2">
        <v>2019</v>
      </c>
      <c r="D240" s="1">
        <v>391302</v>
      </c>
      <c r="E240" s="11">
        <v>11423912.439999998</v>
      </c>
      <c r="F240" s="1">
        <v>496710</v>
      </c>
      <c r="G240" s="11">
        <v>37000587</v>
      </c>
      <c r="H240" s="1">
        <v>403489</v>
      </c>
      <c r="I240" s="11">
        <v>40684873</v>
      </c>
      <c r="J240" s="1"/>
      <c r="K240" s="11"/>
      <c r="L240" s="8">
        <v>241115</v>
      </c>
      <c r="M240" s="11">
        <v>13331604</v>
      </c>
      <c r="N240" s="8">
        <v>2011</v>
      </c>
      <c r="O240" s="11">
        <v>156414</v>
      </c>
      <c r="P240" s="8">
        <f t="shared" si="129"/>
        <v>1534627</v>
      </c>
      <c r="Q240" s="11">
        <f t="shared" si="129"/>
        <v>102597390.44</v>
      </c>
      <c r="S240" s="9"/>
      <c r="T240" s="20">
        <f t="shared" si="130"/>
        <v>12779451</v>
      </c>
      <c r="U240" s="21">
        <f t="shared" si="131"/>
        <v>655981439.13000011</v>
      </c>
    </row>
    <row r="241" spans="2:21" x14ac:dyDescent="0.25">
      <c r="B241" s="2" t="s">
        <v>7</v>
      </c>
      <c r="C241" s="2">
        <v>2019</v>
      </c>
      <c r="D241" s="1">
        <v>442456</v>
      </c>
      <c r="E241" s="11">
        <v>13336349.770000001</v>
      </c>
      <c r="F241" s="1">
        <v>558294</v>
      </c>
      <c r="G241" s="11">
        <v>42488544</v>
      </c>
      <c r="H241" s="1">
        <v>479863</v>
      </c>
      <c r="I241" s="11">
        <v>48601835</v>
      </c>
      <c r="J241" s="1"/>
      <c r="K241" s="11"/>
      <c r="L241" s="8">
        <v>270378</v>
      </c>
      <c r="M241" s="11">
        <v>15595907</v>
      </c>
      <c r="N241" s="8">
        <v>2216</v>
      </c>
      <c r="O241" s="11">
        <v>180215</v>
      </c>
      <c r="P241" s="8">
        <f t="shared" si="129"/>
        <v>1753207</v>
      </c>
      <c r="Q241" s="11">
        <f t="shared" si="129"/>
        <v>120202850.77</v>
      </c>
      <c r="S241" s="9"/>
      <c r="T241" s="20">
        <f t="shared" si="130"/>
        <v>14011075</v>
      </c>
      <c r="U241" s="21">
        <f t="shared" si="131"/>
        <v>742101963.13999999</v>
      </c>
    </row>
    <row r="242" spans="2:21" x14ac:dyDescent="0.25">
      <c r="B242" s="2" t="s">
        <v>8</v>
      </c>
      <c r="C242" s="2">
        <v>2019</v>
      </c>
      <c r="D242" s="1">
        <v>406542</v>
      </c>
      <c r="E242" s="11">
        <v>12783383.689999998</v>
      </c>
      <c r="F242" s="1">
        <v>560150</v>
      </c>
      <c r="G242" s="11">
        <v>43473672</v>
      </c>
      <c r="H242" s="1">
        <v>524733</v>
      </c>
      <c r="I242" s="11">
        <v>51417390</v>
      </c>
      <c r="J242" s="1"/>
      <c r="K242" s="11"/>
      <c r="L242" s="8">
        <v>261340</v>
      </c>
      <c r="M242" s="11">
        <v>15348198</v>
      </c>
      <c r="N242" s="8">
        <v>2316</v>
      </c>
      <c r="O242" s="11">
        <v>175511</v>
      </c>
      <c r="P242" s="8">
        <f t="shared" si="129"/>
        <v>1755081</v>
      </c>
      <c r="Q242" s="11">
        <f t="shared" si="129"/>
        <v>123198154.69</v>
      </c>
      <c r="S242" s="9"/>
      <c r="T242" s="20">
        <f t="shared" si="130"/>
        <v>12957063</v>
      </c>
      <c r="U242" s="21">
        <f t="shared" si="131"/>
        <v>712511165.47000003</v>
      </c>
    </row>
    <row r="243" spans="2:21" x14ac:dyDescent="0.25">
      <c r="B243" s="2" t="s">
        <v>9</v>
      </c>
      <c r="C243" s="2">
        <v>2019</v>
      </c>
      <c r="D243" s="1">
        <v>423248</v>
      </c>
      <c r="E243" s="11">
        <v>11644473.319999998</v>
      </c>
      <c r="F243" s="1">
        <v>585010</v>
      </c>
      <c r="G243" s="11">
        <v>44134819</v>
      </c>
      <c r="H243" s="1">
        <v>275987</v>
      </c>
      <c r="I243" s="11">
        <v>27901573</v>
      </c>
      <c r="J243" s="1">
        <v>156654</v>
      </c>
      <c r="K243" s="11">
        <v>15047369</v>
      </c>
      <c r="L243" s="8">
        <v>274253</v>
      </c>
      <c r="M243" s="11">
        <v>15709505</v>
      </c>
      <c r="N243" s="8">
        <v>2388</v>
      </c>
      <c r="O243" s="11">
        <v>203459</v>
      </c>
      <c r="P243" s="8">
        <f>+L243+H243+F243+D243+N243+J243</f>
        <v>1717540</v>
      </c>
      <c r="Q243" s="11">
        <f>+M243+I243+G243+E243+O243+K243</f>
        <v>114641198.31999999</v>
      </c>
      <c r="S243" s="9"/>
      <c r="T243" s="20">
        <f t="shared" si="130"/>
        <v>14112301</v>
      </c>
      <c r="U243" s="21">
        <f t="shared" si="131"/>
        <v>756609353.18999982</v>
      </c>
    </row>
    <row r="244" spans="2:21" x14ac:dyDescent="0.25">
      <c r="B244" s="2" t="s">
        <v>10</v>
      </c>
      <c r="C244" s="2">
        <v>2019</v>
      </c>
      <c r="D244" s="1">
        <v>422357</v>
      </c>
      <c r="E244" s="11">
        <v>11750597.940000003</v>
      </c>
      <c r="F244" s="1">
        <v>583068</v>
      </c>
      <c r="G244" s="11">
        <v>42870868</v>
      </c>
      <c r="H244" s="1">
        <v>13085</v>
      </c>
      <c r="I244" s="11">
        <v>656848</v>
      </c>
      <c r="J244" s="1">
        <v>390867</v>
      </c>
      <c r="K244" s="11">
        <v>38433516</v>
      </c>
      <c r="L244" s="8">
        <v>274639</v>
      </c>
      <c r="M244" s="11">
        <v>15517380</v>
      </c>
      <c r="N244" s="8">
        <v>2561</v>
      </c>
      <c r="O244" s="11">
        <v>215704</v>
      </c>
      <c r="P244" s="8">
        <f t="shared" ref="P244:Q250" si="132">+L244+H244+F244+D244+N244+J244</f>
        <v>1686577</v>
      </c>
      <c r="Q244" s="11">
        <f t="shared" si="132"/>
        <v>109444913.94</v>
      </c>
      <c r="S244" s="9"/>
      <c r="T244" s="20">
        <f t="shared" si="130"/>
        <v>13512999</v>
      </c>
      <c r="U244" s="21">
        <f t="shared" si="131"/>
        <v>722951742.71000004</v>
      </c>
    </row>
    <row r="245" spans="2:21" x14ac:dyDescent="0.25">
      <c r="B245" s="2" t="s">
        <v>11</v>
      </c>
      <c r="C245" s="2">
        <v>2019</v>
      </c>
      <c r="D245" s="1">
        <v>424901</v>
      </c>
      <c r="E245" s="11">
        <v>12518311.670000004</v>
      </c>
      <c r="F245" s="1">
        <v>655694</v>
      </c>
      <c r="G245" s="11">
        <v>50364426</v>
      </c>
      <c r="H245" s="1">
        <v>14113</v>
      </c>
      <c r="I245" s="11">
        <v>633724</v>
      </c>
      <c r="J245" s="1">
        <v>488926</v>
      </c>
      <c r="K245" s="11">
        <v>50397090</v>
      </c>
      <c r="L245" s="8">
        <v>295786</v>
      </c>
      <c r="M245" s="11">
        <v>16407489</v>
      </c>
      <c r="N245" s="8">
        <v>2690</v>
      </c>
      <c r="O245" s="11">
        <v>213024</v>
      </c>
      <c r="P245" s="8">
        <f t="shared" si="132"/>
        <v>1882110</v>
      </c>
      <c r="Q245" s="11">
        <f t="shared" si="132"/>
        <v>130534064.67</v>
      </c>
      <c r="S245" s="9"/>
      <c r="T245" s="20">
        <f t="shared" si="130"/>
        <v>13995639</v>
      </c>
      <c r="U245" s="21">
        <f t="shared" si="131"/>
        <v>787183468.26999998</v>
      </c>
    </row>
    <row r="246" spans="2:21" x14ac:dyDescent="0.25">
      <c r="B246" s="2" t="s">
        <v>4</v>
      </c>
      <c r="C246" s="2">
        <v>2019</v>
      </c>
      <c r="D246" s="1">
        <v>475277</v>
      </c>
      <c r="E246" s="11">
        <v>13300981.240000002</v>
      </c>
      <c r="F246" s="1">
        <v>700485</v>
      </c>
      <c r="G246" s="11">
        <v>52328489</v>
      </c>
      <c r="H246" s="1">
        <v>13771</v>
      </c>
      <c r="I246" s="11">
        <v>607716</v>
      </c>
      <c r="J246" s="1">
        <v>481825</v>
      </c>
      <c r="K246" s="11">
        <v>49636189</v>
      </c>
      <c r="L246" s="8">
        <v>311241</v>
      </c>
      <c r="M246" s="11">
        <v>17015237</v>
      </c>
      <c r="N246" s="8">
        <v>2862</v>
      </c>
      <c r="O246" s="11">
        <v>238000</v>
      </c>
      <c r="P246" s="8">
        <f t="shared" si="132"/>
        <v>1985461</v>
      </c>
      <c r="Q246" s="11">
        <f t="shared" si="132"/>
        <v>133126612.24000001</v>
      </c>
      <c r="S246" s="9"/>
      <c r="T246" s="20">
        <f t="shared" si="130"/>
        <v>14743818</v>
      </c>
      <c r="U246" s="21">
        <f t="shared" si="131"/>
        <v>818232235.42999995</v>
      </c>
    </row>
    <row r="247" spans="2:21" x14ac:dyDescent="0.25">
      <c r="B247" s="2" t="s">
        <v>28</v>
      </c>
      <c r="C247" s="2">
        <v>2019</v>
      </c>
      <c r="D247" s="1">
        <v>446801</v>
      </c>
      <c r="E247" s="11">
        <v>12177155.07</v>
      </c>
      <c r="F247" s="1">
        <v>692850</v>
      </c>
      <c r="G247" s="11">
        <v>50725435</v>
      </c>
      <c r="H247" s="1">
        <v>12228</v>
      </c>
      <c r="I247" s="11">
        <v>604280</v>
      </c>
      <c r="J247" s="1">
        <v>466296</v>
      </c>
      <c r="K247" s="11">
        <v>48666447</v>
      </c>
      <c r="L247" s="8">
        <v>294990</v>
      </c>
      <c r="M247" s="11">
        <v>16076219</v>
      </c>
      <c r="N247" s="8">
        <v>2781</v>
      </c>
      <c r="O247" s="11">
        <v>233953</v>
      </c>
      <c r="P247" s="8">
        <f t="shared" si="132"/>
        <v>1915946</v>
      </c>
      <c r="Q247" s="11">
        <f t="shared" si="132"/>
        <v>128483489.06999999</v>
      </c>
      <c r="S247" s="9"/>
      <c r="T247" s="20">
        <f t="shared" si="130"/>
        <v>14227963</v>
      </c>
      <c r="U247" s="21">
        <f t="shared" si="131"/>
        <v>788492775.68000007</v>
      </c>
    </row>
    <row r="248" spans="2:21" x14ac:dyDescent="0.25">
      <c r="B248" s="2" t="s">
        <v>29</v>
      </c>
      <c r="C248" s="2">
        <v>2019</v>
      </c>
      <c r="D248" s="1">
        <v>498976</v>
      </c>
      <c r="E248" s="11">
        <v>13268445.900000002</v>
      </c>
      <c r="F248" s="1">
        <v>775560</v>
      </c>
      <c r="G248" s="11">
        <v>56709479</v>
      </c>
      <c r="H248" s="1">
        <v>13087</v>
      </c>
      <c r="I248" s="11">
        <v>667116</v>
      </c>
      <c r="J248" s="1">
        <v>481313</v>
      </c>
      <c r="K248" s="11">
        <v>51336658</v>
      </c>
      <c r="L248" s="8">
        <v>328260</v>
      </c>
      <c r="M248" s="11">
        <v>17486420</v>
      </c>
      <c r="N248" s="8">
        <v>3299</v>
      </c>
      <c r="O248" s="11">
        <v>284674</v>
      </c>
      <c r="P248" s="8">
        <f t="shared" si="132"/>
        <v>2100495</v>
      </c>
      <c r="Q248" s="11">
        <f t="shared" si="132"/>
        <v>139752792.90000001</v>
      </c>
      <c r="S248" s="9"/>
      <c r="T248" s="20">
        <f t="shared" si="130"/>
        <v>15764379</v>
      </c>
      <c r="U248" s="21">
        <f t="shared" si="131"/>
        <v>869540786.67999995</v>
      </c>
    </row>
    <row r="249" spans="2:21" x14ac:dyDescent="0.25">
      <c r="B249" s="2" t="s">
        <v>30</v>
      </c>
      <c r="C249" s="2">
        <v>2019</v>
      </c>
      <c r="D249" s="1">
        <v>498955</v>
      </c>
      <c r="E249" s="11">
        <v>13485151.649999999</v>
      </c>
      <c r="F249" s="1">
        <v>807257</v>
      </c>
      <c r="G249" s="11">
        <v>59429935</v>
      </c>
      <c r="H249" s="1">
        <v>14021</v>
      </c>
      <c r="I249" s="11">
        <v>707486</v>
      </c>
      <c r="J249" s="1">
        <v>534510</v>
      </c>
      <c r="K249" s="11">
        <v>55033590</v>
      </c>
      <c r="L249" s="8">
        <v>339477</v>
      </c>
      <c r="M249" s="11">
        <v>18139213</v>
      </c>
      <c r="N249" s="8">
        <v>3410</v>
      </c>
      <c r="O249" s="11">
        <v>305195</v>
      </c>
      <c r="P249" s="8">
        <f t="shared" si="132"/>
        <v>2197630</v>
      </c>
      <c r="Q249" s="11">
        <f t="shared" si="132"/>
        <v>147100570.65000001</v>
      </c>
      <c r="S249" s="9"/>
      <c r="T249" s="20">
        <f t="shared" si="130"/>
        <v>15222057</v>
      </c>
      <c r="U249" s="21">
        <f t="shared" si="131"/>
        <v>847454575.50999999</v>
      </c>
    </row>
    <row r="250" spans="2:21" x14ac:dyDescent="0.25">
      <c r="B250" s="2" t="s">
        <v>31</v>
      </c>
      <c r="C250" s="2">
        <v>2019</v>
      </c>
      <c r="D250" s="1">
        <v>482805</v>
      </c>
      <c r="E250" s="11">
        <v>13720447.369999997</v>
      </c>
      <c r="F250" s="1">
        <v>879987</v>
      </c>
      <c r="G250" s="11">
        <v>64298671</v>
      </c>
      <c r="H250" s="1">
        <v>17067</v>
      </c>
      <c r="I250" s="11">
        <v>780821</v>
      </c>
      <c r="J250" s="1">
        <v>619271</v>
      </c>
      <c r="K250" s="11">
        <v>61945250</v>
      </c>
      <c r="L250" s="8">
        <v>338587</v>
      </c>
      <c r="M250" s="11">
        <v>18529469</v>
      </c>
      <c r="N250" s="8">
        <v>3444</v>
      </c>
      <c r="O250" s="11">
        <v>273060</v>
      </c>
      <c r="P250" s="8">
        <f t="shared" si="132"/>
        <v>2341161</v>
      </c>
      <c r="Q250" s="11">
        <f t="shared" si="132"/>
        <v>159547718.37</v>
      </c>
      <c r="S250" s="9"/>
      <c r="T250" s="20">
        <f t="shared" si="130"/>
        <v>14641493</v>
      </c>
      <c r="U250" s="21">
        <f t="shared" si="131"/>
        <v>835237951.25000012</v>
      </c>
    </row>
    <row r="251" spans="2:21" x14ac:dyDescent="0.25">
      <c r="N251"/>
      <c r="S251" s="9"/>
      <c r="U251" s="9"/>
    </row>
    <row r="252" spans="2:21" x14ac:dyDescent="0.25">
      <c r="B252" s="3" t="s">
        <v>12</v>
      </c>
      <c r="C252" s="3"/>
      <c r="D252" s="4">
        <f>SUM(D239:D251)</f>
        <v>5286359</v>
      </c>
      <c r="E252" s="12">
        <f t="shared" ref="E252:Q252" si="133">SUM(E239:E251)</f>
        <v>149253066.26000002</v>
      </c>
      <c r="F252" s="4">
        <f t="shared" si="133"/>
        <v>7787326</v>
      </c>
      <c r="G252" s="12">
        <f t="shared" si="133"/>
        <v>579707113</v>
      </c>
      <c r="H252" s="4">
        <f t="shared" si="133"/>
        <v>2208398</v>
      </c>
      <c r="I252" s="12">
        <f t="shared" si="133"/>
        <v>215111150</v>
      </c>
      <c r="J252" s="4">
        <f>SUM(J239:J251)</f>
        <v>3619662</v>
      </c>
      <c r="K252" s="12">
        <f>SUM(K239:K251)</f>
        <v>370496109</v>
      </c>
      <c r="L252" s="4">
        <f t="shared" si="133"/>
        <v>3464048</v>
      </c>
      <c r="M252" s="12">
        <f t="shared" si="133"/>
        <v>191988866</v>
      </c>
      <c r="N252" s="4">
        <f t="shared" si="133"/>
        <v>32024</v>
      </c>
      <c r="O252" s="12">
        <f t="shared" si="133"/>
        <v>2625943</v>
      </c>
      <c r="P252" s="4">
        <f t="shared" si="133"/>
        <v>22397817</v>
      </c>
      <c r="Q252" s="12">
        <f t="shared" si="133"/>
        <v>1509182247.2600002</v>
      </c>
      <c r="R252" s="13"/>
      <c r="S252" s="9"/>
      <c r="T252" s="22">
        <f>SUM(T239:T251)</f>
        <v>168834079</v>
      </c>
      <c r="U252" s="23">
        <f>SUM(U239:U251)</f>
        <v>9183911455.3900013</v>
      </c>
    </row>
    <row r="253" spans="2:21" x14ac:dyDescent="0.25">
      <c r="J253" s="9"/>
      <c r="N253"/>
      <c r="P253" s="9"/>
      <c r="R253" s="9"/>
      <c r="S253" s="9"/>
    </row>
    <row r="254" spans="2:21" x14ac:dyDescent="0.25">
      <c r="R254" s="9"/>
    </row>
  </sheetData>
  <autoFilter ref="B6:Q210" xr:uid="{6C8817FB-2AAD-4DDB-95BD-C4FE7203597C}"/>
  <mergeCells count="98">
    <mergeCell ref="N194:O194"/>
    <mergeCell ref="P194:Q194"/>
    <mergeCell ref="U194:Z194"/>
    <mergeCell ref="D194:E194"/>
    <mergeCell ref="F194:G194"/>
    <mergeCell ref="H194:I194"/>
    <mergeCell ref="J194:K194"/>
    <mergeCell ref="L194:M194"/>
    <mergeCell ref="P152:Q152"/>
    <mergeCell ref="U152:Z152"/>
    <mergeCell ref="D173:E173"/>
    <mergeCell ref="F173:G173"/>
    <mergeCell ref="H173:I173"/>
    <mergeCell ref="J173:K173"/>
    <mergeCell ref="L173:M173"/>
    <mergeCell ref="N173:O173"/>
    <mergeCell ref="P173:Q173"/>
    <mergeCell ref="U173:Z173"/>
    <mergeCell ref="J236:K236"/>
    <mergeCell ref="P215:Q215"/>
    <mergeCell ref="R215:S215"/>
    <mergeCell ref="U215:Z215"/>
    <mergeCell ref="D236:E236"/>
    <mergeCell ref="F236:G236"/>
    <mergeCell ref="H236:I236"/>
    <mergeCell ref="L236:M236"/>
    <mergeCell ref="N236:O236"/>
    <mergeCell ref="P236:Q236"/>
    <mergeCell ref="T236:U236"/>
    <mergeCell ref="D215:E215"/>
    <mergeCell ref="F215:G215"/>
    <mergeCell ref="H215:I215"/>
    <mergeCell ref="J215:K215"/>
    <mergeCell ref="L215:M215"/>
    <mergeCell ref="N215:O215"/>
    <mergeCell ref="U110:Z110"/>
    <mergeCell ref="D131:E131"/>
    <mergeCell ref="F131:G131"/>
    <mergeCell ref="H131:I131"/>
    <mergeCell ref="J131:K131"/>
    <mergeCell ref="L131:M131"/>
    <mergeCell ref="N131:O131"/>
    <mergeCell ref="P131:Q131"/>
    <mergeCell ref="U131:Z131"/>
    <mergeCell ref="D152:E152"/>
    <mergeCell ref="F152:G152"/>
    <mergeCell ref="H152:I152"/>
    <mergeCell ref="J152:K152"/>
    <mergeCell ref="L152:M152"/>
    <mergeCell ref="N152:O152"/>
    <mergeCell ref="P89:Q89"/>
    <mergeCell ref="U89:Z89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D89:E89"/>
    <mergeCell ref="F89:G89"/>
    <mergeCell ref="H89:I89"/>
    <mergeCell ref="J89:K89"/>
    <mergeCell ref="L89:M89"/>
    <mergeCell ref="N89:O89"/>
    <mergeCell ref="P47:Q47"/>
    <mergeCell ref="U47:Z47"/>
    <mergeCell ref="D68:E68"/>
    <mergeCell ref="F68:G68"/>
    <mergeCell ref="H68:I68"/>
    <mergeCell ref="J68:K68"/>
    <mergeCell ref="L68:M68"/>
    <mergeCell ref="N68:O68"/>
    <mergeCell ref="P68:Q68"/>
    <mergeCell ref="U68:Z68"/>
    <mergeCell ref="D47:E47"/>
    <mergeCell ref="F47:G47"/>
    <mergeCell ref="H47:I47"/>
    <mergeCell ref="J47:K47"/>
    <mergeCell ref="L47:M47"/>
    <mergeCell ref="N47:O47"/>
    <mergeCell ref="P5:Q5"/>
    <mergeCell ref="U5:Z5"/>
    <mergeCell ref="D26:E26"/>
    <mergeCell ref="F26:G26"/>
    <mergeCell ref="H26:I26"/>
    <mergeCell ref="J26:K26"/>
    <mergeCell ref="L26:M26"/>
    <mergeCell ref="N26:O26"/>
    <mergeCell ref="P26:Q26"/>
    <mergeCell ref="U26:Z26"/>
    <mergeCell ref="D5:E5"/>
    <mergeCell ref="F5:G5"/>
    <mergeCell ref="H5:I5"/>
    <mergeCell ref="J5:K5"/>
    <mergeCell ref="L5:M5"/>
    <mergeCell ref="N5:O5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BA36-7E21-4009-8650-8B391956D720}">
  <sheetPr codeName="Hoja6"/>
  <dimension ref="A2:BK421"/>
  <sheetViews>
    <sheetView showGridLines="0" zoomScale="80" zoomScaleNormal="80" workbookViewId="0">
      <selection activeCell="AA32" sqref="AA32"/>
    </sheetView>
  </sheetViews>
  <sheetFormatPr baseColWidth="10" defaultColWidth="11" defaultRowHeight="15" outlineLevelCol="1" x14ac:dyDescent="0.25"/>
  <cols>
    <col min="1" max="1" width="1.7109375" customWidth="1"/>
    <col min="2" max="2" width="13.5703125" bestFit="1" customWidth="1"/>
    <col min="4" max="4" width="18.85546875" customWidth="1" outlineLevel="1"/>
    <col min="5" max="7" width="18.85546875" style="9" customWidth="1" outlineLevel="1"/>
    <col min="8" max="8" width="18.85546875" customWidth="1" outlineLevel="1"/>
    <col min="9" max="9" width="18.85546875" style="9" customWidth="1" outlineLevel="1"/>
    <col min="10" max="10" width="18.85546875" customWidth="1" outlineLevel="1"/>
    <col min="11" max="11" width="18.85546875" style="9" customWidth="1" outlineLevel="1"/>
    <col min="12" max="12" width="18.85546875" customWidth="1" outlineLevel="1"/>
    <col min="13" max="13" width="18.85546875" style="9" customWidth="1" outlineLevel="1"/>
    <col min="14" max="14" width="18.85546875" customWidth="1" outlineLevel="1"/>
    <col min="15" max="17" width="18.85546875" style="9" customWidth="1" outlineLevel="1"/>
    <col min="18" max="18" width="18.85546875" customWidth="1" outlineLevel="1"/>
    <col min="19" max="19" width="18.85546875" style="9" customWidth="1" outlineLevel="1"/>
    <col min="20" max="20" width="18.85546875" customWidth="1" outlineLevel="1"/>
    <col min="21" max="21" width="20" customWidth="1" outlineLevel="1"/>
    <col min="22" max="22" width="13.85546875" customWidth="1" outlineLevel="1"/>
    <col min="23" max="23" width="18.85546875" customWidth="1" outlineLevel="1"/>
    <col min="24" max="24" width="9.85546875" customWidth="1" outlineLevel="1"/>
    <col min="25" max="25" width="9.85546875" bestFit="1" customWidth="1" outlineLevel="1"/>
    <col min="26" max="26" width="9.140625" customWidth="1" outlineLevel="1"/>
    <col min="27" max="27" width="12.5703125" customWidth="1" outlineLevel="1"/>
    <col min="28" max="28" width="15" customWidth="1" outlineLevel="1"/>
    <col min="29" max="29" width="5.7109375" customWidth="1" outlineLevel="1"/>
    <col min="30" max="30" width="15" customWidth="1" outlineLevel="1"/>
    <col min="31" max="31" width="12.5703125" customWidth="1" outlineLevel="1"/>
    <col min="32" max="32" width="15.5703125" customWidth="1" outlineLevel="1"/>
    <col min="33" max="33" width="12.5703125" customWidth="1" outlineLevel="1"/>
    <col min="34" max="34" width="5.7109375" customWidth="1"/>
    <col min="35" max="35" width="13.85546875" customWidth="1"/>
    <col min="36" max="36" width="15" customWidth="1"/>
    <col min="37" max="39" width="17.140625" customWidth="1"/>
    <col min="40" max="40" width="18.85546875" customWidth="1"/>
    <col min="41" max="47" width="17.140625" customWidth="1"/>
    <col min="48" max="48" width="18.85546875" customWidth="1"/>
    <col min="49" max="49" width="10.140625" customWidth="1"/>
    <col min="50" max="50" width="13.5703125" customWidth="1"/>
    <col min="51" max="51" width="14.7109375" customWidth="1"/>
    <col min="52" max="52" width="18.7109375" customWidth="1"/>
    <col min="53" max="55" width="15.7109375" customWidth="1"/>
    <col min="56" max="57" width="12.42578125" customWidth="1"/>
    <col min="58" max="58" width="17.140625" bestFit="1" customWidth="1"/>
    <col min="59" max="65" width="12.42578125" customWidth="1"/>
    <col min="67" max="67" width="15.5703125" bestFit="1" customWidth="1"/>
  </cols>
  <sheetData>
    <row r="2" spans="1:51" x14ac:dyDescent="0.25">
      <c r="B2" s="5" t="s">
        <v>14</v>
      </c>
    </row>
    <row r="3" spans="1:51" x14ac:dyDescent="0.25">
      <c r="B3" s="5" t="s">
        <v>19</v>
      </c>
    </row>
    <row r="4" spans="1:51" x14ac:dyDescent="0.25">
      <c r="B4" s="5"/>
    </row>
    <row r="5" spans="1:51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12</v>
      </c>
      <c r="S5" s="93"/>
      <c r="W5" s="89" t="s">
        <v>42</v>
      </c>
      <c r="X5" s="90"/>
      <c r="Y5" s="90"/>
      <c r="Z5" s="90"/>
      <c r="AA5" s="90"/>
      <c r="AB5" s="93"/>
      <c r="AK5" s="89" t="s">
        <v>69</v>
      </c>
      <c r="AL5" s="90"/>
      <c r="AM5" s="89" t="s">
        <v>17</v>
      </c>
      <c r="AN5" s="93"/>
      <c r="AO5" s="89" t="s">
        <v>18</v>
      </c>
      <c r="AP5" s="93"/>
      <c r="AQ5" s="89" t="s">
        <v>13</v>
      </c>
      <c r="AR5" s="93"/>
      <c r="AS5" s="89" t="s">
        <v>34</v>
      </c>
      <c r="AT5" s="93"/>
      <c r="AU5" s="89" t="s">
        <v>12</v>
      </c>
      <c r="AV5" s="93"/>
    </row>
    <row r="6" spans="1:51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W6" s="7" t="s">
        <v>38</v>
      </c>
      <c r="X6" s="10" t="s">
        <v>39</v>
      </c>
      <c r="Y6" s="10" t="s">
        <v>40</v>
      </c>
      <c r="Z6" s="10" t="s">
        <v>18</v>
      </c>
      <c r="AA6" s="10" t="s">
        <v>13</v>
      </c>
      <c r="AB6" s="10" t="s">
        <v>34</v>
      </c>
      <c r="AI6" s="7" t="s">
        <v>0</v>
      </c>
      <c r="AJ6" s="7" t="s">
        <v>1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  <c r="AU6" s="7" t="s">
        <v>2</v>
      </c>
      <c r="AV6" s="10" t="s">
        <v>3</v>
      </c>
    </row>
    <row r="7" spans="1:51" x14ac:dyDescent="0.25">
      <c r="X7" s="9"/>
      <c r="AL7" s="9"/>
      <c r="AN7" s="9"/>
      <c r="AP7" s="9"/>
      <c r="AR7" s="9"/>
      <c r="AS7" s="9"/>
      <c r="AT7" s="9"/>
      <c r="AV7" s="9"/>
    </row>
    <row r="8" spans="1:51" x14ac:dyDescent="0.25">
      <c r="B8" s="2" t="s">
        <v>5</v>
      </c>
      <c r="C8" s="2">
        <v>2020</v>
      </c>
      <c r="D8" s="1">
        <v>556446</v>
      </c>
      <c r="E8" s="11">
        <v>19019972.140000004</v>
      </c>
      <c r="F8" s="1">
        <v>336473</v>
      </c>
      <c r="G8" s="11">
        <v>11265022.080000002</v>
      </c>
      <c r="H8" s="1">
        <v>49228</v>
      </c>
      <c r="I8" s="11">
        <v>1698676.81</v>
      </c>
      <c r="J8" s="1">
        <v>1991354</v>
      </c>
      <c r="K8" s="11">
        <v>69103304.190000027</v>
      </c>
      <c r="L8" s="8">
        <v>47371</v>
      </c>
      <c r="M8" s="11">
        <v>1627555.14</v>
      </c>
      <c r="N8" s="8">
        <v>9916</v>
      </c>
      <c r="O8" s="11">
        <v>300367.71000000002</v>
      </c>
      <c r="P8" s="8">
        <v>0</v>
      </c>
      <c r="Q8" s="11">
        <v>0</v>
      </c>
      <c r="R8" s="8">
        <f>N8+L8+J8+H8+D8+P8+F8</f>
        <v>2990788</v>
      </c>
      <c r="S8" s="11">
        <f t="shared" ref="S8:S19" si="0">O8+M8+K8+I8+E8+Q8+G8</f>
        <v>103014898.07000002</v>
      </c>
      <c r="T8" t="s">
        <v>56</v>
      </c>
      <c r="W8" s="17">
        <f>+(D8+H8)/R8</f>
        <v>0.20251318381643901</v>
      </c>
      <c r="X8" s="17">
        <f>1-W8</f>
        <v>0.79748681618356099</v>
      </c>
      <c r="Y8" s="17">
        <f>+J8/R8</f>
        <v>0.66582920621588693</v>
      </c>
      <c r="Z8" s="17">
        <f>+L8/R8</f>
        <v>1.5838969529100692E-2</v>
      </c>
      <c r="AA8" s="17">
        <f>+N8/R8</f>
        <v>3.3155141721847221E-3</v>
      </c>
      <c r="AB8" s="17">
        <f>+P8/R8</f>
        <v>0</v>
      </c>
      <c r="AI8" s="2" t="s">
        <v>5</v>
      </c>
      <c r="AJ8" s="2">
        <v>2020</v>
      </c>
      <c r="AK8" s="1">
        <f>D8+H8</f>
        <v>605674</v>
      </c>
      <c r="AL8" s="11">
        <f>E8+I8</f>
        <v>20718648.950000003</v>
      </c>
      <c r="AM8" s="1">
        <f>+J8</f>
        <v>1991354</v>
      </c>
      <c r="AN8" s="11">
        <f t="shared" ref="AN8:AT8" si="1">+K8</f>
        <v>69103304.190000027</v>
      </c>
      <c r="AO8" s="8">
        <f t="shared" si="1"/>
        <v>47371</v>
      </c>
      <c r="AP8" s="11">
        <f t="shared" si="1"/>
        <v>1627555.14</v>
      </c>
      <c r="AQ8" s="8">
        <f t="shared" si="1"/>
        <v>9916</v>
      </c>
      <c r="AR8" s="11">
        <f t="shared" si="1"/>
        <v>300367.71000000002</v>
      </c>
      <c r="AS8" s="8">
        <f t="shared" si="1"/>
        <v>0</v>
      </c>
      <c r="AT8" s="11">
        <f t="shared" si="1"/>
        <v>0</v>
      </c>
      <c r="AU8" s="8">
        <f>AS8+AQ8+AO8+AM8+AK8</f>
        <v>2654315</v>
      </c>
      <c r="AV8" s="11">
        <f t="shared" ref="AV8" si="2">AT8+AR8+AP8+AN8+AL8</f>
        <v>91749875.990000024</v>
      </c>
      <c r="AW8" t="str">
        <f>+T8</f>
        <v>AUNORTE</v>
      </c>
      <c r="AX8" s="37">
        <f>+AU8-R8</f>
        <v>-336473</v>
      </c>
      <c r="AY8" s="37">
        <f t="shared" ref="AY8:AY19" si="3">+AV8-S8</f>
        <v>-11265022.079999998</v>
      </c>
    </row>
    <row r="9" spans="1:51" x14ac:dyDescent="0.25">
      <c r="B9" s="2" t="s">
        <v>6</v>
      </c>
      <c r="C9" s="2">
        <v>2020</v>
      </c>
      <c r="D9" s="1">
        <v>556473</v>
      </c>
      <c r="E9" s="11">
        <v>20406181.410000004</v>
      </c>
      <c r="F9" s="1">
        <v>369164</v>
      </c>
      <c r="G9" s="11">
        <v>13171832.189999999</v>
      </c>
      <c r="H9" s="1">
        <v>45945</v>
      </c>
      <c r="I9" s="11">
        <v>1691630.51</v>
      </c>
      <c r="J9" s="1">
        <v>2007666</v>
      </c>
      <c r="K9" s="11">
        <v>74524269.229999989</v>
      </c>
      <c r="L9" s="8">
        <v>48339</v>
      </c>
      <c r="M9" s="11">
        <v>1765579.8899999997</v>
      </c>
      <c r="N9" s="8">
        <v>10200</v>
      </c>
      <c r="O9" s="11">
        <v>334738.34999999998</v>
      </c>
      <c r="P9" s="8">
        <v>0</v>
      </c>
      <c r="Q9" s="11">
        <v>0</v>
      </c>
      <c r="R9" s="8">
        <f t="shared" ref="R9:R19" si="4">N9+L9+J9+H9+D9+P9+F9</f>
        <v>3037787</v>
      </c>
      <c r="S9" s="11">
        <f t="shared" si="0"/>
        <v>111894231.57999998</v>
      </c>
      <c r="T9" t="s">
        <v>56</v>
      </c>
      <c r="W9" s="17">
        <f t="shared" ref="W9:W19" si="5">+(D9+H9)/R9</f>
        <v>0.19830817631387584</v>
      </c>
      <c r="X9" s="17">
        <f t="shared" ref="X9:X19" si="6">1-W9</f>
        <v>0.80169182368612413</v>
      </c>
      <c r="Y9" s="17">
        <f t="shared" ref="Y9:Y19" si="7">+J9/R9</f>
        <v>0.66089755470018141</v>
      </c>
      <c r="Z9" s="17">
        <f t="shared" ref="Z9:Z19" si="8">+L9/R9</f>
        <v>1.5912570565349053E-2</v>
      </c>
      <c r="AA9" s="17">
        <f t="shared" ref="AA9:AA19" si="9">+N9/R9</f>
        <v>3.3577074363673291E-3</v>
      </c>
      <c r="AB9" s="17">
        <f t="shared" ref="AB9:AB19" si="10">+P9/R9</f>
        <v>0</v>
      </c>
      <c r="AI9" s="2" t="s">
        <v>6</v>
      </c>
      <c r="AJ9" s="2">
        <v>2020</v>
      </c>
      <c r="AK9" s="1">
        <f t="shared" ref="AK9:AK19" si="11">D9+H9</f>
        <v>602418</v>
      </c>
      <c r="AL9" s="11">
        <f t="shared" ref="AL9:AL18" si="12">E9+I9</f>
        <v>22097811.920000006</v>
      </c>
      <c r="AM9" s="1">
        <f t="shared" ref="AM9:AM19" si="13">+J9</f>
        <v>2007666</v>
      </c>
      <c r="AN9" s="11">
        <f t="shared" ref="AN9:AN19" si="14">+K9</f>
        <v>74524269.229999989</v>
      </c>
      <c r="AO9" s="8">
        <f t="shared" ref="AO9:AO19" si="15">+L9</f>
        <v>48339</v>
      </c>
      <c r="AP9" s="11">
        <f t="shared" ref="AP9:AP19" si="16">+M9</f>
        <v>1765579.8899999997</v>
      </c>
      <c r="AQ9" s="8">
        <f t="shared" ref="AQ9:AQ19" si="17">+N9</f>
        <v>10200</v>
      </c>
      <c r="AR9" s="11">
        <f t="shared" ref="AR9:AR19" si="18">+O9</f>
        <v>334738.34999999998</v>
      </c>
      <c r="AS9" s="8">
        <f t="shared" ref="AS9:AS19" si="19">+P9</f>
        <v>0</v>
      </c>
      <c r="AT9" s="11">
        <f t="shared" ref="AT9:AT19" si="20">+Q9</f>
        <v>0</v>
      </c>
      <c r="AU9" s="8">
        <f t="shared" ref="AU9:AU19" si="21">AS9+AQ9+AO9+AM9+AK9</f>
        <v>2668623</v>
      </c>
      <c r="AV9" s="11">
        <f t="shared" ref="AV9:AV19" si="22">AT9+AR9+AP9+AN9+AL9</f>
        <v>98722399.389999986</v>
      </c>
      <c r="AW9" t="str">
        <f t="shared" ref="AW9:AW19" si="23">+T9</f>
        <v>AUNORTE</v>
      </c>
      <c r="AX9" s="37">
        <f t="shared" ref="AX9:AX19" si="24">+AU9-R9</f>
        <v>-369164</v>
      </c>
      <c r="AY9" s="37">
        <f t="shared" si="3"/>
        <v>-13171832.189999998</v>
      </c>
    </row>
    <row r="10" spans="1:51" x14ac:dyDescent="0.25">
      <c r="B10" s="2" t="s">
        <v>7</v>
      </c>
      <c r="C10" s="2">
        <v>2020</v>
      </c>
      <c r="D10" s="1">
        <v>362426</v>
      </c>
      <c r="E10" s="11">
        <v>13440459.959999997</v>
      </c>
      <c r="F10" s="1">
        <v>236844</v>
      </c>
      <c r="G10" s="11">
        <v>8634860.7500000037</v>
      </c>
      <c r="H10" s="1">
        <v>29675</v>
      </c>
      <c r="I10" s="11">
        <v>1122683.4499999997</v>
      </c>
      <c r="J10" s="1">
        <v>1351088</v>
      </c>
      <c r="K10" s="11">
        <v>51151974.230000012</v>
      </c>
      <c r="L10" s="8">
        <v>33997</v>
      </c>
      <c r="M10" s="11">
        <v>1285361.9600000002</v>
      </c>
      <c r="N10" s="8">
        <v>6989</v>
      </c>
      <c r="O10" s="11">
        <v>234531.31999999995</v>
      </c>
      <c r="P10" s="8">
        <v>0</v>
      </c>
      <c r="Q10" s="11">
        <v>0</v>
      </c>
      <c r="R10" s="8">
        <f t="shared" si="4"/>
        <v>2021019</v>
      </c>
      <c r="S10" s="11">
        <f t="shared" si="0"/>
        <v>75869871.670000017</v>
      </c>
      <c r="T10" t="s">
        <v>56</v>
      </c>
      <c r="W10" s="17">
        <f t="shared" si="5"/>
        <v>0.19401153576487901</v>
      </c>
      <c r="X10" s="17">
        <f t="shared" si="6"/>
        <v>0.80598846423512094</v>
      </c>
      <c r="Y10" s="17">
        <f t="shared" si="7"/>
        <v>0.66851820789413652</v>
      </c>
      <c r="Z10" s="17">
        <f t="shared" si="8"/>
        <v>1.6821712215471501E-2</v>
      </c>
      <c r="AA10" s="17">
        <f t="shared" si="9"/>
        <v>3.4581565042189114E-3</v>
      </c>
      <c r="AB10" s="17">
        <f t="shared" si="10"/>
        <v>0</v>
      </c>
      <c r="AI10" s="2" t="s">
        <v>7</v>
      </c>
      <c r="AJ10" s="2">
        <v>2020</v>
      </c>
      <c r="AK10" s="1">
        <f t="shared" si="11"/>
        <v>392101</v>
      </c>
      <c r="AL10" s="11">
        <f t="shared" si="12"/>
        <v>14563143.409999996</v>
      </c>
      <c r="AM10" s="1">
        <f t="shared" si="13"/>
        <v>1351088</v>
      </c>
      <c r="AN10" s="11">
        <f t="shared" si="14"/>
        <v>51151974.230000012</v>
      </c>
      <c r="AO10" s="8">
        <f t="shared" si="15"/>
        <v>33997</v>
      </c>
      <c r="AP10" s="11">
        <f t="shared" si="16"/>
        <v>1285361.9600000002</v>
      </c>
      <c r="AQ10" s="8">
        <f t="shared" si="17"/>
        <v>6989</v>
      </c>
      <c r="AR10" s="11">
        <f t="shared" si="18"/>
        <v>234531.31999999995</v>
      </c>
      <c r="AS10" s="8">
        <f t="shared" si="19"/>
        <v>0</v>
      </c>
      <c r="AT10" s="11">
        <f t="shared" si="20"/>
        <v>0</v>
      </c>
      <c r="AU10" s="8">
        <f t="shared" si="21"/>
        <v>1784175</v>
      </c>
      <c r="AV10" s="11">
        <f t="shared" si="22"/>
        <v>67235010.920000017</v>
      </c>
      <c r="AW10" t="str">
        <f t="shared" si="23"/>
        <v>AUNORTE</v>
      </c>
      <c r="AX10" s="37">
        <f t="shared" si="24"/>
        <v>-236844</v>
      </c>
      <c r="AY10" s="37">
        <f t="shared" si="3"/>
        <v>-8634860.75</v>
      </c>
    </row>
    <row r="11" spans="1:51" x14ac:dyDescent="0.25">
      <c r="B11" s="2" t="s">
        <v>8</v>
      </c>
      <c r="C11" s="2">
        <v>2020</v>
      </c>
      <c r="D11" s="1">
        <v>55868</v>
      </c>
      <c r="E11" s="11">
        <v>2115026.3599999994</v>
      </c>
      <c r="F11" s="1">
        <v>29002</v>
      </c>
      <c r="G11" s="11">
        <v>1113946.3</v>
      </c>
      <c r="H11" s="1">
        <v>2546</v>
      </c>
      <c r="I11" s="11">
        <v>105130.4</v>
      </c>
      <c r="J11" s="1">
        <v>265739</v>
      </c>
      <c r="K11" s="11">
        <v>10362207.359999999</v>
      </c>
      <c r="L11" s="8">
        <v>8187</v>
      </c>
      <c r="M11" s="11">
        <v>331075.02000000008</v>
      </c>
      <c r="N11" s="8">
        <v>1925</v>
      </c>
      <c r="O11" s="11">
        <v>65497.790000000008</v>
      </c>
      <c r="P11" s="8">
        <v>0</v>
      </c>
      <c r="Q11" s="11">
        <v>0</v>
      </c>
      <c r="R11" s="8">
        <f t="shared" si="4"/>
        <v>363267</v>
      </c>
      <c r="S11" s="11">
        <f t="shared" si="0"/>
        <v>14092883.23</v>
      </c>
      <c r="T11" t="s">
        <v>56</v>
      </c>
      <c r="W11" s="17">
        <f t="shared" si="5"/>
        <v>0.16080183446335616</v>
      </c>
      <c r="X11" s="17">
        <f t="shared" si="6"/>
        <v>0.83919816553664384</v>
      </c>
      <c r="Y11" s="17">
        <f t="shared" si="7"/>
        <v>0.73152529682024514</v>
      </c>
      <c r="Z11" s="17">
        <f t="shared" si="8"/>
        <v>2.2537142102090197E-2</v>
      </c>
      <c r="AA11" s="17">
        <f t="shared" si="9"/>
        <v>5.2991325939322868E-3</v>
      </c>
      <c r="AB11" s="17">
        <f t="shared" si="10"/>
        <v>0</v>
      </c>
      <c r="AI11" s="2" t="s">
        <v>8</v>
      </c>
      <c r="AJ11" s="2">
        <v>2020</v>
      </c>
      <c r="AK11" s="1">
        <f t="shared" si="11"/>
        <v>58414</v>
      </c>
      <c r="AL11" s="11">
        <f t="shared" si="12"/>
        <v>2220156.7599999993</v>
      </c>
      <c r="AM11" s="1">
        <f t="shared" si="13"/>
        <v>265739</v>
      </c>
      <c r="AN11" s="11">
        <f t="shared" si="14"/>
        <v>10362207.359999999</v>
      </c>
      <c r="AO11" s="8">
        <f t="shared" si="15"/>
        <v>8187</v>
      </c>
      <c r="AP11" s="11">
        <f t="shared" si="16"/>
        <v>331075.02000000008</v>
      </c>
      <c r="AQ11" s="8">
        <f t="shared" si="17"/>
        <v>1925</v>
      </c>
      <c r="AR11" s="11">
        <f t="shared" si="18"/>
        <v>65497.790000000008</v>
      </c>
      <c r="AS11" s="8">
        <f t="shared" si="19"/>
        <v>0</v>
      </c>
      <c r="AT11" s="11">
        <f t="shared" si="20"/>
        <v>0</v>
      </c>
      <c r="AU11" s="8">
        <f t="shared" si="21"/>
        <v>334265</v>
      </c>
      <c r="AV11" s="11">
        <f t="shared" si="22"/>
        <v>12978936.93</v>
      </c>
      <c r="AW11" t="str">
        <f t="shared" si="23"/>
        <v>AUNORTE</v>
      </c>
      <c r="AX11" s="37">
        <f t="shared" si="24"/>
        <v>-29002</v>
      </c>
      <c r="AY11" s="37">
        <f t="shared" si="3"/>
        <v>-1113946.3000000007</v>
      </c>
    </row>
    <row r="12" spans="1:51" x14ac:dyDescent="0.25">
      <c r="B12" s="2" t="s">
        <v>9</v>
      </c>
      <c r="C12" s="2">
        <v>2020</v>
      </c>
      <c r="D12" s="1">
        <v>51599</v>
      </c>
      <c r="E12" s="11">
        <v>1944339.1000000003</v>
      </c>
      <c r="F12" s="1">
        <v>27243</v>
      </c>
      <c r="G12" s="11">
        <v>1022320.76</v>
      </c>
      <c r="H12" s="1">
        <v>2043</v>
      </c>
      <c r="I12" s="11">
        <v>78454.540000000008</v>
      </c>
      <c r="J12" s="1">
        <v>256722</v>
      </c>
      <c r="K12" s="11">
        <v>9902725.4299999997</v>
      </c>
      <c r="L12" s="8">
        <v>8503</v>
      </c>
      <c r="M12" s="11">
        <v>338200.5</v>
      </c>
      <c r="N12" s="8">
        <v>1888</v>
      </c>
      <c r="O12" s="11">
        <v>63570.05999999999</v>
      </c>
      <c r="P12" s="8">
        <v>0</v>
      </c>
      <c r="Q12" s="11">
        <v>0</v>
      </c>
      <c r="R12" s="8">
        <f t="shared" si="4"/>
        <v>347998</v>
      </c>
      <c r="S12" s="11">
        <f t="shared" si="0"/>
        <v>13349610.389999999</v>
      </c>
      <c r="T12" t="s">
        <v>56</v>
      </c>
      <c r="W12" s="17">
        <f t="shared" si="5"/>
        <v>0.15414456404921867</v>
      </c>
      <c r="X12" s="17">
        <f t="shared" si="6"/>
        <v>0.84585543595078128</v>
      </c>
      <c r="Y12" s="17">
        <f t="shared" si="7"/>
        <v>0.73771113627089813</v>
      </c>
      <c r="Z12" s="17">
        <f t="shared" si="8"/>
        <v>2.443404847154294E-2</v>
      </c>
      <c r="AA12" s="17">
        <f t="shared" si="9"/>
        <v>5.425318536313427E-3</v>
      </c>
      <c r="AB12" s="17">
        <f t="shared" si="10"/>
        <v>0</v>
      </c>
      <c r="AI12" s="2" t="s">
        <v>9</v>
      </c>
      <c r="AJ12" s="2">
        <v>2020</v>
      </c>
      <c r="AK12" s="1">
        <f t="shared" si="11"/>
        <v>53642</v>
      </c>
      <c r="AL12" s="11">
        <f t="shared" si="12"/>
        <v>2022793.6400000004</v>
      </c>
      <c r="AM12" s="1">
        <f t="shared" si="13"/>
        <v>256722</v>
      </c>
      <c r="AN12" s="11">
        <f t="shared" si="14"/>
        <v>9902725.4299999997</v>
      </c>
      <c r="AO12" s="8">
        <f t="shared" si="15"/>
        <v>8503</v>
      </c>
      <c r="AP12" s="11">
        <f t="shared" si="16"/>
        <v>338200.5</v>
      </c>
      <c r="AQ12" s="8">
        <f t="shared" si="17"/>
        <v>1888</v>
      </c>
      <c r="AR12" s="11">
        <f t="shared" si="18"/>
        <v>63570.05999999999</v>
      </c>
      <c r="AS12" s="8">
        <f t="shared" si="19"/>
        <v>0</v>
      </c>
      <c r="AT12" s="11">
        <f t="shared" si="20"/>
        <v>0</v>
      </c>
      <c r="AU12" s="8">
        <f t="shared" si="21"/>
        <v>320755</v>
      </c>
      <c r="AV12" s="11">
        <f t="shared" si="22"/>
        <v>12327289.630000001</v>
      </c>
      <c r="AW12" t="str">
        <f t="shared" si="23"/>
        <v>AUNORTE</v>
      </c>
      <c r="AX12" s="37">
        <f t="shared" si="24"/>
        <v>-27243</v>
      </c>
      <c r="AY12" s="37">
        <f t="shared" si="3"/>
        <v>-1022320.7599999979</v>
      </c>
    </row>
    <row r="13" spans="1:51" x14ac:dyDescent="0.25">
      <c r="B13" s="2" t="s">
        <v>10</v>
      </c>
      <c r="C13" s="2">
        <v>2020</v>
      </c>
      <c r="D13" s="1">
        <v>86782</v>
      </c>
      <c r="E13" s="11">
        <v>3306366.9099999992</v>
      </c>
      <c r="F13" s="1">
        <v>46997</v>
      </c>
      <c r="G13" s="11">
        <v>1770509.5000000002</v>
      </c>
      <c r="H13" s="1">
        <v>3639</v>
      </c>
      <c r="I13" s="11">
        <v>144170.01000000004</v>
      </c>
      <c r="J13" s="1">
        <v>407598</v>
      </c>
      <c r="K13" s="11">
        <v>15731627.000000002</v>
      </c>
      <c r="L13" s="8">
        <v>12881</v>
      </c>
      <c r="M13" s="11">
        <v>509093.24000000005</v>
      </c>
      <c r="N13" s="8">
        <v>3009</v>
      </c>
      <c r="O13" s="11">
        <v>101182.29999999999</v>
      </c>
      <c r="P13" s="8">
        <v>0</v>
      </c>
      <c r="Q13" s="11">
        <v>0</v>
      </c>
      <c r="R13" s="8">
        <f t="shared" si="4"/>
        <v>560906</v>
      </c>
      <c r="S13" s="11">
        <f t="shared" si="0"/>
        <v>21562948.960000001</v>
      </c>
      <c r="T13" t="s">
        <v>56</v>
      </c>
      <c r="W13" s="17">
        <f t="shared" si="5"/>
        <v>0.16120526434019247</v>
      </c>
      <c r="X13" s="17">
        <f t="shared" si="6"/>
        <v>0.83879473565980756</v>
      </c>
      <c r="Y13" s="17">
        <f t="shared" si="7"/>
        <v>0.72667791038070551</v>
      </c>
      <c r="Z13" s="17">
        <f t="shared" si="8"/>
        <v>2.2964632220015473E-2</v>
      </c>
      <c r="AA13" s="17">
        <f t="shared" si="9"/>
        <v>5.3645352340677402E-3</v>
      </c>
      <c r="AB13" s="17">
        <f t="shared" si="10"/>
        <v>0</v>
      </c>
      <c r="AI13" s="2" t="s">
        <v>10</v>
      </c>
      <c r="AJ13" s="2">
        <v>2020</v>
      </c>
      <c r="AK13" s="1">
        <f t="shared" si="11"/>
        <v>90421</v>
      </c>
      <c r="AL13" s="11">
        <f t="shared" si="12"/>
        <v>3450536.9199999995</v>
      </c>
      <c r="AM13" s="1">
        <f t="shared" si="13"/>
        <v>407598</v>
      </c>
      <c r="AN13" s="11">
        <f t="shared" si="14"/>
        <v>15731627.000000002</v>
      </c>
      <c r="AO13" s="8">
        <f t="shared" si="15"/>
        <v>12881</v>
      </c>
      <c r="AP13" s="11">
        <f t="shared" si="16"/>
        <v>509093.24000000005</v>
      </c>
      <c r="AQ13" s="8">
        <f t="shared" si="17"/>
        <v>3009</v>
      </c>
      <c r="AR13" s="11">
        <f t="shared" si="18"/>
        <v>101182.29999999999</v>
      </c>
      <c r="AS13" s="8">
        <f t="shared" si="19"/>
        <v>0</v>
      </c>
      <c r="AT13" s="11">
        <f t="shared" si="20"/>
        <v>0</v>
      </c>
      <c r="AU13" s="8">
        <f t="shared" si="21"/>
        <v>513909</v>
      </c>
      <c r="AV13" s="11">
        <f t="shared" si="22"/>
        <v>19792439.460000001</v>
      </c>
      <c r="AW13" t="str">
        <f t="shared" si="23"/>
        <v>AUNORTE</v>
      </c>
      <c r="AX13" s="37">
        <f t="shared" si="24"/>
        <v>-46997</v>
      </c>
      <c r="AY13" s="37">
        <f t="shared" si="3"/>
        <v>-1770509.5</v>
      </c>
    </row>
    <row r="14" spans="1:51" x14ac:dyDescent="0.25">
      <c r="B14" s="2" t="s">
        <v>11</v>
      </c>
      <c r="C14" s="2">
        <v>2020</v>
      </c>
      <c r="D14" s="1">
        <v>151986</v>
      </c>
      <c r="E14" s="11">
        <v>5786380.1099999994</v>
      </c>
      <c r="F14" s="1">
        <v>82353</v>
      </c>
      <c r="G14" s="11">
        <v>3128781.09</v>
      </c>
      <c r="H14" s="1">
        <v>7436</v>
      </c>
      <c r="I14" s="11">
        <v>294748.52</v>
      </c>
      <c r="J14" s="1">
        <v>650829</v>
      </c>
      <c r="K14" s="11">
        <v>25224964.579999994</v>
      </c>
      <c r="L14" s="8">
        <v>18938</v>
      </c>
      <c r="M14" s="11">
        <v>732704.41999999993</v>
      </c>
      <c r="N14" s="8">
        <v>4424</v>
      </c>
      <c r="O14" s="11">
        <v>158163.82999999996</v>
      </c>
      <c r="P14" s="8">
        <v>0</v>
      </c>
      <c r="Q14" s="11">
        <v>0</v>
      </c>
      <c r="R14" s="8">
        <f t="shared" si="4"/>
        <v>915966</v>
      </c>
      <c r="S14" s="11">
        <f t="shared" si="0"/>
        <v>35325742.549999997</v>
      </c>
      <c r="T14" t="s">
        <v>56</v>
      </c>
      <c r="W14" s="17">
        <f t="shared" si="5"/>
        <v>0.17404794501105936</v>
      </c>
      <c r="X14" s="17">
        <f t="shared" si="6"/>
        <v>0.82595205498894064</v>
      </c>
      <c r="Y14" s="17">
        <f t="shared" si="7"/>
        <v>0.7105383824290421</v>
      </c>
      <c r="Z14" s="17">
        <f t="shared" si="8"/>
        <v>2.067543991807556E-2</v>
      </c>
      <c r="AA14" s="17">
        <f t="shared" si="9"/>
        <v>4.8298735979283077E-3</v>
      </c>
      <c r="AB14" s="17">
        <f t="shared" si="10"/>
        <v>0</v>
      </c>
      <c r="AI14" s="2" t="s">
        <v>11</v>
      </c>
      <c r="AJ14" s="2">
        <v>2020</v>
      </c>
      <c r="AK14" s="1">
        <f t="shared" si="11"/>
        <v>159422</v>
      </c>
      <c r="AL14" s="11">
        <f t="shared" si="12"/>
        <v>6081128.629999999</v>
      </c>
      <c r="AM14" s="1">
        <f t="shared" si="13"/>
        <v>650829</v>
      </c>
      <c r="AN14" s="11">
        <f t="shared" si="14"/>
        <v>25224964.579999994</v>
      </c>
      <c r="AO14" s="8">
        <f t="shared" si="15"/>
        <v>18938</v>
      </c>
      <c r="AP14" s="11">
        <f t="shared" si="16"/>
        <v>732704.41999999993</v>
      </c>
      <c r="AQ14" s="8">
        <f t="shared" si="17"/>
        <v>4424</v>
      </c>
      <c r="AR14" s="11">
        <f t="shared" si="18"/>
        <v>158163.82999999996</v>
      </c>
      <c r="AS14" s="8">
        <f t="shared" si="19"/>
        <v>0</v>
      </c>
      <c r="AT14" s="11">
        <f t="shared" si="20"/>
        <v>0</v>
      </c>
      <c r="AU14" s="8">
        <f t="shared" si="21"/>
        <v>833613</v>
      </c>
      <c r="AV14" s="11">
        <f t="shared" si="22"/>
        <v>32196961.459999993</v>
      </c>
      <c r="AW14" t="str">
        <f t="shared" si="23"/>
        <v>AUNORTE</v>
      </c>
      <c r="AX14" s="37">
        <f t="shared" si="24"/>
        <v>-82353</v>
      </c>
      <c r="AY14" s="37">
        <f t="shared" si="3"/>
        <v>-3128781.0900000036</v>
      </c>
    </row>
    <row r="15" spans="1:51" x14ac:dyDescent="0.25">
      <c r="B15" s="2" t="s">
        <v>4</v>
      </c>
      <c r="C15" s="2">
        <v>2020</v>
      </c>
      <c r="D15" s="1">
        <v>192897</v>
      </c>
      <c r="E15" s="11">
        <v>7355621.6799999997</v>
      </c>
      <c r="F15" s="1">
        <v>104694</v>
      </c>
      <c r="G15" s="11">
        <v>3970769.5700000008</v>
      </c>
      <c r="H15" s="1">
        <v>10912</v>
      </c>
      <c r="I15" s="11">
        <v>425777.99</v>
      </c>
      <c r="J15" s="1">
        <v>803851</v>
      </c>
      <c r="K15" s="11">
        <v>30921799.740000002</v>
      </c>
      <c r="L15" s="8">
        <v>22437</v>
      </c>
      <c r="M15" s="11">
        <v>868845.81000000017</v>
      </c>
      <c r="N15" s="8">
        <v>5612</v>
      </c>
      <c r="O15" s="11">
        <v>193044.77999999997</v>
      </c>
      <c r="P15" s="8">
        <v>0</v>
      </c>
      <c r="Q15" s="11">
        <v>0</v>
      </c>
      <c r="R15" s="8">
        <f t="shared" si="4"/>
        <v>1140403</v>
      </c>
      <c r="S15" s="11">
        <f t="shared" si="0"/>
        <v>43735859.57</v>
      </c>
      <c r="T15" t="s">
        <v>56</v>
      </c>
      <c r="W15" s="17">
        <f t="shared" si="5"/>
        <v>0.17871664665911963</v>
      </c>
      <c r="X15" s="17">
        <f t="shared" si="6"/>
        <v>0.82128335334088032</v>
      </c>
      <c r="Y15" s="17">
        <f t="shared" si="7"/>
        <v>0.70488327371990422</v>
      </c>
      <c r="Z15" s="17">
        <f t="shared" si="8"/>
        <v>1.9674623795272374E-2</v>
      </c>
      <c r="AA15" s="17">
        <f t="shared" si="9"/>
        <v>4.9210673770588116E-3</v>
      </c>
      <c r="AB15" s="17">
        <f t="shared" si="10"/>
        <v>0</v>
      </c>
      <c r="AI15" s="2" t="s">
        <v>4</v>
      </c>
      <c r="AJ15" s="2">
        <v>2020</v>
      </c>
      <c r="AK15" s="1">
        <f t="shared" si="11"/>
        <v>203809</v>
      </c>
      <c r="AL15" s="11">
        <f t="shared" si="12"/>
        <v>7781399.6699999999</v>
      </c>
      <c r="AM15" s="1">
        <f t="shared" si="13"/>
        <v>803851</v>
      </c>
      <c r="AN15" s="11">
        <f t="shared" si="14"/>
        <v>30921799.740000002</v>
      </c>
      <c r="AO15" s="8">
        <f t="shared" si="15"/>
        <v>22437</v>
      </c>
      <c r="AP15" s="11">
        <f t="shared" si="16"/>
        <v>868845.81000000017</v>
      </c>
      <c r="AQ15" s="8">
        <f t="shared" si="17"/>
        <v>5612</v>
      </c>
      <c r="AR15" s="11">
        <f t="shared" si="18"/>
        <v>193044.77999999997</v>
      </c>
      <c r="AS15" s="8">
        <f t="shared" si="19"/>
        <v>0</v>
      </c>
      <c r="AT15" s="11">
        <f t="shared" si="20"/>
        <v>0</v>
      </c>
      <c r="AU15" s="8">
        <f t="shared" si="21"/>
        <v>1035709</v>
      </c>
      <c r="AV15" s="11">
        <f t="shared" si="22"/>
        <v>39765090</v>
      </c>
      <c r="AW15" t="str">
        <f t="shared" si="23"/>
        <v>AUNORTE</v>
      </c>
      <c r="AX15" s="37">
        <f t="shared" si="24"/>
        <v>-104694</v>
      </c>
      <c r="AY15" s="37">
        <f t="shared" si="3"/>
        <v>-3970769.5700000003</v>
      </c>
    </row>
    <row r="16" spans="1:51" x14ac:dyDescent="0.25">
      <c r="B16" s="2" t="s">
        <v>28</v>
      </c>
      <c r="C16" s="2">
        <v>2020</v>
      </c>
      <c r="D16" s="1">
        <v>216774</v>
      </c>
      <c r="E16" s="11">
        <v>8173255.3700000029</v>
      </c>
      <c r="F16" s="1">
        <v>123209</v>
      </c>
      <c r="G16" s="11">
        <v>4615508.67</v>
      </c>
      <c r="H16" s="1">
        <v>14494</v>
      </c>
      <c r="I16" s="11">
        <v>568833.80999999994</v>
      </c>
      <c r="J16" s="1">
        <v>899381</v>
      </c>
      <c r="K16" s="11">
        <v>34256795.399999999</v>
      </c>
      <c r="L16" s="8">
        <v>25181</v>
      </c>
      <c r="M16" s="11">
        <v>951711.82999999984</v>
      </c>
      <c r="N16" s="8">
        <v>6232</v>
      </c>
      <c r="O16" s="11">
        <v>211381.77000000002</v>
      </c>
      <c r="P16" s="8">
        <v>0</v>
      </c>
      <c r="Q16" s="11">
        <v>0</v>
      </c>
      <c r="R16" s="8">
        <f t="shared" si="4"/>
        <v>1285271</v>
      </c>
      <c r="S16" s="11">
        <f t="shared" si="0"/>
        <v>48777486.850000009</v>
      </c>
      <c r="T16" t="s">
        <v>56</v>
      </c>
      <c r="W16" s="17">
        <f t="shared" si="5"/>
        <v>0.17993714944163527</v>
      </c>
      <c r="X16" s="17">
        <f t="shared" si="6"/>
        <v>0.8200628505583647</v>
      </c>
      <c r="Y16" s="17">
        <f t="shared" si="7"/>
        <v>0.69975981719030467</v>
      </c>
      <c r="Z16" s="17">
        <f t="shared" si="8"/>
        <v>1.9591977100549222E-2</v>
      </c>
      <c r="AA16" s="17">
        <f t="shared" si="9"/>
        <v>4.8487828636917816E-3</v>
      </c>
      <c r="AB16" s="17">
        <f t="shared" si="10"/>
        <v>0</v>
      </c>
      <c r="AI16" s="2" t="s">
        <v>28</v>
      </c>
      <c r="AJ16" s="2">
        <v>2020</v>
      </c>
      <c r="AK16" s="1">
        <f t="shared" si="11"/>
        <v>231268</v>
      </c>
      <c r="AL16" s="11">
        <f t="shared" si="12"/>
        <v>8742089.1800000034</v>
      </c>
      <c r="AM16" s="1">
        <f t="shared" si="13"/>
        <v>899381</v>
      </c>
      <c r="AN16" s="11">
        <f t="shared" si="14"/>
        <v>34256795.399999999</v>
      </c>
      <c r="AO16" s="8">
        <f t="shared" si="15"/>
        <v>25181</v>
      </c>
      <c r="AP16" s="11">
        <f t="shared" si="16"/>
        <v>951711.82999999984</v>
      </c>
      <c r="AQ16" s="8">
        <f t="shared" si="17"/>
        <v>6232</v>
      </c>
      <c r="AR16" s="11">
        <f t="shared" si="18"/>
        <v>211381.77000000002</v>
      </c>
      <c r="AS16" s="8">
        <f t="shared" si="19"/>
        <v>0</v>
      </c>
      <c r="AT16" s="11">
        <f t="shared" si="20"/>
        <v>0</v>
      </c>
      <c r="AU16" s="8">
        <f t="shared" si="21"/>
        <v>1162062</v>
      </c>
      <c r="AV16" s="11">
        <f t="shared" si="22"/>
        <v>44161978.180000007</v>
      </c>
      <c r="AW16" t="str">
        <f t="shared" si="23"/>
        <v>AUNORTE</v>
      </c>
      <c r="AX16" s="37">
        <f t="shared" si="24"/>
        <v>-123209</v>
      </c>
      <c r="AY16" s="37">
        <f t="shared" si="3"/>
        <v>-4615508.6700000018</v>
      </c>
    </row>
    <row r="17" spans="1:51" x14ac:dyDescent="0.25">
      <c r="B17" s="2" t="s">
        <v>29</v>
      </c>
      <c r="C17" s="2">
        <v>2020</v>
      </c>
      <c r="D17" s="1">
        <v>258006</v>
      </c>
      <c r="E17" s="11">
        <v>9750432.8299999982</v>
      </c>
      <c r="F17" s="1">
        <v>149276</v>
      </c>
      <c r="G17" s="11">
        <v>5621182.0300000003</v>
      </c>
      <c r="H17" s="1">
        <v>20029</v>
      </c>
      <c r="I17" s="11">
        <v>783926.03</v>
      </c>
      <c r="J17" s="1">
        <v>1069963</v>
      </c>
      <c r="K17" s="11">
        <v>40940302.970000014</v>
      </c>
      <c r="L17" s="8">
        <v>28196</v>
      </c>
      <c r="M17" s="11">
        <v>1082713.0899999999</v>
      </c>
      <c r="N17" s="8">
        <v>7618</v>
      </c>
      <c r="O17" s="11">
        <v>264391.76</v>
      </c>
      <c r="P17" s="8">
        <v>0</v>
      </c>
      <c r="Q17" s="11">
        <v>0</v>
      </c>
      <c r="R17" s="8">
        <f t="shared" si="4"/>
        <v>1533088</v>
      </c>
      <c r="S17" s="11">
        <f t="shared" si="0"/>
        <v>58442948.710000016</v>
      </c>
      <c r="T17" t="s">
        <v>56</v>
      </c>
      <c r="W17" s="17">
        <f t="shared" si="5"/>
        <v>0.18135619090358807</v>
      </c>
      <c r="X17" s="17">
        <f t="shared" si="6"/>
        <v>0.81864380909641188</v>
      </c>
      <c r="Y17" s="17">
        <f t="shared" si="7"/>
        <v>0.69791362270137136</v>
      </c>
      <c r="Z17" s="17">
        <f t="shared" si="8"/>
        <v>1.8391638314304203E-2</v>
      </c>
      <c r="AA17" s="17">
        <f t="shared" si="9"/>
        <v>4.9690559185121795E-3</v>
      </c>
      <c r="AB17" s="17">
        <f t="shared" si="10"/>
        <v>0</v>
      </c>
      <c r="AI17" s="2" t="s">
        <v>29</v>
      </c>
      <c r="AJ17" s="2">
        <v>2020</v>
      </c>
      <c r="AK17" s="1">
        <f t="shared" si="11"/>
        <v>278035</v>
      </c>
      <c r="AL17" s="11">
        <f t="shared" si="12"/>
        <v>10534358.859999998</v>
      </c>
      <c r="AM17" s="1">
        <f t="shared" si="13"/>
        <v>1069963</v>
      </c>
      <c r="AN17" s="11">
        <f t="shared" si="14"/>
        <v>40940302.970000014</v>
      </c>
      <c r="AO17" s="8">
        <f t="shared" si="15"/>
        <v>28196</v>
      </c>
      <c r="AP17" s="11">
        <f t="shared" si="16"/>
        <v>1082713.0899999999</v>
      </c>
      <c r="AQ17" s="8">
        <f t="shared" si="17"/>
        <v>7618</v>
      </c>
      <c r="AR17" s="11">
        <f t="shared" si="18"/>
        <v>264391.76</v>
      </c>
      <c r="AS17" s="8">
        <f t="shared" si="19"/>
        <v>0</v>
      </c>
      <c r="AT17" s="11">
        <f t="shared" si="20"/>
        <v>0</v>
      </c>
      <c r="AU17" s="8">
        <f t="shared" si="21"/>
        <v>1383812</v>
      </c>
      <c r="AV17" s="11">
        <f t="shared" si="22"/>
        <v>52821766.680000015</v>
      </c>
      <c r="AW17" t="str">
        <f t="shared" si="23"/>
        <v>AUNORTE</v>
      </c>
      <c r="AX17" s="37">
        <f t="shared" si="24"/>
        <v>-149276</v>
      </c>
      <c r="AY17" s="37">
        <f t="shared" si="3"/>
        <v>-5621182.0300000012</v>
      </c>
    </row>
    <row r="18" spans="1:51" x14ac:dyDescent="0.25">
      <c r="B18" s="2" t="s">
        <v>30</v>
      </c>
      <c r="C18" s="2">
        <v>2020</v>
      </c>
      <c r="D18" s="1">
        <v>245442</v>
      </c>
      <c r="E18" s="11">
        <v>9396567.870000001</v>
      </c>
      <c r="F18" s="1">
        <v>138257</v>
      </c>
      <c r="G18" s="11">
        <v>5241474.1399999997</v>
      </c>
      <c r="H18" s="1">
        <v>15711</v>
      </c>
      <c r="I18" s="11">
        <v>615911.54999999981</v>
      </c>
      <c r="J18" s="1">
        <v>1012277</v>
      </c>
      <c r="K18" s="11">
        <v>39130514.550000012</v>
      </c>
      <c r="L18" s="8">
        <v>26137</v>
      </c>
      <c r="M18" s="11">
        <v>1005591.79</v>
      </c>
      <c r="N18" s="8">
        <v>7032</v>
      </c>
      <c r="O18" s="11">
        <v>245156.32</v>
      </c>
      <c r="P18" s="8">
        <v>0</v>
      </c>
      <c r="Q18" s="11">
        <v>0</v>
      </c>
      <c r="R18" s="8">
        <f t="shared" si="4"/>
        <v>1444856</v>
      </c>
      <c r="S18" s="11">
        <f t="shared" si="0"/>
        <v>55635216.220000014</v>
      </c>
      <c r="T18" t="s">
        <v>56</v>
      </c>
      <c r="W18" s="17">
        <f t="shared" si="5"/>
        <v>0.18074673185424706</v>
      </c>
      <c r="X18" s="17">
        <f t="shared" si="6"/>
        <v>0.81925326814575294</v>
      </c>
      <c r="Y18" s="17">
        <f t="shared" si="7"/>
        <v>0.70060753459168246</v>
      </c>
      <c r="Z18" s="17">
        <f t="shared" si="8"/>
        <v>1.8089691983145726E-2</v>
      </c>
      <c r="AA18" s="17">
        <f t="shared" si="9"/>
        <v>4.8669209942028826E-3</v>
      </c>
      <c r="AB18" s="17">
        <f t="shared" si="10"/>
        <v>0</v>
      </c>
      <c r="AI18" s="2" t="s">
        <v>30</v>
      </c>
      <c r="AJ18" s="2">
        <v>2020</v>
      </c>
      <c r="AK18" s="1">
        <f t="shared" si="11"/>
        <v>261153</v>
      </c>
      <c r="AL18" s="11">
        <f t="shared" si="12"/>
        <v>10012479.420000002</v>
      </c>
      <c r="AM18" s="1">
        <f t="shared" si="13"/>
        <v>1012277</v>
      </c>
      <c r="AN18" s="11">
        <f t="shared" si="14"/>
        <v>39130514.550000012</v>
      </c>
      <c r="AO18" s="8">
        <f t="shared" si="15"/>
        <v>26137</v>
      </c>
      <c r="AP18" s="11">
        <f t="shared" si="16"/>
        <v>1005591.79</v>
      </c>
      <c r="AQ18" s="8">
        <f t="shared" si="17"/>
        <v>7032</v>
      </c>
      <c r="AR18" s="11">
        <f t="shared" si="18"/>
        <v>245156.32</v>
      </c>
      <c r="AS18" s="8">
        <f t="shared" si="19"/>
        <v>0</v>
      </c>
      <c r="AT18" s="11">
        <f t="shared" si="20"/>
        <v>0</v>
      </c>
      <c r="AU18" s="8">
        <f t="shared" si="21"/>
        <v>1306599</v>
      </c>
      <c r="AV18" s="11">
        <f t="shared" si="22"/>
        <v>50393742.080000013</v>
      </c>
      <c r="AW18" t="str">
        <f t="shared" si="23"/>
        <v>AUNORTE</v>
      </c>
      <c r="AX18" s="37">
        <f t="shared" si="24"/>
        <v>-138257</v>
      </c>
      <c r="AY18" s="37">
        <f t="shared" si="3"/>
        <v>-5241474.1400000006</v>
      </c>
    </row>
    <row r="19" spans="1:51" x14ac:dyDescent="0.25">
      <c r="B19" s="2" t="s">
        <v>31</v>
      </c>
      <c r="C19" s="2">
        <v>2020</v>
      </c>
      <c r="D19" s="1">
        <v>237886</v>
      </c>
      <c r="E19" s="11">
        <v>9117597.6400000025</v>
      </c>
      <c r="F19" s="1">
        <v>139909</v>
      </c>
      <c r="G19" s="11">
        <v>5350126.959999999</v>
      </c>
      <c r="H19" s="1">
        <v>15459</v>
      </c>
      <c r="I19" s="11">
        <v>605779.31000000006</v>
      </c>
      <c r="J19" s="1">
        <v>992051</v>
      </c>
      <c r="K19" s="11">
        <v>38480677.250000015</v>
      </c>
      <c r="L19" s="8">
        <v>24994</v>
      </c>
      <c r="M19" s="11">
        <v>963815.80999999994</v>
      </c>
      <c r="N19" s="8">
        <v>7307</v>
      </c>
      <c r="O19" s="11">
        <v>257908.08999999994</v>
      </c>
      <c r="P19" s="8">
        <v>0</v>
      </c>
      <c r="Q19" s="11">
        <v>0</v>
      </c>
      <c r="R19" s="8">
        <f t="shared" si="4"/>
        <v>1417606</v>
      </c>
      <c r="S19" s="11">
        <f t="shared" si="0"/>
        <v>54775905.060000017</v>
      </c>
      <c r="T19" t="s">
        <v>56</v>
      </c>
      <c r="W19" s="17">
        <f t="shared" si="5"/>
        <v>0.17871326729711923</v>
      </c>
      <c r="X19" s="17">
        <f t="shared" si="6"/>
        <v>0.82128673270288077</v>
      </c>
      <c r="Y19" s="17">
        <f t="shared" si="7"/>
        <v>0.699807280725392</v>
      </c>
      <c r="Z19" s="17">
        <f t="shared" si="8"/>
        <v>1.763113305107343E-2</v>
      </c>
      <c r="AA19" s="17">
        <f t="shared" si="9"/>
        <v>5.1544646396812655E-3</v>
      </c>
      <c r="AB19" s="17">
        <f t="shared" si="10"/>
        <v>0</v>
      </c>
      <c r="AI19" s="2" t="s">
        <v>31</v>
      </c>
      <c r="AJ19" s="2">
        <v>2020</v>
      </c>
      <c r="AK19" s="1">
        <f t="shared" si="11"/>
        <v>253345</v>
      </c>
      <c r="AL19" s="11">
        <f>E19+I19</f>
        <v>9723376.950000003</v>
      </c>
      <c r="AM19" s="1">
        <f t="shared" si="13"/>
        <v>992051</v>
      </c>
      <c r="AN19" s="11">
        <f t="shared" si="14"/>
        <v>38480677.250000015</v>
      </c>
      <c r="AO19" s="8">
        <f t="shared" si="15"/>
        <v>24994</v>
      </c>
      <c r="AP19" s="11">
        <f t="shared" si="16"/>
        <v>963815.80999999994</v>
      </c>
      <c r="AQ19" s="8">
        <f t="shared" si="17"/>
        <v>7307</v>
      </c>
      <c r="AR19" s="11">
        <f t="shared" si="18"/>
        <v>257908.08999999994</v>
      </c>
      <c r="AS19" s="8">
        <f t="shared" si="19"/>
        <v>0</v>
      </c>
      <c r="AT19" s="11">
        <f t="shared" si="20"/>
        <v>0</v>
      </c>
      <c r="AU19" s="8">
        <f t="shared" si="21"/>
        <v>1277697</v>
      </c>
      <c r="AV19" s="11">
        <f t="shared" si="22"/>
        <v>49425778.100000016</v>
      </c>
      <c r="AW19" t="str">
        <f t="shared" si="23"/>
        <v>AUNORTE</v>
      </c>
      <c r="AX19" s="37">
        <f t="shared" si="24"/>
        <v>-139909</v>
      </c>
      <c r="AY19" s="37">
        <f t="shared" si="3"/>
        <v>-5350126.9600000009</v>
      </c>
    </row>
    <row r="20" spans="1:51" x14ac:dyDescent="0.25">
      <c r="H20" s="39"/>
      <c r="W20" s="18"/>
      <c r="X20" s="19"/>
      <c r="Y20" s="18"/>
      <c r="Z20" s="18"/>
      <c r="AA20" s="18"/>
      <c r="AB20" s="18"/>
      <c r="AL20" s="9"/>
      <c r="AN20" s="9"/>
      <c r="AP20" s="9"/>
      <c r="AR20" s="9"/>
      <c r="AS20" s="9"/>
      <c r="AT20" s="9"/>
      <c r="AV20" s="9"/>
    </row>
    <row r="21" spans="1:51" x14ac:dyDescent="0.25">
      <c r="B21" s="3" t="s">
        <v>12</v>
      </c>
      <c r="C21" s="3"/>
      <c r="D21" s="4">
        <f t="shared" ref="D21:S21" si="25">SUM(D8:D20)</f>
        <v>2972585</v>
      </c>
      <c r="E21" s="12">
        <f t="shared" si="25"/>
        <v>109812201.38000001</v>
      </c>
      <c r="F21" s="4">
        <f t="shared" si="25"/>
        <v>1783421</v>
      </c>
      <c r="G21" s="12">
        <f t="shared" si="25"/>
        <v>64906334.040000007</v>
      </c>
      <c r="H21" s="4">
        <f t="shared" si="25"/>
        <v>217117</v>
      </c>
      <c r="I21" s="12">
        <f t="shared" si="25"/>
        <v>8135722.9299999997</v>
      </c>
      <c r="J21" s="4">
        <f t="shared" si="25"/>
        <v>11708519</v>
      </c>
      <c r="K21" s="12">
        <f t="shared" si="25"/>
        <v>439731161.93000007</v>
      </c>
      <c r="L21" s="4">
        <f t="shared" si="25"/>
        <v>305161</v>
      </c>
      <c r="M21" s="12">
        <f t="shared" si="25"/>
        <v>11462248.500000002</v>
      </c>
      <c r="N21" s="4">
        <f t="shared" si="25"/>
        <v>72152</v>
      </c>
      <c r="O21" s="12">
        <f t="shared" si="25"/>
        <v>2429934.0799999996</v>
      </c>
      <c r="P21" s="4">
        <f t="shared" si="25"/>
        <v>0</v>
      </c>
      <c r="Q21" s="12">
        <f t="shared" si="25"/>
        <v>0</v>
      </c>
      <c r="R21" s="4">
        <f t="shared" si="25"/>
        <v>17058955</v>
      </c>
      <c r="S21" s="12">
        <f t="shared" si="25"/>
        <v>636477602.86000013</v>
      </c>
      <c r="W21" s="16">
        <f>+(D21+H21)/R21</f>
        <v>0.18698108999056506</v>
      </c>
      <c r="X21" s="16">
        <f>1-W21</f>
        <v>0.81301891000943494</v>
      </c>
      <c r="Y21" s="16">
        <f>+J21/R21</f>
        <v>0.68635616894469798</v>
      </c>
      <c r="Z21" s="16">
        <f>+L21/R21</f>
        <v>1.7888610410192185E-2</v>
      </c>
      <c r="AA21" s="16">
        <f>+N21/R21</f>
        <v>4.2295674031615649E-3</v>
      </c>
      <c r="AB21" s="16">
        <f>+P21/R21</f>
        <v>0</v>
      </c>
      <c r="AI21" s="3" t="s">
        <v>12</v>
      </c>
      <c r="AJ21" s="3"/>
      <c r="AK21" s="4">
        <f t="shared" ref="AK21:AV21" si="26">SUM(AK8:AK20)</f>
        <v>3189702</v>
      </c>
      <c r="AL21" s="12">
        <f t="shared" si="26"/>
        <v>117947924.31000002</v>
      </c>
      <c r="AM21" s="4">
        <f t="shared" si="26"/>
        <v>11708519</v>
      </c>
      <c r="AN21" s="12">
        <f t="shared" si="26"/>
        <v>439731161.93000007</v>
      </c>
      <c r="AO21" s="4">
        <f t="shared" si="26"/>
        <v>305161</v>
      </c>
      <c r="AP21" s="12">
        <f t="shared" si="26"/>
        <v>11462248.500000002</v>
      </c>
      <c r="AQ21" s="4">
        <f t="shared" si="26"/>
        <v>72152</v>
      </c>
      <c r="AR21" s="12">
        <f t="shared" si="26"/>
        <v>2429934.0799999996</v>
      </c>
      <c r="AS21" s="4">
        <f t="shared" si="26"/>
        <v>0</v>
      </c>
      <c r="AT21" s="12">
        <f t="shared" si="26"/>
        <v>0</v>
      </c>
      <c r="AU21" s="4">
        <f t="shared" si="26"/>
        <v>15275534</v>
      </c>
      <c r="AV21" s="12">
        <f t="shared" si="26"/>
        <v>571571268.82000005</v>
      </c>
    </row>
    <row r="22" spans="1:51" x14ac:dyDescent="0.25">
      <c r="L22" s="28">
        <f>AVERAGE(L8:L19)</f>
        <v>25430.083333333332</v>
      </c>
      <c r="M22" s="28">
        <f>AVERAGE(M8:M19)</f>
        <v>955187.37500000012</v>
      </c>
      <c r="R22" s="28">
        <f>AVERAGE(R8:R17)</f>
        <v>1419649.3</v>
      </c>
      <c r="S22" s="28">
        <f>AVERAGE(S8:S17)</f>
        <v>52606648.158000007</v>
      </c>
    </row>
    <row r="23" spans="1:51" x14ac:dyDescent="0.25">
      <c r="B23" s="5" t="s">
        <v>14</v>
      </c>
      <c r="L23" s="44"/>
      <c r="M23" s="44"/>
      <c r="R23" s="44">
        <f>+L22/R22</f>
        <v>1.7912933379626454E-2</v>
      </c>
      <c r="S23" s="26">
        <f>+M22/S22</f>
        <v>1.8157160899724471E-2</v>
      </c>
    </row>
    <row r="24" spans="1:51" x14ac:dyDescent="0.25">
      <c r="B24" s="5" t="s">
        <v>20</v>
      </c>
      <c r="L24" s="26"/>
      <c r="M24" s="26"/>
    </row>
    <row r="25" spans="1:51" x14ac:dyDescent="0.25">
      <c r="B25" s="5"/>
    </row>
    <row r="26" spans="1:51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12</v>
      </c>
      <c r="S26" s="93"/>
      <c r="W26" s="94" t="s">
        <v>42</v>
      </c>
      <c r="X26" s="94"/>
      <c r="Y26" s="94"/>
      <c r="Z26" s="94"/>
      <c r="AA26" s="94"/>
      <c r="AB26" s="94"/>
      <c r="AK26" s="89" t="s">
        <v>69</v>
      </c>
      <c r="AL26" s="90"/>
      <c r="AM26" s="89" t="s">
        <v>17</v>
      </c>
      <c r="AN26" s="93"/>
      <c r="AO26" s="89" t="s">
        <v>18</v>
      </c>
      <c r="AP26" s="93"/>
      <c r="AQ26" s="89" t="s">
        <v>13</v>
      </c>
      <c r="AR26" s="93"/>
      <c r="AS26" s="89" t="s">
        <v>34</v>
      </c>
      <c r="AT26" s="93"/>
      <c r="AU26" s="89" t="s">
        <v>12</v>
      </c>
      <c r="AV26" s="93"/>
    </row>
    <row r="27" spans="1:51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W27" s="7" t="s">
        <v>38</v>
      </c>
      <c r="X27" s="10" t="s">
        <v>39</v>
      </c>
      <c r="Y27" s="10" t="s">
        <v>40</v>
      </c>
      <c r="Z27" s="10" t="s">
        <v>18</v>
      </c>
      <c r="AA27" s="10" t="s">
        <v>13</v>
      </c>
      <c r="AB27" s="10" t="s">
        <v>41</v>
      </c>
      <c r="AI27" s="7" t="s">
        <v>0</v>
      </c>
      <c r="AJ27" s="7" t="s">
        <v>1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  <c r="AU27" s="7" t="s">
        <v>2</v>
      </c>
      <c r="AV27" s="10" t="s">
        <v>3</v>
      </c>
    </row>
    <row r="28" spans="1:51" x14ac:dyDescent="0.25">
      <c r="X28" s="9"/>
      <c r="AL28" s="9"/>
      <c r="AN28" s="9"/>
      <c r="AP28" s="9"/>
      <c r="AR28" s="9"/>
      <c r="AS28" s="9"/>
      <c r="AT28" s="9"/>
      <c r="AV28" s="9"/>
    </row>
    <row r="29" spans="1:51" x14ac:dyDescent="0.25">
      <c r="B29" s="2" t="s">
        <v>5</v>
      </c>
      <c r="C29" s="2">
        <v>2020</v>
      </c>
      <c r="D29" s="1">
        <v>714887</v>
      </c>
      <c r="E29" s="11">
        <v>27224851.909999996</v>
      </c>
      <c r="F29" s="1">
        <v>320218</v>
      </c>
      <c r="G29" s="11">
        <v>11214960.079999998</v>
      </c>
      <c r="H29" s="1">
        <v>38164</v>
      </c>
      <c r="I29" s="11">
        <v>1341960.28</v>
      </c>
      <c r="J29" s="1">
        <v>1683633</v>
      </c>
      <c r="K29" s="11">
        <v>58746158.600000009</v>
      </c>
      <c r="L29" s="8">
        <v>38082</v>
      </c>
      <c r="M29" s="11">
        <v>1389222.7699999998</v>
      </c>
      <c r="N29" s="8">
        <v>6412</v>
      </c>
      <c r="O29" s="11">
        <v>223309.91000000003</v>
      </c>
      <c r="P29" s="8">
        <v>0</v>
      </c>
      <c r="Q29" s="11">
        <v>0</v>
      </c>
      <c r="R29" s="8">
        <f>N29+L29+J29+H29+D29+P29+F29</f>
        <v>2801396</v>
      </c>
      <c r="S29" s="11">
        <f t="shared" ref="S29:S40" si="27">O29+M29+K29+I29+E29+Q29+G29</f>
        <v>100140463.55</v>
      </c>
      <c r="T29" t="s">
        <v>57</v>
      </c>
      <c r="W29" s="17">
        <f>+(D29+H29)/R29</f>
        <v>0.26881276335084364</v>
      </c>
      <c r="X29" s="17">
        <f>1-W29</f>
        <v>0.7311872366491563</v>
      </c>
      <c r="Y29" s="17">
        <f>+J29/R29</f>
        <v>0.60099785963855168</v>
      </c>
      <c r="Z29" s="17">
        <f>+L29/R29</f>
        <v>1.3593936737255282E-2</v>
      </c>
      <c r="AA29" s="17">
        <f>+N29/R29</f>
        <v>2.2888588403781542E-3</v>
      </c>
      <c r="AB29" s="17">
        <f>+P29/R29</f>
        <v>0</v>
      </c>
      <c r="AI29" s="2" t="s">
        <v>5</v>
      </c>
      <c r="AJ29" s="2">
        <v>2020</v>
      </c>
      <c r="AK29" s="1">
        <f>D29+H29</f>
        <v>753051</v>
      </c>
      <c r="AL29" s="11">
        <f>E29+I29</f>
        <v>28566812.189999998</v>
      </c>
      <c r="AM29" s="1">
        <f>+J29</f>
        <v>1683633</v>
      </c>
      <c r="AN29" s="11">
        <f t="shared" ref="AN29:AN40" si="28">+K29</f>
        <v>58746158.600000009</v>
      </c>
      <c r="AO29" s="8">
        <f t="shared" ref="AO29:AO40" si="29">+L29</f>
        <v>38082</v>
      </c>
      <c r="AP29" s="11">
        <f t="shared" ref="AP29:AP40" si="30">+M29</f>
        <v>1389222.7699999998</v>
      </c>
      <c r="AQ29" s="8">
        <f t="shared" ref="AQ29:AQ40" si="31">+N29</f>
        <v>6412</v>
      </c>
      <c r="AR29" s="11">
        <f t="shared" ref="AR29:AR40" si="32">+O29</f>
        <v>223309.91000000003</v>
      </c>
      <c r="AS29" s="8">
        <f t="shared" ref="AS29:AS40" si="33">+P29</f>
        <v>0</v>
      </c>
      <c r="AT29" s="11">
        <f t="shared" ref="AT29:AT40" si="34">+Q29</f>
        <v>0</v>
      </c>
      <c r="AU29" s="8">
        <f>AS29+AQ29+AO29+AM29+AK29</f>
        <v>2481178</v>
      </c>
      <c r="AV29" s="11">
        <f t="shared" ref="AV29:AV40" si="35">AT29+AR29+AP29+AN29+AL29</f>
        <v>88925503.469999999</v>
      </c>
      <c r="AW29" t="str">
        <f>+T29</f>
        <v>VIADUCTO</v>
      </c>
      <c r="AX29" s="37">
        <f>+AU29-R29</f>
        <v>-320218</v>
      </c>
      <c r="AY29" s="37">
        <f t="shared" ref="AY29:AY40" si="36">+AV29-S29</f>
        <v>-11214960.079999998</v>
      </c>
    </row>
    <row r="30" spans="1:51" x14ac:dyDescent="0.25">
      <c r="B30" s="2" t="s">
        <v>6</v>
      </c>
      <c r="C30" s="2">
        <v>2020</v>
      </c>
      <c r="D30" s="1">
        <v>708525</v>
      </c>
      <c r="E30" s="11">
        <v>26746706.030000009</v>
      </c>
      <c r="F30" s="1">
        <v>339566</v>
      </c>
      <c r="G30" s="11">
        <v>11757224.779999997</v>
      </c>
      <c r="H30" s="1">
        <v>34888</v>
      </c>
      <c r="I30" s="11">
        <v>1208216.0099999998</v>
      </c>
      <c r="J30" s="1">
        <v>1687791</v>
      </c>
      <c r="K30" s="11">
        <v>58595620.550000004</v>
      </c>
      <c r="L30" s="8">
        <v>38605</v>
      </c>
      <c r="M30" s="11">
        <v>1411784.35</v>
      </c>
      <c r="N30" s="8">
        <v>6377</v>
      </c>
      <c r="O30" s="11">
        <v>221137.54000000004</v>
      </c>
      <c r="P30" s="8">
        <v>0</v>
      </c>
      <c r="Q30" s="11">
        <v>0</v>
      </c>
      <c r="R30" s="8">
        <f t="shared" ref="R30:R40" si="37">N30+L30+J30+H30+D30+P30+F30</f>
        <v>2815752</v>
      </c>
      <c r="S30" s="11">
        <f t="shared" si="27"/>
        <v>99940689.26000002</v>
      </c>
      <c r="T30" t="s">
        <v>57</v>
      </c>
      <c r="W30" s="17">
        <f t="shared" ref="W30:W40" si="38">+(D30+H30)/R30</f>
        <v>0.26401934545371891</v>
      </c>
      <c r="X30" s="17">
        <f t="shared" ref="X30:X40" si="39">1-W30</f>
        <v>0.73598065454628103</v>
      </c>
      <c r="Y30" s="17">
        <f t="shared" ref="Y30:Y40" si="40">+J30/R30</f>
        <v>0.59941038841488881</v>
      </c>
      <c r="Z30" s="17">
        <f t="shared" ref="Z30:Z40" si="41">+L30/R30</f>
        <v>1.3710369379121456E-2</v>
      </c>
      <c r="AA30" s="17">
        <f t="shared" ref="AA30:AA40" si="42">+N30/R30</f>
        <v>2.2647591123081861E-3</v>
      </c>
      <c r="AB30" s="17">
        <f t="shared" ref="AB30:AB40" si="43">+P30/R30</f>
        <v>0</v>
      </c>
      <c r="AI30" s="2" t="s">
        <v>6</v>
      </c>
      <c r="AJ30" s="2">
        <v>2020</v>
      </c>
      <c r="AK30" s="1">
        <f t="shared" ref="AK30:AK40" si="44">D30+H30</f>
        <v>743413</v>
      </c>
      <c r="AL30" s="11">
        <f t="shared" ref="AL30:AL40" si="45">E30+I30</f>
        <v>27954922.040000007</v>
      </c>
      <c r="AM30" s="1">
        <f t="shared" ref="AM30:AM40" si="46">+J30</f>
        <v>1687791</v>
      </c>
      <c r="AN30" s="11">
        <f t="shared" si="28"/>
        <v>58595620.550000004</v>
      </c>
      <c r="AO30" s="8">
        <f t="shared" si="29"/>
        <v>38605</v>
      </c>
      <c r="AP30" s="11">
        <f t="shared" si="30"/>
        <v>1411784.35</v>
      </c>
      <c r="AQ30" s="8">
        <f t="shared" si="31"/>
        <v>6377</v>
      </c>
      <c r="AR30" s="11">
        <f t="shared" si="32"/>
        <v>221137.54000000004</v>
      </c>
      <c r="AS30" s="8">
        <f t="shared" si="33"/>
        <v>0</v>
      </c>
      <c r="AT30" s="11">
        <f t="shared" si="34"/>
        <v>0</v>
      </c>
      <c r="AU30" s="8">
        <f t="shared" ref="AU30:AU40" si="47">AS30+AQ30+AO30+AM30+AK30</f>
        <v>2476186</v>
      </c>
      <c r="AV30" s="11">
        <f t="shared" si="35"/>
        <v>88183464.480000019</v>
      </c>
      <c r="AW30" t="str">
        <f t="shared" ref="AW30:AW40" si="48">+T30</f>
        <v>VIADUCTO</v>
      </c>
      <c r="AX30" s="37">
        <f t="shared" ref="AX30:AX40" si="49">+AU30-R30</f>
        <v>-339566</v>
      </c>
      <c r="AY30" s="37">
        <f t="shared" si="36"/>
        <v>-11757224.780000001</v>
      </c>
    </row>
    <row r="31" spans="1:51" x14ac:dyDescent="0.25">
      <c r="B31" s="2" t="s">
        <v>7</v>
      </c>
      <c r="C31" s="2">
        <v>2020</v>
      </c>
      <c r="D31" s="1">
        <v>477876</v>
      </c>
      <c r="E31" s="11">
        <v>18206617.969999999</v>
      </c>
      <c r="F31" s="1">
        <v>228621</v>
      </c>
      <c r="G31" s="11">
        <v>8037744.2699999977</v>
      </c>
      <c r="H31" s="1">
        <v>23897</v>
      </c>
      <c r="I31" s="11">
        <v>845178.53000000014</v>
      </c>
      <c r="J31" s="1">
        <v>1187296</v>
      </c>
      <c r="K31" s="11">
        <v>41802890.670000009</v>
      </c>
      <c r="L31" s="8">
        <v>28475</v>
      </c>
      <c r="M31" s="11">
        <v>1084428.55</v>
      </c>
      <c r="N31" s="8">
        <v>4627</v>
      </c>
      <c r="O31" s="11">
        <v>169075.32</v>
      </c>
      <c r="P31" s="8">
        <v>0</v>
      </c>
      <c r="Q31" s="11">
        <v>0</v>
      </c>
      <c r="R31" s="8">
        <f t="shared" si="37"/>
        <v>1950792</v>
      </c>
      <c r="S31" s="11">
        <f t="shared" si="27"/>
        <v>70145935.310000002</v>
      </c>
      <c r="T31" t="s">
        <v>57</v>
      </c>
      <c r="W31" s="17">
        <f t="shared" si="38"/>
        <v>0.25721501831051186</v>
      </c>
      <c r="X31" s="17">
        <f t="shared" si="39"/>
        <v>0.74278498168948814</v>
      </c>
      <c r="Y31" s="17">
        <f t="shared" si="40"/>
        <v>0.60862254920052983</v>
      </c>
      <c r="Z31" s="17">
        <f t="shared" si="41"/>
        <v>1.459663562286497E-2</v>
      </c>
      <c r="AA31" s="17">
        <f t="shared" si="42"/>
        <v>2.3718571739068028E-3</v>
      </c>
      <c r="AB31" s="17">
        <f t="shared" si="43"/>
        <v>0</v>
      </c>
      <c r="AI31" s="2" t="s">
        <v>7</v>
      </c>
      <c r="AJ31" s="2">
        <v>2020</v>
      </c>
      <c r="AK31" s="1">
        <f t="shared" si="44"/>
        <v>501773</v>
      </c>
      <c r="AL31" s="11">
        <f t="shared" si="45"/>
        <v>19051796.5</v>
      </c>
      <c r="AM31" s="1">
        <f t="shared" si="46"/>
        <v>1187296</v>
      </c>
      <c r="AN31" s="11">
        <f t="shared" si="28"/>
        <v>41802890.670000009</v>
      </c>
      <c r="AO31" s="8">
        <f t="shared" si="29"/>
        <v>28475</v>
      </c>
      <c r="AP31" s="11">
        <f t="shared" si="30"/>
        <v>1084428.55</v>
      </c>
      <c r="AQ31" s="8">
        <f t="shared" si="31"/>
        <v>4627</v>
      </c>
      <c r="AR31" s="11">
        <f t="shared" si="32"/>
        <v>169075.32</v>
      </c>
      <c r="AS31" s="8">
        <f t="shared" si="33"/>
        <v>0</v>
      </c>
      <c r="AT31" s="11">
        <f t="shared" si="34"/>
        <v>0</v>
      </c>
      <c r="AU31" s="8">
        <f t="shared" si="47"/>
        <v>1722171</v>
      </c>
      <c r="AV31" s="11">
        <f t="shared" si="35"/>
        <v>62108191.040000007</v>
      </c>
      <c r="AW31" t="str">
        <f t="shared" si="48"/>
        <v>VIADUCTO</v>
      </c>
      <c r="AX31" s="37">
        <f t="shared" si="49"/>
        <v>-228621</v>
      </c>
      <c r="AY31" s="37">
        <f t="shared" si="36"/>
        <v>-8037744.2699999958</v>
      </c>
    </row>
    <row r="32" spans="1:51" x14ac:dyDescent="0.25">
      <c r="B32" s="2" t="s">
        <v>8</v>
      </c>
      <c r="C32" s="2">
        <v>2020</v>
      </c>
      <c r="D32" s="1">
        <v>75452</v>
      </c>
      <c r="E32" s="11">
        <v>2929120.9600000004</v>
      </c>
      <c r="F32" s="1">
        <v>31244</v>
      </c>
      <c r="G32" s="11">
        <v>1125505.7099999997</v>
      </c>
      <c r="H32" s="1">
        <v>2580</v>
      </c>
      <c r="I32" s="11">
        <v>101007.68000000001</v>
      </c>
      <c r="J32" s="1">
        <v>247671</v>
      </c>
      <c r="K32" s="11">
        <v>8860935.3999999985</v>
      </c>
      <c r="L32" s="8">
        <v>7475</v>
      </c>
      <c r="M32" s="11">
        <v>306787.11999999994</v>
      </c>
      <c r="N32" s="8">
        <v>1375</v>
      </c>
      <c r="O32" s="11">
        <v>51056.419999999991</v>
      </c>
      <c r="P32" s="8">
        <v>0</v>
      </c>
      <c r="Q32" s="11">
        <v>0</v>
      </c>
      <c r="R32" s="8">
        <f t="shared" si="37"/>
        <v>365797</v>
      </c>
      <c r="S32" s="11">
        <f t="shared" si="27"/>
        <v>13374413.289999997</v>
      </c>
      <c r="T32" t="s">
        <v>57</v>
      </c>
      <c r="W32" s="17">
        <f t="shared" si="38"/>
        <v>0.21332050290188273</v>
      </c>
      <c r="X32" s="17">
        <f t="shared" si="39"/>
        <v>0.78667949709811724</v>
      </c>
      <c r="Y32" s="17">
        <f t="shared" si="40"/>
        <v>0.67707225592336728</v>
      </c>
      <c r="Z32" s="17">
        <f t="shared" si="41"/>
        <v>2.0434831340880324E-2</v>
      </c>
      <c r="AA32" s="17">
        <f t="shared" si="42"/>
        <v>3.7589154640415312E-3</v>
      </c>
      <c r="AB32" s="17">
        <f t="shared" si="43"/>
        <v>0</v>
      </c>
      <c r="AI32" s="2" t="s">
        <v>8</v>
      </c>
      <c r="AJ32" s="2">
        <v>2020</v>
      </c>
      <c r="AK32" s="1">
        <f t="shared" si="44"/>
        <v>78032</v>
      </c>
      <c r="AL32" s="11">
        <f t="shared" si="45"/>
        <v>3030128.6400000006</v>
      </c>
      <c r="AM32" s="1">
        <f t="shared" si="46"/>
        <v>247671</v>
      </c>
      <c r="AN32" s="11">
        <f t="shared" si="28"/>
        <v>8860935.3999999985</v>
      </c>
      <c r="AO32" s="8">
        <f t="shared" si="29"/>
        <v>7475</v>
      </c>
      <c r="AP32" s="11">
        <f t="shared" si="30"/>
        <v>306787.11999999994</v>
      </c>
      <c r="AQ32" s="8">
        <f t="shared" si="31"/>
        <v>1375</v>
      </c>
      <c r="AR32" s="11">
        <f t="shared" si="32"/>
        <v>51056.419999999991</v>
      </c>
      <c r="AS32" s="8">
        <f t="shared" si="33"/>
        <v>0</v>
      </c>
      <c r="AT32" s="11">
        <f t="shared" si="34"/>
        <v>0</v>
      </c>
      <c r="AU32" s="8">
        <f t="shared" si="47"/>
        <v>334553</v>
      </c>
      <c r="AV32" s="11">
        <f t="shared" si="35"/>
        <v>12248907.579999998</v>
      </c>
      <c r="AW32" t="str">
        <f t="shared" si="48"/>
        <v>VIADUCTO</v>
      </c>
      <c r="AX32" s="37">
        <f t="shared" si="49"/>
        <v>-31244</v>
      </c>
      <c r="AY32" s="37">
        <f t="shared" si="36"/>
        <v>-1125505.709999999</v>
      </c>
    </row>
    <row r="33" spans="1:51" x14ac:dyDescent="0.25">
      <c r="B33" s="2" t="s">
        <v>9</v>
      </c>
      <c r="C33" s="2">
        <v>2020</v>
      </c>
      <c r="D33" s="1">
        <v>65528</v>
      </c>
      <c r="E33" s="11">
        <v>2464452.79</v>
      </c>
      <c r="F33" s="1">
        <v>28650</v>
      </c>
      <c r="G33" s="11">
        <v>1010256.5700000001</v>
      </c>
      <c r="H33" s="1">
        <v>1878</v>
      </c>
      <c r="I33" s="11">
        <v>75113.78</v>
      </c>
      <c r="J33" s="1">
        <v>229646</v>
      </c>
      <c r="K33" s="11">
        <v>8076459.6599999983</v>
      </c>
      <c r="L33" s="8">
        <v>7290</v>
      </c>
      <c r="M33" s="11">
        <v>287236.33</v>
      </c>
      <c r="N33" s="8">
        <v>1316</v>
      </c>
      <c r="O33" s="11">
        <v>46557.240000000013</v>
      </c>
      <c r="P33" s="8">
        <v>0</v>
      </c>
      <c r="Q33" s="11">
        <v>0</v>
      </c>
      <c r="R33" s="8">
        <f t="shared" si="37"/>
        <v>334308</v>
      </c>
      <c r="S33" s="11">
        <f t="shared" si="27"/>
        <v>11960076.369999997</v>
      </c>
      <c r="T33" t="s">
        <v>57</v>
      </c>
      <c r="W33" s="17">
        <f t="shared" si="38"/>
        <v>0.20162843844598394</v>
      </c>
      <c r="X33" s="17">
        <f t="shared" si="39"/>
        <v>0.79837156155401612</v>
      </c>
      <c r="Y33" s="17">
        <f t="shared" si="40"/>
        <v>0.68692941838065491</v>
      </c>
      <c r="Z33" s="17">
        <f t="shared" si="41"/>
        <v>2.1806238558455076E-2</v>
      </c>
      <c r="AA33" s="17">
        <f t="shared" si="42"/>
        <v>3.9364897041051965E-3</v>
      </c>
      <c r="AB33" s="17">
        <f t="shared" si="43"/>
        <v>0</v>
      </c>
      <c r="AI33" s="2" t="s">
        <v>9</v>
      </c>
      <c r="AJ33" s="2">
        <v>2020</v>
      </c>
      <c r="AK33" s="1">
        <f t="shared" si="44"/>
        <v>67406</v>
      </c>
      <c r="AL33" s="11">
        <f t="shared" si="45"/>
        <v>2539566.5699999998</v>
      </c>
      <c r="AM33" s="1">
        <f t="shared" si="46"/>
        <v>229646</v>
      </c>
      <c r="AN33" s="11">
        <f t="shared" si="28"/>
        <v>8076459.6599999983</v>
      </c>
      <c r="AO33" s="8">
        <f t="shared" si="29"/>
        <v>7290</v>
      </c>
      <c r="AP33" s="11">
        <f t="shared" si="30"/>
        <v>287236.33</v>
      </c>
      <c r="AQ33" s="8">
        <f t="shared" si="31"/>
        <v>1316</v>
      </c>
      <c r="AR33" s="11">
        <f t="shared" si="32"/>
        <v>46557.240000000013</v>
      </c>
      <c r="AS33" s="8">
        <f t="shared" si="33"/>
        <v>0</v>
      </c>
      <c r="AT33" s="11">
        <f t="shared" si="34"/>
        <v>0</v>
      </c>
      <c r="AU33" s="8">
        <f t="shared" si="47"/>
        <v>305658</v>
      </c>
      <c r="AV33" s="11">
        <f t="shared" si="35"/>
        <v>10949819.799999999</v>
      </c>
      <c r="AW33" t="str">
        <f t="shared" si="48"/>
        <v>VIADUCTO</v>
      </c>
      <c r="AX33" s="37">
        <f t="shared" si="49"/>
        <v>-28650</v>
      </c>
      <c r="AY33" s="37">
        <f t="shared" si="36"/>
        <v>-1010256.5699999984</v>
      </c>
    </row>
    <row r="34" spans="1:51" x14ac:dyDescent="0.25">
      <c r="B34" s="2" t="s">
        <v>10</v>
      </c>
      <c r="C34" s="2">
        <v>2020</v>
      </c>
      <c r="D34" s="1">
        <v>118095</v>
      </c>
      <c r="E34" s="11">
        <v>4474873.6600000011</v>
      </c>
      <c r="F34" s="1">
        <v>52469</v>
      </c>
      <c r="G34" s="11">
        <v>1913690.9299999997</v>
      </c>
      <c r="H34" s="1">
        <v>3656</v>
      </c>
      <c r="I34" s="11">
        <v>148596.46999999994</v>
      </c>
      <c r="J34" s="1">
        <v>385751</v>
      </c>
      <c r="K34" s="11">
        <v>13666772.900000002</v>
      </c>
      <c r="L34" s="8">
        <v>11328</v>
      </c>
      <c r="M34" s="11">
        <v>449161.58999999997</v>
      </c>
      <c r="N34" s="8">
        <v>2119</v>
      </c>
      <c r="O34" s="11">
        <v>76885.13</v>
      </c>
      <c r="P34" s="8">
        <v>0</v>
      </c>
      <c r="Q34" s="11">
        <v>0</v>
      </c>
      <c r="R34" s="8">
        <f t="shared" si="37"/>
        <v>573418</v>
      </c>
      <c r="S34" s="11">
        <f t="shared" si="27"/>
        <v>20729980.680000003</v>
      </c>
      <c r="T34" t="s">
        <v>57</v>
      </c>
      <c r="W34" s="17">
        <f t="shared" si="38"/>
        <v>0.21232504037194508</v>
      </c>
      <c r="X34" s="17">
        <f t="shared" si="39"/>
        <v>0.78767495962805489</v>
      </c>
      <c r="Y34" s="17">
        <f t="shared" si="40"/>
        <v>0.67272216777289862</v>
      </c>
      <c r="Z34" s="17">
        <f t="shared" si="41"/>
        <v>1.9755222193931825E-2</v>
      </c>
      <c r="AA34" s="17">
        <f t="shared" si="42"/>
        <v>3.6953845187978054E-3</v>
      </c>
      <c r="AB34" s="17">
        <f t="shared" si="43"/>
        <v>0</v>
      </c>
      <c r="AI34" s="2" t="s">
        <v>10</v>
      </c>
      <c r="AJ34" s="2">
        <v>2020</v>
      </c>
      <c r="AK34" s="1">
        <f t="shared" si="44"/>
        <v>121751</v>
      </c>
      <c r="AL34" s="11">
        <f t="shared" si="45"/>
        <v>4623470.1300000008</v>
      </c>
      <c r="AM34" s="1">
        <f t="shared" si="46"/>
        <v>385751</v>
      </c>
      <c r="AN34" s="11">
        <f t="shared" si="28"/>
        <v>13666772.900000002</v>
      </c>
      <c r="AO34" s="8">
        <f t="shared" si="29"/>
        <v>11328</v>
      </c>
      <c r="AP34" s="11">
        <f t="shared" si="30"/>
        <v>449161.58999999997</v>
      </c>
      <c r="AQ34" s="8">
        <f t="shared" si="31"/>
        <v>2119</v>
      </c>
      <c r="AR34" s="11">
        <f t="shared" si="32"/>
        <v>76885.13</v>
      </c>
      <c r="AS34" s="8">
        <f t="shared" si="33"/>
        <v>0</v>
      </c>
      <c r="AT34" s="11">
        <f t="shared" si="34"/>
        <v>0</v>
      </c>
      <c r="AU34" s="8">
        <f t="shared" si="47"/>
        <v>520949</v>
      </c>
      <c r="AV34" s="11">
        <f t="shared" si="35"/>
        <v>18816289.750000004</v>
      </c>
      <c r="AW34" t="str">
        <f t="shared" si="48"/>
        <v>VIADUCTO</v>
      </c>
      <c r="AX34" s="37">
        <f t="shared" si="49"/>
        <v>-52469</v>
      </c>
      <c r="AY34" s="37">
        <f t="shared" si="36"/>
        <v>-1913690.9299999997</v>
      </c>
    </row>
    <row r="35" spans="1:51" x14ac:dyDescent="0.25">
      <c r="B35" s="2" t="s">
        <v>11</v>
      </c>
      <c r="C35" s="2">
        <v>2020</v>
      </c>
      <c r="D35" s="1">
        <v>218785</v>
      </c>
      <c r="E35" s="11">
        <v>8326915.0700000003</v>
      </c>
      <c r="F35" s="1">
        <v>96836</v>
      </c>
      <c r="G35" s="11">
        <v>3516447.6900000004</v>
      </c>
      <c r="H35" s="1">
        <v>7464</v>
      </c>
      <c r="I35" s="11">
        <v>298191.40999999997</v>
      </c>
      <c r="J35" s="1">
        <v>644057</v>
      </c>
      <c r="K35" s="11">
        <v>22968700.579999998</v>
      </c>
      <c r="L35" s="8">
        <v>16955</v>
      </c>
      <c r="M35" s="11">
        <v>660901.29</v>
      </c>
      <c r="N35" s="8">
        <v>3329</v>
      </c>
      <c r="O35" s="11">
        <v>128241.09999999999</v>
      </c>
      <c r="P35" s="8">
        <v>0</v>
      </c>
      <c r="Q35" s="11">
        <v>0</v>
      </c>
      <c r="R35" s="8">
        <f t="shared" si="37"/>
        <v>987426</v>
      </c>
      <c r="S35" s="11">
        <f t="shared" si="27"/>
        <v>35899397.140000001</v>
      </c>
      <c r="T35" t="s">
        <v>57</v>
      </c>
      <c r="W35" s="17">
        <f t="shared" si="38"/>
        <v>0.22913008164662466</v>
      </c>
      <c r="X35" s="17">
        <f t="shared" si="39"/>
        <v>0.77086991835337537</v>
      </c>
      <c r="Y35" s="17">
        <f t="shared" si="40"/>
        <v>0.65225849835835803</v>
      </c>
      <c r="Z35" s="17">
        <f t="shared" si="41"/>
        <v>1.7170906984422123E-2</v>
      </c>
      <c r="AA35" s="17">
        <f t="shared" si="42"/>
        <v>3.37139188151821E-3</v>
      </c>
      <c r="AB35" s="17">
        <f t="shared" si="43"/>
        <v>0</v>
      </c>
      <c r="AI35" s="2" t="s">
        <v>11</v>
      </c>
      <c r="AJ35" s="2">
        <v>2020</v>
      </c>
      <c r="AK35" s="1">
        <f t="shared" si="44"/>
        <v>226249</v>
      </c>
      <c r="AL35" s="11">
        <f t="shared" si="45"/>
        <v>8625106.4800000004</v>
      </c>
      <c r="AM35" s="1">
        <f t="shared" si="46"/>
        <v>644057</v>
      </c>
      <c r="AN35" s="11">
        <f t="shared" si="28"/>
        <v>22968700.579999998</v>
      </c>
      <c r="AO35" s="8">
        <f t="shared" si="29"/>
        <v>16955</v>
      </c>
      <c r="AP35" s="11">
        <f t="shared" si="30"/>
        <v>660901.29</v>
      </c>
      <c r="AQ35" s="8">
        <f t="shared" si="31"/>
        <v>3329</v>
      </c>
      <c r="AR35" s="11">
        <f t="shared" si="32"/>
        <v>128241.09999999999</v>
      </c>
      <c r="AS35" s="8">
        <f t="shared" si="33"/>
        <v>0</v>
      </c>
      <c r="AT35" s="11">
        <f t="shared" si="34"/>
        <v>0</v>
      </c>
      <c r="AU35" s="8">
        <f t="shared" si="47"/>
        <v>890590</v>
      </c>
      <c r="AV35" s="11">
        <f t="shared" si="35"/>
        <v>32382949.449999999</v>
      </c>
      <c r="AW35" t="str">
        <f t="shared" si="48"/>
        <v>VIADUCTO</v>
      </c>
      <c r="AX35" s="37">
        <f t="shared" si="49"/>
        <v>-96836</v>
      </c>
      <c r="AY35" s="37">
        <f t="shared" si="36"/>
        <v>-3516447.6900000013</v>
      </c>
    </row>
    <row r="36" spans="1:51" x14ac:dyDescent="0.25">
      <c r="B36" s="2" t="s">
        <v>4</v>
      </c>
      <c r="C36" s="2">
        <v>2020</v>
      </c>
      <c r="D36" s="1">
        <v>287833</v>
      </c>
      <c r="E36" s="11">
        <v>10956202.389999999</v>
      </c>
      <c r="F36" s="1">
        <v>124936</v>
      </c>
      <c r="G36" s="11">
        <v>4542170.339999998</v>
      </c>
      <c r="H36" s="1">
        <v>11396</v>
      </c>
      <c r="I36" s="11">
        <v>451508.80000000005</v>
      </c>
      <c r="J36" s="1">
        <v>817102</v>
      </c>
      <c r="K36" s="11">
        <v>29141196.209999997</v>
      </c>
      <c r="L36" s="8">
        <v>20384</v>
      </c>
      <c r="M36" s="11">
        <v>797525.19000000006</v>
      </c>
      <c r="N36" s="8">
        <v>4424</v>
      </c>
      <c r="O36" s="11">
        <v>168340.95</v>
      </c>
      <c r="P36" s="8">
        <v>0</v>
      </c>
      <c r="Q36" s="11">
        <v>0</v>
      </c>
      <c r="R36" s="8">
        <f t="shared" si="37"/>
        <v>1266075</v>
      </c>
      <c r="S36" s="11">
        <f t="shared" si="27"/>
        <v>46056943.879999995</v>
      </c>
      <c r="T36" t="s">
        <v>57</v>
      </c>
      <c r="W36" s="17">
        <f t="shared" si="38"/>
        <v>0.23634381849416503</v>
      </c>
      <c r="X36" s="17">
        <f t="shared" si="39"/>
        <v>0.76365618150583492</v>
      </c>
      <c r="Y36" s="17">
        <f t="shared" si="40"/>
        <v>0.64538198763896293</v>
      </c>
      <c r="Z36" s="17">
        <f t="shared" si="41"/>
        <v>1.6100152044705093E-2</v>
      </c>
      <c r="AA36" s="17">
        <f t="shared" si="42"/>
        <v>3.4942637679442369E-3</v>
      </c>
      <c r="AB36" s="17">
        <f t="shared" si="43"/>
        <v>0</v>
      </c>
      <c r="AI36" s="2" t="s">
        <v>4</v>
      </c>
      <c r="AJ36" s="2">
        <v>2020</v>
      </c>
      <c r="AK36" s="1">
        <f t="shared" si="44"/>
        <v>299229</v>
      </c>
      <c r="AL36" s="11">
        <f t="shared" si="45"/>
        <v>11407711.189999999</v>
      </c>
      <c r="AM36" s="1">
        <f t="shared" si="46"/>
        <v>817102</v>
      </c>
      <c r="AN36" s="11">
        <f t="shared" si="28"/>
        <v>29141196.209999997</v>
      </c>
      <c r="AO36" s="8">
        <f t="shared" si="29"/>
        <v>20384</v>
      </c>
      <c r="AP36" s="11">
        <f t="shared" si="30"/>
        <v>797525.19000000006</v>
      </c>
      <c r="AQ36" s="8">
        <f t="shared" si="31"/>
        <v>4424</v>
      </c>
      <c r="AR36" s="11">
        <f t="shared" si="32"/>
        <v>168340.95</v>
      </c>
      <c r="AS36" s="8">
        <f t="shared" si="33"/>
        <v>0</v>
      </c>
      <c r="AT36" s="11">
        <f t="shared" si="34"/>
        <v>0</v>
      </c>
      <c r="AU36" s="8">
        <f t="shared" si="47"/>
        <v>1141139</v>
      </c>
      <c r="AV36" s="11">
        <f t="shared" si="35"/>
        <v>41514773.539999999</v>
      </c>
      <c r="AW36" t="str">
        <f t="shared" si="48"/>
        <v>VIADUCTO</v>
      </c>
      <c r="AX36" s="37">
        <f t="shared" si="49"/>
        <v>-124936</v>
      </c>
      <c r="AY36" s="37">
        <f t="shared" si="36"/>
        <v>-4542170.3399999961</v>
      </c>
    </row>
    <row r="37" spans="1:51" x14ac:dyDescent="0.25">
      <c r="B37" s="2" t="s">
        <v>28</v>
      </c>
      <c r="C37" s="2">
        <v>2020</v>
      </c>
      <c r="D37" s="1">
        <v>316656</v>
      </c>
      <c r="E37" s="11">
        <v>12044811.019999998</v>
      </c>
      <c r="F37" s="1">
        <v>142403</v>
      </c>
      <c r="G37" s="11">
        <v>5149288.4000000004</v>
      </c>
      <c r="H37" s="1">
        <v>15382</v>
      </c>
      <c r="I37" s="11">
        <v>593147.0199999999</v>
      </c>
      <c r="J37" s="1">
        <v>902031</v>
      </c>
      <c r="K37" s="11">
        <v>31926497.970000006</v>
      </c>
      <c r="L37" s="8">
        <v>22140</v>
      </c>
      <c r="M37" s="11">
        <v>864225.31000000017</v>
      </c>
      <c r="N37" s="8">
        <v>4793</v>
      </c>
      <c r="O37" s="11">
        <v>183246.38000000006</v>
      </c>
      <c r="P37" s="8">
        <v>0</v>
      </c>
      <c r="Q37" s="11">
        <v>0</v>
      </c>
      <c r="R37" s="8">
        <f t="shared" si="37"/>
        <v>1403405</v>
      </c>
      <c r="S37" s="11">
        <f t="shared" si="27"/>
        <v>50761216.100000001</v>
      </c>
      <c r="T37" t="s">
        <v>57</v>
      </c>
      <c r="W37" s="17">
        <f t="shared" si="38"/>
        <v>0.23659456821088709</v>
      </c>
      <c r="X37" s="17">
        <f t="shared" si="39"/>
        <v>0.76340543178911291</v>
      </c>
      <c r="Y37" s="17">
        <f t="shared" si="40"/>
        <v>0.6427446104296336</v>
      </c>
      <c r="Z37" s="17">
        <f t="shared" si="41"/>
        <v>1.5775916431821177E-2</v>
      </c>
      <c r="AA37" s="17">
        <f t="shared" si="42"/>
        <v>3.4152650161571323E-3</v>
      </c>
      <c r="AB37" s="17">
        <f t="shared" si="43"/>
        <v>0</v>
      </c>
      <c r="AI37" s="2" t="s">
        <v>28</v>
      </c>
      <c r="AJ37" s="2">
        <v>2020</v>
      </c>
      <c r="AK37" s="1">
        <f t="shared" si="44"/>
        <v>332038</v>
      </c>
      <c r="AL37" s="11">
        <f t="shared" si="45"/>
        <v>12637958.039999997</v>
      </c>
      <c r="AM37" s="1">
        <f t="shared" si="46"/>
        <v>902031</v>
      </c>
      <c r="AN37" s="11">
        <f t="shared" si="28"/>
        <v>31926497.970000006</v>
      </c>
      <c r="AO37" s="8">
        <f t="shared" si="29"/>
        <v>22140</v>
      </c>
      <c r="AP37" s="11">
        <f t="shared" si="30"/>
        <v>864225.31000000017</v>
      </c>
      <c r="AQ37" s="8">
        <f t="shared" si="31"/>
        <v>4793</v>
      </c>
      <c r="AR37" s="11">
        <f t="shared" si="32"/>
        <v>183246.38000000006</v>
      </c>
      <c r="AS37" s="8">
        <f t="shared" si="33"/>
        <v>0</v>
      </c>
      <c r="AT37" s="11">
        <f t="shared" si="34"/>
        <v>0</v>
      </c>
      <c r="AU37" s="8">
        <f t="shared" si="47"/>
        <v>1261002</v>
      </c>
      <c r="AV37" s="11">
        <f t="shared" si="35"/>
        <v>45611927.700000003</v>
      </c>
      <c r="AW37" t="str">
        <f t="shared" si="48"/>
        <v>VIADUCTO</v>
      </c>
      <c r="AX37" s="37">
        <f t="shared" si="49"/>
        <v>-142403</v>
      </c>
      <c r="AY37" s="37">
        <f t="shared" si="36"/>
        <v>-5149288.3999999985</v>
      </c>
    </row>
    <row r="38" spans="1:51" x14ac:dyDescent="0.25">
      <c r="B38" s="2" t="s">
        <v>29</v>
      </c>
      <c r="C38" s="2">
        <v>2020</v>
      </c>
      <c r="D38" s="1">
        <v>377399</v>
      </c>
      <c r="E38" s="11">
        <v>14333601.609999998</v>
      </c>
      <c r="F38" s="1">
        <v>167603</v>
      </c>
      <c r="G38" s="11">
        <v>6033684.5200000005</v>
      </c>
      <c r="H38" s="1">
        <v>20647</v>
      </c>
      <c r="I38" s="11">
        <v>786009.8899999999</v>
      </c>
      <c r="J38" s="1">
        <v>1068076</v>
      </c>
      <c r="K38" s="11">
        <v>37731582.199999996</v>
      </c>
      <c r="L38" s="8">
        <v>24822</v>
      </c>
      <c r="M38" s="11">
        <v>965366.54</v>
      </c>
      <c r="N38" s="8">
        <v>5813</v>
      </c>
      <c r="O38" s="11">
        <v>219119.00999999995</v>
      </c>
      <c r="P38" s="8">
        <v>0</v>
      </c>
      <c r="Q38" s="11">
        <v>0</v>
      </c>
      <c r="R38" s="8">
        <f t="shared" si="37"/>
        <v>1664360</v>
      </c>
      <c r="S38" s="11">
        <f t="shared" si="27"/>
        <v>60069363.769999996</v>
      </c>
      <c r="T38" t="s">
        <v>57</v>
      </c>
      <c r="W38" s="17">
        <f t="shared" si="38"/>
        <v>0.23915859549616669</v>
      </c>
      <c r="X38" s="17">
        <f t="shared" si="39"/>
        <v>0.76084140450383331</v>
      </c>
      <c r="Y38" s="17">
        <f t="shared" si="40"/>
        <v>0.64173375952318013</v>
      </c>
      <c r="Z38" s="17">
        <f t="shared" si="41"/>
        <v>1.4913840755605758E-2</v>
      </c>
      <c r="AA38" s="17">
        <f t="shared" si="42"/>
        <v>3.4926338051863778E-3</v>
      </c>
      <c r="AB38" s="17">
        <f t="shared" si="43"/>
        <v>0</v>
      </c>
      <c r="AI38" s="2" t="s">
        <v>29</v>
      </c>
      <c r="AJ38" s="2">
        <v>2020</v>
      </c>
      <c r="AK38" s="1">
        <f t="shared" si="44"/>
        <v>398046</v>
      </c>
      <c r="AL38" s="11">
        <f t="shared" si="45"/>
        <v>15119611.499999998</v>
      </c>
      <c r="AM38" s="1">
        <f t="shared" si="46"/>
        <v>1068076</v>
      </c>
      <c r="AN38" s="11">
        <f t="shared" si="28"/>
        <v>37731582.199999996</v>
      </c>
      <c r="AO38" s="8">
        <f t="shared" si="29"/>
        <v>24822</v>
      </c>
      <c r="AP38" s="11">
        <f t="shared" si="30"/>
        <v>965366.54</v>
      </c>
      <c r="AQ38" s="8">
        <f t="shared" si="31"/>
        <v>5813</v>
      </c>
      <c r="AR38" s="11">
        <f t="shared" si="32"/>
        <v>219119.00999999995</v>
      </c>
      <c r="AS38" s="8">
        <f t="shared" si="33"/>
        <v>0</v>
      </c>
      <c r="AT38" s="11">
        <f t="shared" si="34"/>
        <v>0</v>
      </c>
      <c r="AU38" s="8">
        <f t="shared" si="47"/>
        <v>1496757</v>
      </c>
      <c r="AV38" s="11">
        <f t="shared" si="35"/>
        <v>54035679.249999993</v>
      </c>
      <c r="AW38" t="str">
        <f t="shared" si="48"/>
        <v>VIADUCTO</v>
      </c>
      <c r="AX38" s="37">
        <f t="shared" si="49"/>
        <v>-167603</v>
      </c>
      <c r="AY38" s="37">
        <f t="shared" si="36"/>
        <v>-6033684.5200000033</v>
      </c>
    </row>
    <row r="39" spans="1:51" x14ac:dyDescent="0.25">
      <c r="B39" s="2" t="s">
        <v>30</v>
      </c>
      <c r="C39" s="2">
        <v>2020</v>
      </c>
      <c r="D39" s="1">
        <v>363255</v>
      </c>
      <c r="E39" s="11">
        <v>13891264.899999995</v>
      </c>
      <c r="F39" s="1">
        <v>154976</v>
      </c>
      <c r="G39" s="11">
        <v>5556556.0999999987</v>
      </c>
      <c r="H39" s="1">
        <v>16094</v>
      </c>
      <c r="I39" s="11">
        <v>619381.01</v>
      </c>
      <c r="J39" s="1">
        <v>1022775</v>
      </c>
      <c r="K39" s="11">
        <v>36170649.170000017</v>
      </c>
      <c r="L39" s="8">
        <v>23253</v>
      </c>
      <c r="M39" s="11">
        <v>911910.46000000008</v>
      </c>
      <c r="N39" s="8">
        <v>5644</v>
      </c>
      <c r="O39" s="11">
        <v>214085.87000000005</v>
      </c>
      <c r="P39" s="8">
        <v>0</v>
      </c>
      <c r="Q39" s="11">
        <v>0</v>
      </c>
      <c r="R39" s="8">
        <f t="shared" si="37"/>
        <v>1585997</v>
      </c>
      <c r="S39" s="11">
        <f t="shared" si="27"/>
        <v>57363847.510000013</v>
      </c>
      <c r="T39" t="s">
        <v>57</v>
      </c>
      <c r="W39" s="17">
        <f t="shared" si="38"/>
        <v>0.23918645495546334</v>
      </c>
      <c r="X39" s="17">
        <f t="shared" si="39"/>
        <v>0.76081354504453669</v>
      </c>
      <c r="Y39" s="17">
        <f t="shared" si="40"/>
        <v>0.64487826900050882</v>
      </c>
      <c r="Z39" s="17">
        <f t="shared" si="41"/>
        <v>1.4661440090996389E-2</v>
      </c>
      <c r="AA39" s="17">
        <f t="shared" si="42"/>
        <v>3.5586448145866608E-3</v>
      </c>
      <c r="AB39" s="17">
        <f t="shared" si="43"/>
        <v>0</v>
      </c>
      <c r="AI39" s="2" t="s">
        <v>30</v>
      </c>
      <c r="AJ39" s="2">
        <v>2020</v>
      </c>
      <c r="AK39" s="1">
        <f t="shared" si="44"/>
        <v>379349</v>
      </c>
      <c r="AL39" s="11">
        <f t="shared" si="45"/>
        <v>14510645.909999995</v>
      </c>
      <c r="AM39" s="1">
        <f t="shared" si="46"/>
        <v>1022775</v>
      </c>
      <c r="AN39" s="11">
        <f t="shared" si="28"/>
        <v>36170649.170000017</v>
      </c>
      <c r="AO39" s="8">
        <f t="shared" si="29"/>
        <v>23253</v>
      </c>
      <c r="AP39" s="11">
        <f t="shared" si="30"/>
        <v>911910.46000000008</v>
      </c>
      <c r="AQ39" s="8">
        <f t="shared" si="31"/>
        <v>5644</v>
      </c>
      <c r="AR39" s="11">
        <f t="shared" si="32"/>
        <v>214085.87000000005</v>
      </c>
      <c r="AS39" s="8">
        <f t="shared" si="33"/>
        <v>0</v>
      </c>
      <c r="AT39" s="11">
        <f t="shared" si="34"/>
        <v>0</v>
      </c>
      <c r="AU39" s="8">
        <f t="shared" si="47"/>
        <v>1431021</v>
      </c>
      <c r="AV39" s="11">
        <f t="shared" si="35"/>
        <v>51807291.410000011</v>
      </c>
      <c r="AW39" t="str">
        <f t="shared" si="48"/>
        <v>VIADUCTO</v>
      </c>
      <c r="AX39" s="37">
        <f t="shared" si="49"/>
        <v>-154976</v>
      </c>
      <c r="AY39" s="37">
        <f t="shared" si="36"/>
        <v>-5556556.1000000015</v>
      </c>
    </row>
    <row r="40" spans="1:51" x14ac:dyDescent="0.25">
      <c r="B40" s="2" t="s">
        <v>31</v>
      </c>
      <c r="C40" s="2">
        <v>2020</v>
      </c>
      <c r="D40" s="1">
        <v>351317</v>
      </c>
      <c r="E40" s="11">
        <v>13552425.529999997</v>
      </c>
      <c r="F40" s="1">
        <v>154108</v>
      </c>
      <c r="G40" s="11">
        <v>5617518.5699999994</v>
      </c>
      <c r="H40" s="1">
        <v>15195</v>
      </c>
      <c r="I40" s="11">
        <v>591014.53</v>
      </c>
      <c r="J40" s="1">
        <v>1000470</v>
      </c>
      <c r="K40" s="11">
        <v>35774852.390000001</v>
      </c>
      <c r="L40" s="8">
        <v>21560</v>
      </c>
      <c r="M40" s="11">
        <v>851865.77</v>
      </c>
      <c r="N40" s="8">
        <v>5723</v>
      </c>
      <c r="O40" s="11">
        <v>213703.33999999997</v>
      </c>
      <c r="P40" s="8">
        <v>0</v>
      </c>
      <c r="Q40" s="11">
        <v>0</v>
      </c>
      <c r="R40" s="8">
        <f t="shared" si="37"/>
        <v>1548373</v>
      </c>
      <c r="S40" s="11">
        <f t="shared" si="27"/>
        <v>56601380.130000003</v>
      </c>
      <c r="T40" t="s">
        <v>57</v>
      </c>
      <c r="W40" s="17">
        <f t="shared" si="38"/>
        <v>0.23670782169412669</v>
      </c>
      <c r="X40" s="17">
        <f t="shared" si="39"/>
        <v>0.76329217830587326</v>
      </c>
      <c r="Y40" s="17">
        <f t="shared" si="40"/>
        <v>0.64614275759135553</v>
      </c>
      <c r="Z40" s="17">
        <f t="shared" si="41"/>
        <v>1.3924293435754822E-2</v>
      </c>
      <c r="AA40" s="17">
        <f t="shared" si="42"/>
        <v>3.6961378169213747E-3</v>
      </c>
      <c r="AB40" s="17">
        <f t="shared" si="43"/>
        <v>0</v>
      </c>
      <c r="AI40" s="2" t="s">
        <v>31</v>
      </c>
      <c r="AJ40" s="2">
        <v>2020</v>
      </c>
      <c r="AK40" s="1">
        <f t="shared" si="44"/>
        <v>366512</v>
      </c>
      <c r="AL40" s="11">
        <f t="shared" si="45"/>
        <v>14143440.059999997</v>
      </c>
      <c r="AM40" s="1">
        <f t="shared" si="46"/>
        <v>1000470</v>
      </c>
      <c r="AN40" s="11">
        <f t="shared" si="28"/>
        <v>35774852.390000001</v>
      </c>
      <c r="AO40" s="8">
        <f t="shared" si="29"/>
        <v>21560</v>
      </c>
      <c r="AP40" s="11">
        <f t="shared" si="30"/>
        <v>851865.77</v>
      </c>
      <c r="AQ40" s="8">
        <f t="shared" si="31"/>
        <v>5723</v>
      </c>
      <c r="AR40" s="11">
        <f t="shared" si="32"/>
        <v>213703.33999999997</v>
      </c>
      <c r="AS40" s="8">
        <f t="shared" si="33"/>
        <v>0</v>
      </c>
      <c r="AT40" s="11">
        <f t="shared" si="34"/>
        <v>0</v>
      </c>
      <c r="AU40" s="8">
        <f t="shared" si="47"/>
        <v>1394265</v>
      </c>
      <c r="AV40" s="11">
        <f t="shared" si="35"/>
        <v>50983861.559999995</v>
      </c>
      <c r="AW40" t="str">
        <f t="shared" si="48"/>
        <v>VIADUCTO</v>
      </c>
      <c r="AX40" s="37">
        <f t="shared" si="49"/>
        <v>-154108</v>
      </c>
      <c r="AY40" s="37">
        <f t="shared" si="36"/>
        <v>-5617518.5700000077</v>
      </c>
    </row>
    <row r="41" spans="1:51" x14ac:dyDescent="0.25">
      <c r="W41" s="18"/>
      <c r="X41" s="19"/>
      <c r="Y41" s="18"/>
      <c r="Z41" s="18"/>
      <c r="AA41" s="18"/>
      <c r="AB41" s="18"/>
      <c r="AL41" s="9"/>
      <c r="AN41" s="9"/>
      <c r="AP41" s="9"/>
      <c r="AR41" s="9"/>
      <c r="AS41" s="9"/>
      <c r="AT41" s="9"/>
      <c r="AV41" s="9"/>
    </row>
    <row r="42" spans="1:51" x14ac:dyDescent="0.25">
      <c r="B42" s="3" t="s">
        <v>12</v>
      </c>
      <c r="C42" s="3"/>
      <c r="D42" s="4">
        <f t="shared" ref="D42:S42" si="50">SUM(D29:D41)</f>
        <v>4075608</v>
      </c>
      <c r="E42" s="12">
        <f t="shared" si="50"/>
        <v>155151843.83999997</v>
      </c>
      <c r="F42" s="4">
        <f t="shared" si="50"/>
        <v>1841630</v>
      </c>
      <c r="G42" s="12">
        <f t="shared" si="50"/>
        <v>65475047.959999993</v>
      </c>
      <c r="H42" s="4">
        <f t="shared" si="50"/>
        <v>191241</v>
      </c>
      <c r="I42" s="12">
        <f t="shared" si="50"/>
        <v>7059325.4099999992</v>
      </c>
      <c r="J42" s="4">
        <f t="shared" si="50"/>
        <v>10876299</v>
      </c>
      <c r="K42" s="12">
        <f t="shared" si="50"/>
        <v>383462316.30000001</v>
      </c>
      <c r="L42" s="4">
        <f t="shared" si="50"/>
        <v>260369</v>
      </c>
      <c r="M42" s="12">
        <f t="shared" si="50"/>
        <v>9980415.2700000014</v>
      </c>
      <c r="N42" s="4">
        <f t="shared" si="50"/>
        <v>51952</v>
      </c>
      <c r="O42" s="12">
        <f t="shared" si="50"/>
        <v>1914758.2100000004</v>
      </c>
      <c r="P42" s="4">
        <f t="shared" si="50"/>
        <v>0</v>
      </c>
      <c r="Q42" s="12">
        <f t="shared" si="50"/>
        <v>0</v>
      </c>
      <c r="R42" s="4">
        <f t="shared" si="50"/>
        <v>17297099</v>
      </c>
      <c r="S42" s="12">
        <f t="shared" si="50"/>
        <v>623043706.99000001</v>
      </c>
      <c r="W42" s="16">
        <f>+(D42+H42)/R42</f>
        <v>0.24668003576784756</v>
      </c>
      <c r="X42" s="16">
        <f>1-W42</f>
        <v>0.75331996423215242</v>
      </c>
      <c r="Y42" s="16">
        <f>+J42/R42</f>
        <v>0.62879324446255414</v>
      </c>
      <c r="Z42" s="16">
        <f>+L42/R42</f>
        <v>1.5052755378228453E-2</v>
      </c>
      <c r="AA42" s="16">
        <f>+N42/R42</f>
        <v>3.0035094324198527E-3</v>
      </c>
      <c r="AB42" s="16">
        <f>+P42/R42</f>
        <v>0</v>
      </c>
      <c r="AI42" s="3" t="s">
        <v>12</v>
      </c>
      <c r="AJ42" s="3"/>
      <c r="AK42" s="4">
        <f t="shared" ref="AK42:AV42" si="51">SUM(AK29:AK41)</f>
        <v>4266849</v>
      </c>
      <c r="AL42" s="12">
        <f t="shared" si="51"/>
        <v>162211169.24999997</v>
      </c>
      <c r="AM42" s="4">
        <f t="shared" si="51"/>
        <v>10876299</v>
      </c>
      <c r="AN42" s="12">
        <f t="shared" si="51"/>
        <v>383462316.30000001</v>
      </c>
      <c r="AO42" s="4">
        <f t="shared" si="51"/>
        <v>260369</v>
      </c>
      <c r="AP42" s="12">
        <f t="shared" si="51"/>
        <v>9980415.2700000014</v>
      </c>
      <c r="AQ42" s="4">
        <f t="shared" si="51"/>
        <v>51952</v>
      </c>
      <c r="AR42" s="12">
        <f t="shared" si="51"/>
        <v>1914758.2100000004</v>
      </c>
      <c r="AS42" s="4">
        <f t="shared" si="51"/>
        <v>0</v>
      </c>
      <c r="AT42" s="12">
        <f t="shared" si="51"/>
        <v>0</v>
      </c>
      <c r="AU42" s="4">
        <f t="shared" si="51"/>
        <v>15455469</v>
      </c>
      <c r="AV42" s="12">
        <f t="shared" si="51"/>
        <v>557568659.02999997</v>
      </c>
    </row>
    <row r="43" spans="1:51" x14ac:dyDescent="0.25">
      <c r="L43" s="28">
        <f>AVERAGE(L29:L38)</f>
        <v>21555.599999999999</v>
      </c>
      <c r="M43" s="28">
        <f>AVERAGE(M29:M38)</f>
        <v>821663.9040000001</v>
      </c>
      <c r="R43" s="28">
        <f>AVERAGE(R29:R38)</f>
        <v>1416272.9</v>
      </c>
      <c r="S43" s="28">
        <f>AVERAGE(S29:S38)</f>
        <v>50907847.935000002</v>
      </c>
    </row>
    <row r="44" spans="1:51" x14ac:dyDescent="0.25">
      <c r="B44" s="5" t="s">
        <v>14</v>
      </c>
      <c r="L44" s="28"/>
      <c r="M44" s="28"/>
      <c r="R44" s="44">
        <f>+L43/R43</f>
        <v>1.521994807639121E-2</v>
      </c>
      <c r="S44" s="44">
        <f>+M43/S43</f>
        <v>1.6140220758282975E-2</v>
      </c>
    </row>
    <row r="45" spans="1:51" x14ac:dyDescent="0.25">
      <c r="B45" s="5" t="s">
        <v>21</v>
      </c>
      <c r="L45" s="26"/>
      <c r="M45" s="26"/>
    </row>
    <row r="46" spans="1:51" x14ac:dyDescent="0.25">
      <c r="B46" s="5"/>
    </row>
    <row r="47" spans="1:51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12</v>
      </c>
      <c r="S47" s="93"/>
      <c r="W47" s="94" t="s">
        <v>42</v>
      </c>
      <c r="X47" s="94"/>
      <c r="Y47" s="94"/>
      <c r="Z47" s="94"/>
      <c r="AA47" s="94"/>
      <c r="AB47" s="94"/>
      <c r="AK47" s="89" t="s">
        <v>69</v>
      </c>
      <c r="AL47" s="90"/>
      <c r="AM47" s="89" t="s">
        <v>17</v>
      </c>
      <c r="AN47" s="93"/>
      <c r="AO47" s="89" t="s">
        <v>18</v>
      </c>
      <c r="AP47" s="93"/>
      <c r="AQ47" s="89" t="s">
        <v>13</v>
      </c>
      <c r="AR47" s="93"/>
      <c r="AS47" s="89" t="s">
        <v>34</v>
      </c>
      <c r="AT47" s="93"/>
      <c r="AU47" s="89" t="s">
        <v>12</v>
      </c>
      <c r="AV47" s="93"/>
    </row>
    <row r="48" spans="1:51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W48" s="7" t="s">
        <v>38</v>
      </c>
      <c r="X48" s="10" t="s">
        <v>39</v>
      </c>
      <c r="Y48" s="10" t="s">
        <v>40</v>
      </c>
      <c r="Z48" s="10" t="s">
        <v>18</v>
      </c>
      <c r="AA48" s="10" t="s">
        <v>13</v>
      </c>
      <c r="AB48" s="10" t="s">
        <v>41</v>
      </c>
      <c r="AI48" s="7" t="s">
        <v>0</v>
      </c>
      <c r="AJ48" s="7" t="s">
        <v>1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  <c r="AU48" s="7" t="s">
        <v>2</v>
      </c>
      <c r="AV48" s="10" t="s">
        <v>3</v>
      </c>
    </row>
    <row r="49" spans="2:51" x14ac:dyDescent="0.25">
      <c r="X49" s="9"/>
      <c r="AL49" s="9"/>
      <c r="AN49" s="9"/>
      <c r="AP49" s="9"/>
      <c r="AR49" s="9"/>
      <c r="AS49" s="9"/>
      <c r="AT49" s="9"/>
      <c r="AV49" s="9"/>
    </row>
    <row r="50" spans="2:51" x14ac:dyDescent="0.25">
      <c r="B50" s="2" t="s">
        <v>5</v>
      </c>
      <c r="C50" s="2">
        <v>2020</v>
      </c>
      <c r="D50" s="1">
        <v>316958</v>
      </c>
      <c r="E50" s="11">
        <v>12077005</v>
      </c>
      <c r="F50" s="1">
        <v>293463</v>
      </c>
      <c r="G50" s="11">
        <v>11247292</v>
      </c>
      <c r="H50" s="1">
        <v>42212</v>
      </c>
      <c r="I50" s="11">
        <v>1654313</v>
      </c>
      <c r="J50" s="1">
        <v>1764281</v>
      </c>
      <c r="K50" s="11">
        <v>66724887</v>
      </c>
      <c r="L50" s="8">
        <v>45959</v>
      </c>
      <c r="M50" s="11">
        <v>1721343</v>
      </c>
      <c r="N50" s="8">
        <v>21222</v>
      </c>
      <c r="O50" s="11">
        <v>792173</v>
      </c>
      <c r="P50" s="8">
        <v>29</v>
      </c>
      <c r="Q50" s="11">
        <v>1190</v>
      </c>
      <c r="R50" s="8">
        <f>N50+L50+J50+H50+D50+P50+F50</f>
        <v>2484124</v>
      </c>
      <c r="S50" s="11">
        <f t="shared" ref="S50:S61" si="52">O50+M50+K50+I50+E50+Q50+G50</f>
        <v>94218203</v>
      </c>
      <c r="T50" t="s">
        <v>58</v>
      </c>
      <c r="W50" s="17">
        <f>+(D50+H50)/R50</f>
        <v>0.14458618007796711</v>
      </c>
      <c r="X50" s="17">
        <f>1-W50</f>
        <v>0.85541381992203291</v>
      </c>
      <c r="Y50" s="17">
        <f>+J50/R50</f>
        <v>0.71022259758369555</v>
      </c>
      <c r="Z50" s="17">
        <f>+L50/R50</f>
        <v>1.8501089317602502E-2</v>
      </c>
      <c r="AA50" s="17">
        <f>+N50/R50</f>
        <v>8.5430517961261193E-3</v>
      </c>
      <c r="AB50" s="17">
        <f>+P50/R50</f>
        <v>1.1674135429632337E-5</v>
      </c>
      <c r="AI50" s="2" t="s">
        <v>5</v>
      </c>
      <c r="AJ50" s="2">
        <v>2020</v>
      </c>
      <c r="AK50" s="1">
        <f>D50+H50</f>
        <v>359170</v>
      </c>
      <c r="AL50" s="11">
        <f>E50+I50</f>
        <v>13731318</v>
      </c>
      <c r="AM50" s="1">
        <f>+J50</f>
        <v>1764281</v>
      </c>
      <c r="AN50" s="11">
        <f t="shared" ref="AN50:AN61" si="53">+K50</f>
        <v>66724887</v>
      </c>
      <c r="AO50" s="8">
        <f t="shared" ref="AO50:AO61" si="54">+L50</f>
        <v>45959</v>
      </c>
      <c r="AP50" s="11">
        <f t="shared" ref="AP50:AP61" si="55">+M50</f>
        <v>1721343</v>
      </c>
      <c r="AQ50" s="8">
        <f t="shared" ref="AQ50:AQ61" si="56">+N50</f>
        <v>21222</v>
      </c>
      <c r="AR50" s="11">
        <f t="shared" ref="AR50:AR61" si="57">+O50</f>
        <v>792173</v>
      </c>
      <c r="AS50" s="8">
        <f t="shared" ref="AS50:AS61" si="58">+P50</f>
        <v>29</v>
      </c>
      <c r="AT50" s="11">
        <f t="shared" ref="AT50:AT61" si="59">+Q50</f>
        <v>1190</v>
      </c>
      <c r="AU50" s="8">
        <f>AS50+AQ50+AO50+AM50+AK50</f>
        <v>2190661</v>
      </c>
      <c r="AV50" s="11">
        <f t="shared" ref="AV50:AV61" si="60">AT50+AR50+AP50+AN50+AL50</f>
        <v>82970911</v>
      </c>
      <c r="AW50" t="str">
        <f>+T50</f>
        <v>SUPERVIA</v>
      </c>
      <c r="AX50" s="37">
        <f>+AU50-R50</f>
        <v>-293463</v>
      </c>
      <c r="AY50" s="37">
        <f t="shared" ref="AY50:AY61" si="61">+AV50-S50</f>
        <v>-11247292</v>
      </c>
    </row>
    <row r="51" spans="2:51" x14ac:dyDescent="0.25">
      <c r="B51" s="2" t="s">
        <v>6</v>
      </c>
      <c r="C51" s="2">
        <v>2020</v>
      </c>
      <c r="D51" s="1">
        <v>301395</v>
      </c>
      <c r="E51" s="11">
        <v>12058378</v>
      </c>
      <c r="F51" s="1">
        <v>301715</v>
      </c>
      <c r="G51" s="11">
        <v>12158865</v>
      </c>
      <c r="H51" s="1">
        <v>39770</v>
      </c>
      <c r="I51" s="11">
        <v>1621573</v>
      </c>
      <c r="J51" s="1">
        <v>1768212</v>
      </c>
      <c r="K51" s="11">
        <v>69922039</v>
      </c>
      <c r="L51" s="8">
        <v>46758</v>
      </c>
      <c r="M51" s="11">
        <v>1832677</v>
      </c>
      <c r="N51" s="8">
        <v>21283</v>
      </c>
      <c r="O51" s="11">
        <v>831870</v>
      </c>
      <c r="P51" s="8">
        <v>13</v>
      </c>
      <c r="Q51" s="11">
        <v>605</v>
      </c>
      <c r="R51" s="8">
        <f t="shared" ref="R51:R61" si="62">N51+L51+J51+H51+D51+P51+F51</f>
        <v>2479146</v>
      </c>
      <c r="S51" s="11">
        <f t="shared" si="52"/>
        <v>98426007</v>
      </c>
      <c r="T51" t="s">
        <v>58</v>
      </c>
      <c r="W51" s="17">
        <f t="shared" ref="W51:W61" si="63">+(D51+H51)/R51</f>
        <v>0.13761392027738584</v>
      </c>
      <c r="X51" s="17">
        <f t="shared" ref="X51:X61" si="64">1-W51</f>
        <v>0.86238607972261416</v>
      </c>
      <c r="Y51" s="17">
        <f t="shared" ref="Y51:Y61" si="65">+J51/R51</f>
        <v>0.71323431536504911</v>
      </c>
      <c r="Z51" s="17">
        <f t="shared" ref="Z51:Z61" si="66">+L51/R51</f>
        <v>1.8860526971787864E-2</v>
      </c>
      <c r="AA51" s="17">
        <f t="shared" ref="AA51:AA61" si="67">+N51/R51</f>
        <v>8.5848110599375752E-3</v>
      </c>
      <c r="AB51" s="17">
        <f t="shared" ref="AB51:AB61" si="68">+P51/R51</f>
        <v>5.24374119152321E-6</v>
      </c>
      <c r="AI51" s="2" t="s">
        <v>6</v>
      </c>
      <c r="AJ51" s="2">
        <v>2020</v>
      </c>
      <c r="AK51" s="1">
        <f t="shared" ref="AK51:AK61" si="69">D51+H51</f>
        <v>341165</v>
      </c>
      <c r="AL51" s="11">
        <f t="shared" ref="AL51:AL61" si="70">E51+I51</f>
        <v>13679951</v>
      </c>
      <c r="AM51" s="1">
        <f t="shared" ref="AM51:AM61" si="71">+J51</f>
        <v>1768212</v>
      </c>
      <c r="AN51" s="11">
        <f t="shared" si="53"/>
        <v>69922039</v>
      </c>
      <c r="AO51" s="8">
        <f t="shared" si="54"/>
        <v>46758</v>
      </c>
      <c r="AP51" s="11">
        <f t="shared" si="55"/>
        <v>1832677</v>
      </c>
      <c r="AQ51" s="8">
        <f t="shared" si="56"/>
        <v>21283</v>
      </c>
      <c r="AR51" s="11">
        <f t="shared" si="57"/>
        <v>831870</v>
      </c>
      <c r="AS51" s="8">
        <f t="shared" si="58"/>
        <v>13</v>
      </c>
      <c r="AT51" s="11">
        <f t="shared" si="59"/>
        <v>605</v>
      </c>
      <c r="AU51" s="8">
        <f t="shared" ref="AU51:AU61" si="72">AS51+AQ51+AO51+AM51+AK51</f>
        <v>2177431</v>
      </c>
      <c r="AV51" s="11">
        <f t="shared" si="60"/>
        <v>86267142</v>
      </c>
      <c r="AW51" t="str">
        <f t="shared" ref="AW51:AW61" si="73">+T51</f>
        <v>SUPERVIA</v>
      </c>
      <c r="AX51" s="37">
        <f t="shared" ref="AX51:AX61" si="74">+AU51-R51</f>
        <v>-301715</v>
      </c>
      <c r="AY51" s="37">
        <f t="shared" si="61"/>
        <v>-12158865</v>
      </c>
    </row>
    <row r="52" spans="2:51" x14ac:dyDescent="0.25">
      <c r="B52" s="2" t="s">
        <v>7</v>
      </c>
      <c r="C52" s="2">
        <v>2020</v>
      </c>
      <c r="D52" s="1">
        <v>210965</v>
      </c>
      <c r="E52" s="11">
        <v>8450889</v>
      </c>
      <c r="F52" s="1">
        <v>202879</v>
      </c>
      <c r="G52" s="11">
        <v>8141355</v>
      </c>
      <c r="H52" s="1">
        <v>28183</v>
      </c>
      <c r="I52" s="11">
        <v>1154031</v>
      </c>
      <c r="J52" s="1">
        <v>1256563</v>
      </c>
      <c r="K52" s="11">
        <v>49480207</v>
      </c>
      <c r="L52" s="8">
        <v>32985</v>
      </c>
      <c r="M52" s="11">
        <v>1281637</v>
      </c>
      <c r="N52" s="8">
        <v>16927</v>
      </c>
      <c r="O52" s="11">
        <v>657529</v>
      </c>
      <c r="P52" s="8">
        <v>0</v>
      </c>
      <c r="Q52" s="11">
        <v>0</v>
      </c>
      <c r="R52" s="8">
        <f t="shared" si="62"/>
        <v>1748502</v>
      </c>
      <c r="S52" s="11">
        <f t="shared" si="52"/>
        <v>69165648</v>
      </c>
      <c r="T52" t="s">
        <v>58</v>
      </c>
      <c r="W52" s="17">
        <f t="shared" si="63"/>
        <v>0.13677307775455791</v>
      </c>
      <c r="X52" s="17">
        <f t="shared" si="64"/>
        <v>0.86322692224544206</v>
      </c>
      <c r="Y52" s="17">
        <f t="shared" si="65"/>
        <v>0.71865116539758034</v>
      </c>
      <c r="Z52" s="17">
        <f t="shared" si="66"/>
        <v>1.8864719628573487E-2</v>
      </c>
      <c r="AA52" s="17">
        <f t="shared" si="67"/>
        <v>9.6808582432276313E-3</v>
      </c>
      <c r="AB52" s="17">
        <f t="shared" si="68"/>
        <v>0</v>
      </c>
      <c r="AI52" s="2" t="s">
        <v>7</v>
      </c>
      <c r="AJ52" s="2">
        <v>2020</v>
      </c>
      <c r="AK52" s="1">
        <f t="shared" si="69"/>
        <v>239148</v>
      </c>
      <c r="AL52" s="11">
        <f t="shared" si="70"/>
        <v>9604920</v>
      </c>
      <c r="AM52" s="1">
        <f t="shared" si="71"/>
        <v>1256563</v>
      </c>
      <c r="AN52" s="11">
        <f t="shared" si="53"/>
        <v>49480207</v>
      </c>
      <c r="AO52" s="8">
        <f t="shared" si="54"/>
        <v>32985</v>
      </c>
      <c r="AP52" s="11">
        <f t="shared" si="55"/>
        <v>1281637</v>
      </c>
      <c r="AQ52" s="8">
        <f t="shared" si="56"/>
        <v>16927</v>
      </c>
      <c r="AR52" s="11">
        <f t="shared" si="57"/>
        <v>657529</v>
      </c>
      <c r="AS52" s="8">
        <f t="shared" si="58"/>
        <v>0</v>
      </c>
      <c r="AT52" s="11">
        <f t="shared" si="59"/>
        <v>0</v>
      </c>
      <c r="AU52" s="8">
        <f t="shared" si="72"/>
        <v>1545623</v>
      </c>
      <c r="AV52" s="11">
        <f t="shared" si="60"/>
        <v>61024293</v>
      </c>
      <c r="AW52" t="str">
        <f t="shared" si="73"/>
        <v>SUPERVIA</v>
      </c>
      <c r="AX52" s="37">
        <f t="shared" si="74"/>
        <v>-202879</v>
      </c>
      <c r="AY52" s="37">
        <f t="shared" si="61"/>
        <v>-8141355</v>
      </c>
    </row>
    <row r="53" spans="2:51" x14ac:dyDescent="0.25">
      <c r="B53" s="2" t="s">
        <v>8</v>
      </c>
      <c r="C53" s="2">
        <v>2020</v>
      </c>
      <c r="D53" s="1">
        <v>55988</v>
      </c>
      <c r="E53" s="11">
        <v>2276552</v>
      </c>
      <c r="F53" s="1">
        <v>46346</v>
      </c>
      <c r="G53" s="11">
        <v>1894214</v>
      </c>
      <c r="H53" s="1">
        <v>5653</v>
      </c>
      <c r="I53" s="11">
        <v>239127</v>
      </c>
      <c r="J53" s="1">
        <v>361507</v>
      </c>
      <c r="K53" s="11">
        <v>14240401</v>
      </c>
      <c r="L53" s="8">
        <v>9148</v>
      </c>
      <c r="M53" s="11">
        <v>360142</v>
      </c>
      <c r="N53" s="8">
        <v>5967</v>
      </c>
      <c r="O53" s="11">
        <v>232203</v>
      </c>
      <c r="P53" s="8">
        <v>0</v>
      </c>
      <c r="Q53" s="11">
        <v>0</v>
      </c>
      <c r="R53" s="8">
        <f t="shared" si="62"/>
        <v>484609</v>
      </c>
      <c r="S53" s="11">
        <f t="shared" si="52"/>
        <v>19242639</v>
      </c>
      <c r="T53" t="s">
        <v>58</v>
      </c>
      <c r="W53" s="17">
        <f t="shared" si="63"/>
        <v>0.12719739006085318</v>
      </c>
      <c r="X53" s="17">
        <f t="shared" si="64"/>
        <v>0.87280260993914682</v>
      </c>
      <c r="Y53" s="17">
        <f t="shared" si="65"/>
        <v>0.74597665334321073</v>
      </c>
      <c r="Z53" s="17">
        <f t="shared" si="66"/>
        <v>1.8877074094785694E-2</v>
      </c>
      <c r="AA53" s="17">
        <f t="shared" si="67"/>
        <v>1.2313019362001118E-2</v>
      </c>
      <c r="AB53" s="17">
        <f t="shared" si="68"/>
        <v>0</v>
      </c>
      <c r="AI53" s="2" t="s">
        <v>8</v>
      </c>
      <c r="AJ53" s="2">
        <v>2020</v>
      </c>
      <c r="AK53" s="1">
        <f t="shared" si="69"/>
        <v>61641</v>
      </c>
      <c r="AL53" s="11">
        <f t="shared" si="70"/>
        <v>2515679</v>
      </c>
      <c r="AM53" s="1">
        <f t="shared" si="71"/>
        <v>361507</v>
      </c>
      <c r="AN53" s="11">
        <f t="shared" si="53"/>
        <v>14240401</v>
      </c>
      <c r="AO53" s="8">
        <f t="shared" si="54"/>
        <v>9148</v>
      </c>
      <c r="AP53" s="11">
        <f t="shared" si="55"/>
        <v>360142</v>
      </c>
      <c r="AQ53" s="8">
        <f t="shared" si="56"/>
        <v>5967</v>
      </c>
      <c r="AR53" s="11">
        <f t="shared" si="57"/>
        <v>232203</v>
      </c>
      <c r="AS53" s="8">
        <f t="shared" si="58"/>
        <v>0</v>
      </c>
      <c r="AT53" s="11">
        <f t="shared" si="59"/>
        <v>0</v>
      </c>
      <c r="AU53" s="8">
        <f t="shared" si="72"/>
        <v>438263</v>
      </c>
      <c r="AV53" s="11">
        <f t="shared" si="60"/>
        <v>17348425</v>
      </c>
      <c r="AW53" t="str">
        <f t="shared" si="73"/>
        <v>SUPERVIA</v>
      </c>
      <c r="AX53" s="37">
        <f t="shared" si="74"/>
        <v>-46346</v>
      </c>
      <c r="AY53" s="37">
        <f t="shared" si="61"/>
        <v>-1894214</v>
      </c>
    </row>
    <row r="54" spans="2:51" x14ac:dyDescent="0.25">
      <c r="B54" s="2" t="s">
        <v>9</v>
      </c>
      <c r="C54" s="2">
        <v>2020</v>
      </c>
      <c r="D54" s="1">
        <v>57220</v>
      </c>
      <c r="E54" s="11">
        <v>2346840</v>
      </c>
      <c r="F54" s="1">
        <v>50471</v>
      </c>
      <c r="G54" s="11">
        <v>2073453</v>
      </c>
      <c r="H54" s="1">
        <v>5518</v>
      </c>
      <c r="I54" s="11">
        <v>235020</v>
      </c>
      <c r="J54" s="1">
        <v>393773</v>
      </c>
      <c r="K54" s="11">
        <v>15587049</v>
      </c>
      <c r="L54" s="8">
        <v>10177</v>
      </c>
      <c r="M54" s="11">
        <v>401347</v>
      </c>
      <c r="N54" s="8">
        <v>6202</v>
      </c>
      <c r="O54" s="11">
        <v>241228</v>
      </c>
      <c r="P54" s="8">
        <v>0</v>
      </c>
      <c r="Q54" s="11">
        <v>0</v>
      </c>
      <c r="R54" s="8">
        <f t="shared" si="62"/>
        <v>523361</v>
      </c>
      <c r="S54" s="11">
        <f t="shared" si="52"/>
        <v>20884937</v>
      </c>
      <c r="T54" t="s">
        <v>58</v>
      </c>
      <c r="W54" s="17">
        <f t="shared" si="63"/>
        <v>0.11987519131154213</v>
      </c>
      <c r="X54" s="17">
        <f t="shared" si="64"/>
        <v>0.88012480868845788</v>
      </c>
      <c r="Y54" s="17">
        <f t="shared" si="65"/>
        <v>0.75239270790142943</v>
      </c>
      <c r="Z54" s="17">
        <f t="shared" si="66"/>
        <v>1.9445468806426155E-2</v>
      </c>
      <c r="AA54" s="17">
        <f t="shared" si="67"/>
        <v>1.1850328931655205E-2</v>
      </c>
      <c r="AB54" s="17">
        <f t="shared" si="68"/>
        <v>0</v>
      </c>
      <c r="AI54" s="2" t="s">
        <v>9</v>
      </c>
      <c r="AJ54" s="2">
        <v>2020</v>
      </c>
      <c r="AK54" s="1">
        <f t="shared" si="69"/>
        <v>62738</v>
      </c>
      <c r="AL54" s="11">
        <f t="shared" si="70"/>
        <v>2581860</v>
      </c>
      <c r="AM54" s="1">
        <f t="shared" si="71"/>
        <v>393773</v>
      </c>
      <c r="AN54" s="11">
        <f t="shared" si="53"/>
        <v>15587049</v>
      </c>
      <c r="AO54" s="8">
        <f t="shared" si="54"/>
        <v>10177</v>
      </c>
      <c r="AP54" s="11">
        <f t="shared" si="55"/>
        <v>401347</v>
      </c>
      <c r="AQ54" s="8">
        <f t="shared" si="56"/>
        <v>6202</v>
      </c>
      <c r="AR54" s="11">
        <f t="shared" si="57"/>
        <v>241228</v>
      </c>
      <c r="AS54" s="8">
        <f t="shared" si="58"/>
        <v>0</v>
      </c>
      <c r="AT54" s="11">
        <f t="shared" si="59"/>
        <v>0</v>
      </c>
      <c r="AU54" s="8">
        <f t="shared" si="72"/>
        <v>472890</v>
      </c>
      <c r="AV54" s="11">
        <f t="shared" si="60"/>
        <v>18811484</v>
      </c>
      <c r="AW54" t="str">
        <f t="shared" si="73"/>
        <v>SUPERVIA</v>
      </c>
      <c r="AX54" s="37">
        <f t="shared" si="74"/>
        <v>-50471</v>
      </c>
      <c r="AY54" s="37">
        <f t="shared" si="61"/>
        <v>-2073453</v>
      </c>
    </row>
    <row r="55" spans="2:51" x14ac:dyDescent="0.25">
      <c r="B55" s="2" t="s">
        <v>10</v>
      </c>
      <c r="C55" s="2">
        <v>2020</v>
      </c>
      <c r="D55" s="1">
        <v>75361</v>
      </c>
      <c r="E55" s="11">
        <v>3060057</v>
      </c>
      <c r="F55" s="1">
        <v>64288</v>
      </c>
      <c r="G55" s="11">
        <v>2610312</v>
      </c>
      <c r="H55" s="1">
        <v>6323</v>
      </c>
      <c r="I55" s="11">
        <v>265089</v>
      </c>
      <c r="J55" s="1">
        <v>509430</v>
      </c>
      <c r="K55" s="11">
        <v>20063052</v>
      </c>
      <c r="L55" s="8">
        <v>13957</v>
      </c>
      <c r="M55" s="11">
        <v>544187</v>
      </c>
      <c r="N55" s="8">
        <v>8006</v>
      </c>
      <c r="O55" s="11">
        <v>309940</v>
      </c>
      <c r="P55" s="8">
        <v>0</v>
      </c>
      <c r="Q55" s="11">
        <v>0</v>
      </c>
      <c r="R55" s="8">
        <f t="shared" si="62"/>
        <v>677365</v>
      </c>
      <c r="S55" s="11">
        <f t="shared" si="52"/>
        <v>26852637</v>
      </c>
      <c r="T55" t="s">
        <v>58</v>
      </c>
      <c r="W55" s="17">
        <f t="shared" si="63"/>
        <v>0.12059081883474936</v>
      </c>
      <c r="X55" s="17">
        <f t="shared" si="64"/>
        <v>0.87940918116525069</v>
      </c>
      <c r="Y55" s="17">
        <f t="shared" si="65"/>
        <v>0.7520760594361976</v>
      </c>
      <c r="Z55" s="17">
        <f t="shared" si="66"/>
        <v>2.0604843769607226E-2</v>
      </c>
      <c r="AA55" s="17">
        <f t="shared" si="67"/>
        <v>1.1819329312852008E-2</v>
      </c>
      <c r="AB55" s="17">
        <f t="shared" si="68"/>
        <v>0</v>
      </c>
      <c r="AI55" s="2" t="s">
        <v>10</v>
      </c>
      <c r="AJ55" s="2">
        <v>2020</v>
      </c>
      <c r="AK55" s="1">
        <f t="shared" si="69"/>
        <v>81684</v>
      </c>
      <c r="AL55" s="11">
        <f t="shared" si="70"/>
        <v>3325146</v>
      </c>
      <c r="AM55" s="1">
        <f t="shared" si="71"/>
        <v>509430</v>
      </c>
      <c r="AN55" s="11">
        <f t="shared" si="53"/>
        <v>20063052</v>
      </c>
      <c r="AO55" s="8">
        <f t="shared" si="54"/>
        <v>13957</v>
      </c>
      <c r="AP55" s="11">
        <f t="shared" si="55"/>
        <v>544187</v>
      </c>
      <c r="AQ55" s="8">
        <f t="shared" si="56"/>
        <v>8006</v>
      </c>
      <c r="AR55" s="11">
        <f t="shared" si="57"/>
        <v>309940</v>
      </c>
      <c r="AS55" s="8">
        <f t="shared" si="58"/>
        <v>0</v>
      </c>
      <c r="AT55" s="11">
        <f t="shared" si="59"/>
        <v>0</v>
      </c>
      <c r="AU55" s="8">
        <f t="shared" si="72"/>
        <v>613077</v>
      </c>
      <c r="AV55" s="11">
        <f t="shared" si="60"/>
        <v>24242325</v>
      </c>
      <c r="AW55" t="str">
        <f t="shared" si="73"/>
        <v>SUPERVIA</v>
      </c>
      <c r="AX55" s="37">
        <f t="shared" si="74"/>
        <v>-64288</v>
      </c>
      <c r="AY55" s="37">
        <f t="shared" si="61"/>
        <v>-2610312</v>
      </c>
    </row>
    <row r="56" spans="2:51" x14ac:dyDescent="0.25">
      <c r="B56" s="2" t="s">
        <v>11</v>
      </c>
      <c r="C56" s="2">
        <v>2020</v>
      </c>
      <c r="D56" s="1">
        <v>102827</v>
      </c>
      <c r="E56" s="11">
        <v>4156667</v>
      </c>
      <c r="F56" s="1">
        <v>86382</v>
      </c>
      <c r="G56" s="11">
        <v>3477148</v>
      </c>
      <c r="H56" s="1">
        <v>8694</v>
      </c>
      <c r="I56" s="11">
        <v>362960</v>
      </c>
      <c r="J56" s="1">
        <v>681664</v>
      </c>
      <c r="K56" s="11">
        <v>26693944</v>
      </c>
      <c r="L56" s="8">
        <v>18628</v>
      </c>
      <c r="M56" s="11">
        <v>720572</v>
      </c>
      <c r="N56" s="8">
        <v>10697</v>
      </c>
      <c r="O56" s="11">
        <v>412523</v>
      </c>
      <c r="P56" s="8">
        <v>0</v>
      </c>
      <c r="Q56" s="11">
        <v>0</v>
      </c>
      <c r="R56" s="8">
        <f t="shared" si="62"/>
        <v>908892</v>
      </c>
      <c r="S56" s="11">
        <f t="shared" si="52"/>
        <v>35823814</v>
      </c>
      <c r="T56" t="s">
        <v>58</v>
      </c>
      <c r="W56" s="17">
        <f t="shared" si="63"/>
        <v>0.12269994674834854</v>
      </c>
      <c r="X56" s="17">
        <f t="shared" si="64"/>
        <v>0.8773000532516515</v>
      </c>
      <c r="Y56" s="17">
        <f t="shared" si="65"/>
        <v>0.74999449879633662</v>
      </c>
      <c r="Z56" s="17">
        <f t="shared" si="66"/>
        <v>2.0495284368219766E-2</v>
      </c>
      <c r="AA56" s="17">
        <f t="shared" si="67"/>
        <v>1.1769275117395686E-2</v>
      </c>
      <c r="AB56" s="17">
        <f t="shared" si="68"/>
        <v>0</v>
      </c>
      <c r="AI56" s="2" t="s">
        <v>11</v>
      </c>
      <c r="AJ56" s="2">
        <v>2020</v>
      </c>
      <c r="AK56" s="1">
        <f t="shared" si="69"/>
        <v>111521</v>
      </c>
      <c r="AL56" s="11">
        <f t="shared" si="70"/>
        <v>4519627</v>
      </c>
      <c r="AM56" s="1">
        <f t="shared" si="71"/>
        <v>681664</v>
      </c>
      <c r="AN56" s="11">
        <f t="shared" si="53"/>
        <v>26693944</v>
      </c>
      <c r="AO56" s="8">
        <f t="shared" si="54"/>
        <v>18628</v>
      </c>
      <c r="AP56" s="11">
        <f t="shared" si="55"/>
        <v>720572</v>
      </c>
      <c r="AQ56" s="8">
        <f t="shared" si="56"/>
        <v>10697</v>
      </c>
      <c r="AR56" s="11">
        <f t="shared" si="57"/>
        <v>412523</v>
      </c>
      <c r="AS56" s="8">
        <f t="shared" si="58"/>
        <v>0</v>
      </c>
      <c r="AT56" s="11">
        <f t="shared" si="59"/>
        <v>0</v>
      </c>
      <c r="AU56" s="8">
        <f t="shared" si="72"/>
        <v>822510</v>
      </c>
      <c r="AV56" s="11">
        <f t="shared" si="60"/>
        <v>32346666</v>
      </c>
      <c r="AW56" t="str">
        <f t="shared" si="73"/>
        <v>SUPERVIA</v>
      </c>
      <c r="AX56" s="37">
        <f t="shared" si="74"/>
        <v>-86382</v>
      </c>
      <c r="AY56" s="37">
        <f t="shared" si="61"/>
        <v>-3477148</v>
      </c>
    </row>
    <row r="57" spans="2:51" x14ac:dyDescent="0.25">
      <c r="B57" s="2" t="s">
        <v>4</v>
      </c>
      <c r="C57" s="2">
        <v>2020</v>
      </c>
      <c r="D57" s="1">
        <v>118801</v>
      </c>
      <c r="E57" s="11">
        <v>4827905</v>
      </c>
      <c r="F57" s="1">
        <v>98166</v>
      </c>
      <c r="G57" s="11">
        <v>3980900</v>
      </c>
      <c r="H57" s="1">
        <v>10811</v>
      </c>
      <c r="I57" s="11">
        <v>453333</v>
      </c>
      <c r="J57" s="1">
        <v>780012</v>
      </c>
      <c r="K57" s="11">
        <v>30785500</v>
      </c>
      <c r="L57" s="8">
        <v>20813</v>
      </c>
      <c r="M57" s="11">
        <v>809819</v>
      </c>
      <c r="N57" s="8">
        <v>11950</v>
      </c>
      <c r="O57" s="11">
        <v>464396</v>
      </c>
      <c r="P57" s="8">
        <v>0</v>
      </c>
      <c r="Q57" s="11">
        <v>0</v>
      </c>
      <c r="R57" s="8">
        <f t="shared" si="62"/>
        <v>1040553</v>
      </c>
      <c r="S57" s="11">
        <f t="shared" si="52"/>
        <v>41321853</v>
      </c>
      <c r="T57" t="s">
        <v>58</v>
      </c>
      <c r="W57" s="17">
        <f t="shared" si="63"/>
        <v>0.12456069032524052</v>
      </c>
      <c r="X57" s="17">
        <f t="shared" si="64"/>
        <v>0.87543930967475947</v>
      </c>
      <c r="Y57" s="17">
        <f t="shared" si="65"/>
        <v>0.74961294619303387</v>
      </c>
      <c r="Z57" s="17">
        <f t="shared" si="66"/>
        <v>2.0001864393260124E-2</v>
      </c>
      <c r="AA57" s="17">
        <f t="shared" si="67"/>
        <v>1.1484278071371664E-2</v>
      </c>
      <c r="AB57" s="17">
        <f t="shared" si="68"/>
        <v>0</v>
      </c>
      <c r="AI57" s="2" t="s">
        <v>4</v>
      </c>
      <c r="AJ57" s="2">
        <v>2020</v>
      </c>
      <c r="AK57" s="1">
        <f t="shared" si="69"/>
        <v>129612</v>
      </c>
      <c r="AL57" s="11">
        <f t="shared" si="70"/>
        <v>5281238</v>
      </c>
      <c r="AM57" s="1">
        <f t="shared" si="71"/>
        <v>780012</v>
      </c>
      <c r="AN57" s="11">
        <f t="shared" si="53"/>
        <v>30785500</v>
      </c>
      <c r="AO57" s="8">
        <f t="shared" si="54"/>
        <v>20813</v>
      </c>
      <c r="AP57" s="11">
        <f t="shared" si="55"/>
        <v>809819</v>
      </c>
      <c r="AQ57" s="8">
        <f t="shared" si="56"/>
        <v>11950</v>
      </c>
      <c r="AR57" s="11">
        <f t="shared" si="57"/>
        <v>464396</v>
      </c>
      <c r="AS57" s="8">
        <f t="shared" si="58"/>
        <v>0</v>
      </c>
      <c r="AT57" s="11">
        <f t="shared" si="59"/>
        <v>0</v>
      </c>
      <c r="AU57" s="8">
        <f t="shared" si="72"/>
        <v>942387</v>
      </c>
      <c r="AV57" s="11">
        <f t="shared" si="60"/>
        <v>37340953</v>
      </c>
      <c r="AW57" t="str">
        <f t="shared" si="73"/>
        <v>SUPERVIA</v>
      </c>
      <c r="AX57" s="37">
        <f t="shared" si="74"/>
        <v>-98166</v>
      </c>
      <c r="AY57" s="37">
        <f t="shared" si="61"/>
        <v>-3980900</v>
      </c>
    </row>
    <row r="58" spans="2:51" x14ac:dyDescent="0.25">
      <c r="B58" s="2" t="s">
        <v>28</v>
      </c>
      <c r="C58" s="2">
        <v>2020</v>
      </c>
      <c r="D58" s="1">
        <v>131089</v>
      </c>
      <c r="E58" s="11">
        <v>5301669</v>
      </c>
      <c r="F58" s="1">
        <v>112739</v>
      </c>
      <c r="G58" s="11">
        <v>4567345</v>
      </c>
      <c r="H58" s="1">
        <v>13694</v>
      </c>
      <c r="I58" s="11">
        <v>568142</v>
      </c>
      <c r="J58" s="1">
        <v>872985</v>
      </c>
      <c r="K58" s="11">
        <v>34461319</v>
      </c>
      <c r="L58" s="8">
        <v>23143</v>
      </c>
      <c r="M58" s="11">
        <v>906567</v>
      </c>
      <c r="N58" s="8">
        <v>13390</v>
      </c>
      <c r="O58" s="11">
        <v>522260</v>
      </c>
      <c r="P58" s="8">
        <v>0</v>
      </c>
      <c r="Q58" s="11">
        <v>0</v>
      </c>
      <c r="R58" s="8">
        <f t="shared" si="62"/>
        <v>1167040</v>
      </c>
      <c r="S58" s="11">
        <f t="shared" si="52"/>
        <v>46327302</v>
      </c>
      <c r="T58" t="s">
        <v>58</v>
      </c>
      <c r="W58" s="17">
        <f t="shared" si="63"/>
        <v>0.1240600150808884</v>
      </c>
      <c r="X58" s="17">
        <f t="shared" si="64"/>
        <v>0.87593998491911162</v>
      </c>
      <c r="Y58" s="17">
        <f t="shared" si="65"/>
        <v>0.74803348642720047</v>
      </c>
      <c r="Z58" s="17">
        <f t="shared" si="66"/>
        <v>1.9830511379215793E-2</v>
      </c>
      <c r="AA58" s="17">
        <f t="shared" si="67"/>
        <v>1.1473471346312037E-2</v>
      </c>
      <c r="AB58" s="17">
        <f t="shared" si="68"/>
        <v>0</v>
      </c>
      <c r="AI58" s="2" t="s">
        <v>28</v>
      </c>
      <c r="AJ58" s="2">
        <v>2020</v>
      </c>
      <c r="AK58" s="1">
        <f t="shared" si="69"/>
        <v>144783</v>
      </c>
      <c r="AL58" s="11">
        <f t="shared" si="70"/>
        <v>5869811</v>
      </c>
      <c r="AM58" s="1">
        <f t="shared" si="71"/>
        <v>872985</v>
      </c>
      <c r="AN58" s="11">
        <f t="shared" si="53"/>
        <v>34461319</v>
      </c>
      <c r="AO58" s="8">
        <f t="shared" si="54"/>
        <v>23143</v>
      </c>
      <c r="AP58" s="11">
        <f t="shared" si="55"/>
        <v>906567</v>
      </c>
      <c r="AQ58" s="8">
        <f t="shared" si="56"/>
        <v>13390</v>
      </c>
      <c r="AR58" s="11">
        <f t="shared" si="57"/>
        <v>522260</v>
      </c>
      <c r="AS58" s="8">
        <f t="shared" si="58"/>
        <v>0</v>
      </c>
      <c r="AT58" s="11">
        <f t="shared" si="59"/>
        <v>0</v>
      </c>
      <c r="AU58" s="8">
        <f t="shared" si="72"/>
        <v>1054301</v>
      </c>
      <c r="AV58" s="11">
        <f t="shared" si="60"/>
        <v>41759957</v>
      </c>
      <c r="AW58" t="str">
        <f t="shared" si="73"/>
        <v>SUPERVIA</v>
      </c>
      <c r="AX58" s="37">
        <f t="shared" si="74"/>
        <v>-112739</v>
      </c>
      <c r="AY58" s="37">
        <f t="shared" si="61"/>
        <v>-4567345</v>
      </c>
    </row>
    <row r="59" spans="2:51" x14ac:dyDescent="0.25">
      <c r="B59" s="2" t="s">
        <v>29</v>
      </c>
      <c r="C59" s="2">
        <v>2020</v>
      </c>
      <c r="D59" s="1">
        <v>146448</v>
      </c>
      <c r="E59" s="11">
        <v>5921430</v>
      </c>
      <c r="F59" s="1">
        <v>126643</v>
      </c>
      <c r="G59" s="11">
        <v>5120205</v>
      </c>
      <c r="H59" s="1">
        <v>16744</v>
      </c>
      <c r="I59" s="11">
        <v>695986</v>
      </c>
      <c r="J59" s="1">
        <v>974808</v>
      </c>
      <c r="K59" s="11">
        <v>38453904</v>
      </c>
      <c r="L59" s="8">
        <v>25778</v>
      </c>
      <c r="M59" s="11">
        <v>1008372</v>
      </c>
      <c r="N59" s="8">
        <v>15136</v>
      </c>
      <c r="O59" s="11">
        <v>592936</v>
      </c>
      <c r="P59" s="8"/>
      <c r="Q59" s="11"/>
      <c r="R59" s="8">
        <f t="shared" si="62"/>
        <v>1305557</v>
      </c>
      <c r="S59" s="11">
        <f t="shared" si="52"/>
        <v>51792833</v>
      </c>
      <c r="T59" t="s">
        <v>58</v>
      </c>
      <c r="W59" s="17">
        <f t="shared" si="63"/>
        <v>0.12499798936392666</v>
      </c>
      <c r="X59" s="17">
        <f t="shared" si="64"/>
        <v>0.8750020106360733</v>
      </c>
      <c r="Y59" s="17">
        <f t="shared" si="65"/>
        <v>0.746660620715909</v>
      </c>
      <c r="Z59" s="17">
        <f t="shared" si="66"/>
        <v>1.9744829218486821E-2</v>
      </c>
      <c r="AA59" s="17">
        <f t="shared" si="67"/>
        <v>1.1593519088021434E-2</v>
      </c>
      <c r="AB59" s="17">
        <f t="shared" si="68"/>
        <v>0</v>
      </c>
      <c r="AI59" s="2" t="s">
        <v>29</v>
      </c>
      <c r="AJ59" s="2">
        <v>2020</v>
      </c>
      <c r="AK59" s="1">
        <f t="shared" si="69"/>
        <v>163192</v>
      </c>
      <c r="AL59" s="11">
        <f t="shared" si="70"/>
        <v>6617416</v>
      </c>
      <c r="AM59" s="1">
        <f t="shared" si="71"/>
        <v>974808</v>
      </c>
      <c r="AN59" s="11">
        <f t="shared" si="53"/>
        <v>38453904</v>
      </c>
      <c r="AO59" s="8">
        <f t="shared" si="54"/>
        <v>25778</v>
      </c>
      <c r="AP59" s="11">
        <f t="shared" si="55"/>
        <v>1008372</v>
      </c>
      <c r="AQ59" s="8">
        <f t="shared" si="56"/>
        <v>15136</v>
      </c>
      <c r="AR59" s="11">
        <f t="shared" si="57"/>
        <v>592936</v>
      </c>
      <c r="AS59" s="8">
        <f t="shared" si="58"/>
        <v>0</v>
      </c>
      <c r="AT59" s="11">
        <f t="shared" si="59"/>
        <v>0</v>
      </c>
      <c r="AU59" s="8">
        <f t="shared" si="72"/>
        <v>1178914</v>
      </c>
      <c r="AV59" s="11">
        <f t="shared" si="60"/>
        <v>46672628</v>
      </c>
      <c r="AW59" t="str">
        <f t="shared" si="73"/>
        <v>SUPERVIA</v>
      </c>
      <c r="AX59" s="37">
        <f t="shared" si="74"/>
        <v>-126643</v>
      </c>
      <c r="AY59" s="37">
        <f t="shared" si="61"/>
        <v>-5120205</v>
      </c>
    </row>
    <row r="60" spans="2:51" x14ac:dyDescent="0.25">
      <c r="B60" s="2" t="s">
        <v>30</v>
      </c>
      <c r="C60" s="2">
        <v>2020</v>
      </c>
      <c r="D60" s="1">
        <v>144549</v>
      </c>
      <c r="E60" s="11">
        <v>5830511</v>
      </c>
      <c r="F60" s="1">
        <v>119512</v>
      </c>
      <c r="G60" s="11">
        <v>4831874</v>
      </c>
      <c r="H60" s="1">
        <v>15010</v>
      </c>
      <c r="I60" s="11">
        <v>623280</v>
      </c>
      <c r="J60" s="1">
        <v>940754</v>
      </c>
      <c r="K60" s="11">
        <v>37067702</v>
      </c>
      <c r="L60" s="8">
        <v>23947</v>
      </c>
      <c r="M60" s="11">
        <v>936429</v>
      </c>
      <c r="N60" s="8">
        <v>15370</v>
      </c>
      <c r="O60" s="11">
        <v>599516</v>
      </c>
      <c r="P60" s="8">
        <v>0</v>
      </c>
      <c r="Q60" s="11">
        <v>0</v>
      </c>
      <c r="R60" s="8">
        <f t="shared" si="62"/>
        <v>1259142</v>
      </c>
      <c r="S60" s="11">
        <f t="shared" si="52"/>
        <v>49889312</v>
      </c>
      <c r="T60" t="s">
        <v>58</v>
      </c>
      <c r="W60" s="17">
        <f t="shared" si="63"/>
        <v>0.12672041755417579</v>
      </c>
      <c r="X60" s="17">
        <f t="shared" si="64"/>
        <v>0.87327958244582415</v>
      </c>
      <c r="Y60" s="17">
        <f t="shared" si="65"/>
        <v>0.7471389247598762</v>
      </c>
      <c r="Z60" s="17">
        <f t="shared" si="66"/>
        <v>1.9018506252670469E-2</v>
      </c>
      <c r="AA60" s="17">
        <f t="shared" si="67"/>
        <v>1.2206724896794802E-2</v>
      </c>
      <c r="AB60" s="17">
        <f t="shared" si="68"/>
        <v>0</v>
      </c>
      <c r="AI60" s="2" t="s">
        <v>30</v>
      </c>
      <c r="AJ60" s="2">
        <v>2020</v>
      </c>
      <c r="AK60" s="1">
        <f t="shared" si="69"/>
        <v>159559</v>
      </c>
      <c r="AL60" s="11">
        <f t="shared" si="70"/>
        <v>6453791</v>
      </c>
      <c r="AM60" s="1">
        <f t="shared" si="71"/>
        <v>940754</v>
      </c>
      <c r="AN60" s="11">
        <f t="shared" si="53"/>
        <v>37067702</v>
      </c>
      <c r="AO60" s="8">
        <f t="shared" si="54"/>
        <v>23947</v>
      </c>
      <c r="AP60" s="11">
        <f t="shared" si="55"/>
        <v>936429</v>
      </c>
      <c r="AQ60" s="8">
        <f t="shared" si="56"/>
        <v>15370</v>
      </c>
      <c r="AR60" s="11">
        <f t="shared" si="57"/>
        <v>599516</v>
      </c>
      <c r="AS60" s="8">
        <f t="shared" si="58"/>
        <v>0</v>
      </c>
      <c r="AT60" s="11">
        <f t="shared" si="59"/>
        <v>0</v>
      </c>
      <c r="AU60" s="8">
        <f t="shared" si="72"/>
        <v>1139630</v>
      </c>
      <c r="AV60" s="11">
        <f t="shared" si="60"/>
        <v>45057438</v>
      </c>
      <c r="AW60" t="str">
        <f t="shared" si="73"/>
        <v>SUPERVIA</v>
      </c>
      <c r="AX60" s="37">
        <f t="shared" si="74"/>
        <v>-119512</v>
      </c>
      <c r="AY60" s="37">
        <f t="shared" si="61"/>
        <v>-4831874</v>
      </c>
    </row>
    <row r="61" spans="2:51" x14ac:dyDescent="0.25">
      <c r="B61" s="2" t="s">
        <v>31</v>
      </c>
      <c r="C61" s="2">
        <v>2020</v>
      </c>
      <c r="D61" s="1">
        <v>138659</v>
      </c>
      <c r="E61" s="11">
        <v>5582645</v>
      </c>
      <c r="F61" s="1">
        <v>113737</v>
      </c>
      <c r="G61" s="11">
        <v>4592283</v>
      </c>
      <c r="H61" s="1">
        <v>13154</v>
      </c>
      <c r="I61" s="11">
        <v>543846</v>
      </c>
      <c r="J61" s="1">
        <v>894333</v>
      </c>
      <c r="K61" s="11">
        <v>35144573</v>
      </c>
      <c r="L61" s="8">
        <v>22347</v>
      </c>
      <c r="M61" s="11">
        <v>868939</v>
      </c>
      <c r="N61" s="8">
        <v>14515</v>
      </c>
      <c r="O61" s="11">
        <v>566601</v>
      </c>
      <c r="P61" s="8">
        <v>0</v>
      </c>
      <c r="Q61" s="11">
        <v>0</v>
      </c>
      <c r="R61" s="8">
        <f t="shared" si="62"/>
        <v>1196745</v>
      </c>
      <c r="S61" s="11">
        <f t="shared" si="52"/>
        <v>47298887</v>
      </c>
      <c r="T61" t="s">
        <v>58</v>
      </c>
      <c r="W61" s="17">
        <f t="shared" si="63"/>
        <v>0.12685492732369888</v>
      </c>
      <c r="X61" s="17">
        <f t="shared" si="64"/>
        <v>0.87314507267630115</v>
      </c>
      <c r="Y61" s="17">
        <f t="shared" si="65"/>
        <v>0.74730456362884323</v>
      </c>
      <c r="Z61" s="17">
        <f t="shared" si="66"/>
        <v>1.8673150921875589E-2</v>
      </c>
      <c r="AA61" s="17">
        <f t="shared" si="67"/>
        <v>1.2128732520294632E-2</v>
      </c>
      <c r="AB61" s="17">
        <f t="shared" si="68"/>
        <v>0</v>
      </c>
      <c r="AI61" s="2" t="s">
        <v>31</v>
      </c>
      <c r="AJ61" s="2">
        <v>2020</v>
      </c>
      <c r="AK61" s="1">
        <f t="shared" si="69"/>
        <v>151813</v>
      </c>
      <c r="AL61" s="11">
        <f t="shared" si="70"/>
        <v>6126491</v>
      </c>
      <c r="AM61" s="1">
        <f t="shared" si="71"/>
        <v>894333</v>
      </c>
      <c r="AN61" s="11">
        <f t="shared" si="53"/>
        <v>35144573</v>
      </c>
      <c r="AO61" s="8">
        <f t="shared" si="54"/>
        <v>22347</v>
      </c>
      <c r="AP61" s="11">
        <f t="shared" si="55"/>
        <v>868939</v>
      </c>
      <c r="AQ61" s="8">
        <f t="shared" si="56"/>
        <v>14515</v>
      </c>
      <c r="AR61" s="11">
        <f t="shared" si="57"/>
        <v>566601</v>
      </c>
      <c r="AS61" s="8">
        <f t="shared" si="58"/>
        <v>0</v>
      </c>
      <c r="AT61" s="11">
        <f t="shared" si="59"/>
        <v>0</v>
      </c>
      <c r="AU61" s="8">
        <f t="shared" si="72"/>
        <v>1083008</v>
      </c>
      <c r="AV61" s="11">
        <f t="shared" si="60"/>
        <v>42706604</v>
      </c>
      <c r="AW61" t="str">
        <f t="shared" si="73"/>
        <v>SUPERVIA</v>
      </c>
      <c r="AX61" s="37">
        <f t="shared" si="74"/>
        <v>-113737</v>
      </c>
      <c r="AY61" s="37">
        <f t="shared" si="61"/>
        <v>-4592283</v>
      </c>
    </row>
    <row r="62" spans="2:51" x14ac:dyDescent="0.25">
      <c r="W62" s="18"/>
      <c r="X62" s="19"/>
      <c r="Y62" s="18"/>
      <c r="Z62" s="18"/>
      <c r="AA62" s="18"/>
      <c r="AB62" s="18"/>
      <c r="AL62" s="9"/>
      <c r="AN62" s="9"/>
      <c r="AP62" s="9"/>
      <c r="AR62" s="9"/>
      <c r="AS62" s="9"/>
      <c r="AT62" s="9"/>
      <c r="AV62" s="9"/>
    </row>
    <row r="63" spans="2:51" x14ac:dyDescent="0.25">
      <c r="B63" s="3" t="s">
        <v>12</v>
      </c>
      <c r="C63" s="3"/>
      <c r="D63" s="4">
        <f t="shared" ref="D63:S63" si="75">SUM(D50:D62)</f>
        <v>1800260</v>
      </c>
      <c r="E63" s="12">
        <f t="shared" si="75"/>
        <v>71890548</v>
      </c>
      <c r="F63" s="4">
        <f t="shared" si="75"/>
        <v>1616341</v>
      </c>
      <c r="G63" s="12">
        <f t="shared" si="75"/>
        <v>64695246</v>
      </c>
      <c r="H63" s="4">
        <f t="shared" si="75"/>
        <v>205766</v>
      </c>
      <c r="I63" s="12">
        <f t="shared" si="75"/>
        <v>8416700</v>
      </c>
      <c r="J63" s="4">
        <f t="shared" si="75"/>
        <v>11198322</v>
      </c>
      <c r="K63" s="12">
        <f t="shared" si="75"/>
        <v>438624577</v>
      </c>
      <c r="L63" s="4">
        <f t="shared" si="75"/>
        <v>293640</v>
      </c>
      <c r="M63" s="12">
        <f>SUM(M50:M62)</f>
        <v>11392031</v>
      </c>
      <c r="N63" s="4">
        <f t="shared" si="75"/>
        <v>160665</v>
      </c>
      <c r="O63" s="12">
        <f t="shared" si="75"/>
        <v>6223175</v>
      </c>
      <c r="P63" s="4">
        <f t="shared" si="75"/>
        <v>42</v>
      </c>
      <c r="Q63" s="12">
        <f t="shared" si="75"/>
        <v>1795</v>
      </c>
      <c r="R63" s="4">
        <f t="shared" si="75"/>
        <v>15275036</v>
      </c>
      <c r="S63" s="12">
        <f t="shared" si="75"/>
        <v>601244072</v>
      </c>
      <c r="W63" s="16">
        <f>+(D63+H63)/R63</f>
        <v>0.13132708819802455</v>
      </c>
      <c r="X63" s="16">
        <f>1-W63</f>
        <v>0.86867291180197548</v>
      </c>
      <c r="Y63" s="16">
        <f>+J63/R63</f>
        <v>0.7331126420913181</v>
      </c>
      <c r="Z63" s="16">
        <f>+L63/R63</f>
        <v>1.922352261559318E-2</v>
      </c>
      <c r="AA63" s="16">
        <f>+N63/R63</f>
        <v>1.0518142150368745E-2</v>
      </c>
      <c r="AB63" s="16">
        <f>+P63/R63</f>
        <v>2.7495843544984117E-6</v>
      </c>
      <c r="AI63" s="3" t="s">
        <v>12</v>
      </c>
      <c r="AJ63" s="3"/>
      <c r="AK63" s="4">
        <f t="shared" ref="AK63:AV63" si="76">SUM(AK50:AK62)</f>
        <v>2006026</v>
      </c>
      <c r="AL63" s="12">
        <f t="shared" si="76"/>
        <v>80307248</v>
      </c>
      <c r="AM63" s="4">
        <f t="shared" si="76"/>
        <v>11198322</v>
      </c>
      <c r="AN63" s="12">
        <f t="shared" si="76"/>
        <v>438624577</v>
      </c>
      <c r="AO63" s="4">
        <f t="shared" si="76"/>
        <v>293640</v>
      </c>
      <c r="AP63" s="12">
        <f t="shared" si="76"/>
        <v>11392031</v>
      </c>
      <c r="AQ63" s="4">
        <f t="shared" si="76"/>
        <v>160665</v>
      </c>
      <c r="AR63" s="12">
        <f t="shared" si="76"/>
        <v>6223175</v>
      </c>
      <c r="AS63" s="4">
        <f t="shared" si="76"/>
        <v>42</v>
      </c>
      <c r="AT63" s="12">
        <f t="shared" si="76"/>
        <v>1795</v>
      </c>
      <c r="AU63" s="4">
        <f t="shared" si="76"/>
        <v>13658695</v>
      </c>
      <c r="AV63" s="12">
        <f t="shared" si="76"/>
        <v>536548826</v>
      </c>
    </row>
    <row r="64" spans="2:51" x14ac:dyDescent="0.25">
      <c r="L64" s="28">
        <f>AVERAGE(L50:L59)</f>
        <v>24734.6</v>
      </c>
      <c r="M64" s="28">
        <f>AVERAGE(M50:M59)</f>
        <v>958666.3</v>
      </c>
      <c r="R64" s="28">
        <f>AVERAGE(R50:R59)</f>
        <v>1281914.8999999999</v>
      </c>
      <c r="S64" s="28">
        <f>AVERAGE(S50:S59)</f>
        <v>50405587.299999997</v>
      </c>
    </row>
    <row r="65" spans="1:51" x14ac:dyDescent="0.25">
      <c r="B65" s="5" t="s">
        <v>14</v>
      </c>
      <c r="L65" s="28"/>
      <c r="M65" s="28"/>
      <c r="R65" s="44">
        <f>+L64/R64</f>
        <v>1.9295040567825526E-2</v>
      </c>
      <c r="S65" s="44">
        <f>+M64/S64</f>
        <v>1.9019048310939927E-2</v>
      </c>
    </row>
    <row r="66" spans="1:51" x14ac:dyDescent="0.25">
      <c r="B66" s="5" t="s">
        <v>22</v>
      </c>
      <c r="L66" s="26"/>
      <c r="M66" s="26"/>
    </row>
    <row r="67" spans="1:51" x14ac:dyDescent="0.25">
      <c r="B67" s="5"/>
    </row>
    <row r="68" spans="1:51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12</v>
      </c>
      <c r="S68" s="93"/>
      <c r="W68" s="94" t="s">
        <v>42</v>
      </c>
      <c r="X68" s="94"/>
      <c r="Y68" s="94"/>
      <c r="Z68" s="94"/>
      <c r="AA68" s="94"/>
      <c r="AB68" s="94"/>
      <c r="AK68" s="89" t="s">
        <v>69</v>
      </c>
      <c r="AL68" s="90"/>
      <c r="AM68" s="89" t="s">
        <v>17</v>
      </c>
      <c r="AN68" s="93"/>
      <c r="AO68" s="89" t="s">
        <v>18</v>
      </c>
      <c r="AP68" s="93"/>
      <c r="AQ68" s="89" t="s">
        <v>13</v>
      </c>
      <c r="AR68" s="93"/>
      <c r="AS68" s="89" t="s">
        <v>34</v>
      </c>
      <c r="AT68" s="93"/>
      <c r="AU68" s="89" t="s">
        <v>12</v>
      </c>
      <c r="AV68" s="93"/>
    </row>
    <row r="69" spans="1:5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W69" s="7" t="s">
        <v>38</v>
      </c>
      <c r="X69" s="10" t="s">
        <v>39</v>
      </c>
      <c r="Y69" s="10" t="s">
        <v>40</v>
      </c>
      <c r="Z69" s="10" t="s">
        <v>18</v>
      </c>
      <c r="AA69" s="10" t="s">
        <v>13</v>
      </c>
      <c r="AB69" s="10" t="s">
        <v>41</v>
      </c>
      <c r="AD69" s="33">
        <v>2019</v>
      </c>
      <c r="AE69" s="34">
        <v>0.58778932032308562</v>
      </c>
      <c r="AF69" s="33">
        <v>2019</v>
      </c>
      <c r="AG69" s="35">
        <v>6.7586012668466545E-3</v>
      </c>
      <c r="AI69" s="7" t="s">
        <v>0</v>
      </c>
      <c r="AJ69" s="7" t="s">
        <v>1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  <c r="AU69" s="7" t="s">
        <v>2</v>
      </c>
      <c r="AV69" s="10" t="s">
        <v>3</v>
      </c>
    </row>
    <row r="70" spans="1:51" x14ac:dyDescent="0.25">
      <c r="X70" s="9"/>
      <c r="AL70" s="9"/>
      <c r="AN70" s="9"/>
      <c r="AP70" s="9"/>
      <c r="AR70" s="9"/>
      <c r="AS70" s="9"/>
      <c r="AT70" s="9"/>
      <c r="AV70" s="9"/>
    </row>
    <row r="71" spans="1:51" x14ac:dyDescent="0.25">
      <c r="B71" s="2" t="s">
        <v>5</v>
      </c>
      <c r="C71" s="2">
        <v>2020</v>
      </c>
      <c r="D71" s="1">
        <v>476915</v>
      </c>
      <c r="E71" s="11">
        <v>22636258</v>
      </c>
      <c r="F71" s="1">
        <v>186869</v>
      </c>
      <c r="G71" s="11">
        <v>9447848</v>
      </c>
      <c r="H71" s="1">
        <v>57171</v>
      </c>
      <c r="I71" s="11">
        <v>3054893</v>
      </c>
      <c r="J71" s="1">
        <v>2052027</v>
      </c>
      <c r="K71" s="11">
        <v>174001177</v>
      </c>
      <c r="L71" s="8">
        <v>257112</v>
      </c>
      <c r="M71" s="11">
        <v>28894036</v>
      </c>
      <c r="N71" s="8">
        <v>46420</v>
      </c>
      <c r="O71" s="11">
        <v>4431973</v>
      </c>
      <c r="P71" s="8">
        <v>101</v>
      </c>
      <c r="Q71" s="11">
        <v>12754</v>
      </c>
      <c r="R71" s="8">
        <f>N71+L71+J71+H71+D71+P71+F71</f>
        <v>3076615</v>
      </c>
      <c r="S71" s="11">
        <f t="shared" ref="S71:S82" si="77">O71+M71+K71+I71+E71+Q71+G71</f>
        <v>242478939</v>
      </c>
      <c r="T71" t="s">
        <v>59</v>
      </c>
      <c r="W71" s="17">
        <f>+(D71+H71)/R71</f>
        <v>0.17359533123253965</v>
      </c>
      <c r="X71" s="17">
        <f>1-W71</f>
        <v>0.82640466876746033</v>
      </c>
      <c r="Y71" s="17">
        <f>+J71/R71</f>
        <v>0.66697555592753721</v>
      </c>
      <c r="Z71" s="17">
        <f>+L71/R71</f>
        <v>8.3569767422963223E-2</v>
      </c>
      <c r="AA71" s="17">
        <f>+N71/R71</f>
        <v>1.5088010687070042E-2</v>
      </c>
      <c r="AB71" s="17">
        <f>+P71/R71</f>
        <v>3.2828286932229087E-5</v>
      </c>
      <c r="AD71" s="30">
        <v>1212287.7</v>
      </c>
      <c r="AE71" s="30">
        <f t="shared" ref="AE71:AE82" si="78">+AD71/J71</f>
        <v>0.59077570616760888</v>
      </c>
      <c r="AF71" s="31">
        <v>1188995.9675</v>
      </c>
      <c r="AG71" s="32">
        <f t="shared" ref="AG71:AG82" si="79">+AF71/K71</f>
        <v>6.8332639353353344E-3</v>
      </c>
      <c r="AI71" s="2" t="s">
        <v>5</v>
      </c>
      <c r="AJ71" s="2">
        <v>2020</v>
      </c>
      <c r="AK71" s="1">
        <f>D71+H71</f>
        <v>534086</v>
      </c>
      <c r="AL71" s="11">
        <f>E71+I71</f>
        <v>25691151</v>
      </c>
      <c r="AM71" s="1">
        <f>+J71</f>
        <v>2052027</v>
      </c>
      <c r="AN71" s="11">
        <f t="shared" ref="AN71:AN82" si="80">+K71</f>
        <v>174001177</v>
      </c>
      <c r="AO71" s="8">
        <f t="shared" ref="AO71:AO82" si="81">+L71</f>
        <v>257112</v>
      </c>
      <c r="AP71" s="11">
        <f t="shared" ref="AP71:AP82" si="82">+M71</f>
        <v>28894036</v>
      </c>
      <c r="AQ71" s="8">
        <f t="shared" ref="AQ71:AQ82" si="83">+N71</f>
        <v>46420</v>
      </c>
      <c r="AR71" s="11">
        <f t="shared" ref="AR71:AR82" si="84">+O71</f>
        <v>4431973</v>
      </c>
      <c r="AS71" s="8">
        <f t="shared" ref="AS71:AS82" si="85">+P71</f>
        <v>101</v>
      </c>
      <c r="AT71" s="11">
        <f t="shared" ref="AT71:AT82" si="86">+Q71</f>
        <v>12754</v>
      </c>
      <c r="AU71" s="8">
        <f>AS71+AQ71+AO71+AM71+AK71</f>
        <v>2889746</v>
      </c>
      <c r="AV71" s="11">
        <f t="shared" ref="AV71:AV82" si="87">AT71+AR71+AP71+AN71+AL71</f>
        <v>233031091</v>
      </c>
      <c r="AW71" t="str">
        <f>+T71</f>
        <v>CONMEX</v>
      </c>
      <c r="AX71" s="37">
        <f>+AU71-R71</f>
        <v>-186869</v>
      </c>
      <c r="AY71" s="37">
        <f t="shared" ref="AY71:AY82" si="88">+AV71-S71</f>
        <v>-9447848</v>
      </c>
    </row>
    <row r="72" spans="1:51" x14ac:dyDescent="0.25">
      <c r="B72" s="2" t="s">
        <v>6</v>
      </c>
      <c r="C72" s="2">
        <v>2020</v>
      </c>
      <c r="D72" s="1">
        <v>446278</v>
      </c>
      <c r="E72" s="11">
        <v>21931042</v>
      </c>
      <c r="F72" s="1">
        <v>196010</v>
      </c>
      <c r="G72" s="11">
        <v>10032612</v>
      </c>
      <c r="H72" s="1">
        <v>52805</v>
      </c>
      <c r="I72" s="11">
        <v>3001767</v>
      </c>
      <c r="J72" s="1">
        <v>1979730</v>
      </c>
      <c r="K72" s="11">
        <v>176586092</v>
      </c>
      <c r="L72" s="8">
        <v>245692</v>
      </c>
      <c r="M72" s="11">
        <v>29201860</v>
      </c>
      <c r="N72" s="8">
        <v>45986</v>
      </c>
      <c r="O72" s="11">
        <v>4659965</v>
      </c>
      <c r="P72" s="8">
        <v>59</v>
      </c>
      <c r="Q72" s="11">
        <v>8593</v>
      </c>
      <c r="R72" s="8">
        <f t="shared" ref="R72:R82" si="89">N72+L72+J72+H72+D72+P72+F72</f>
        <v>2966560</v>
      </c>
      <c r="S72" s="11">
        <f t="shared" si="77"/>
        <v>245421931</v>
      </c>
      <c r="T72" t="s">
        <v>59</v>
      </c>
      <c r="W72" s="17">
        <f t="shared" ref="W72:W82" si="90">+(D72+H72)/R72</f>
        <v>0.16823627366377217</v>
      </c>
      <c r="X72" s="17">
        <f t="shared" ref="X72:X82" si="91">1-W72</f>
        <v>0.83176372633622786</v>
      </c>
      <c r="Y72" s="17">
        <f t="shared" ref="Y72:Y82" si="92">+J72/R72</f>
        <v>0.66734871366161475</v>
      </c>
      <c r="Z72" s="17">
        <f t="shared" ref="Z72:Z82" si="93">+L72/R72</f>
        <v>8.2820505905830316E-2</v>
      </c>
      <c r="AA72" s="17">
        <f t="shared" ref="AA72:AA82" si="94">+N72/R72</f>
        <v>1.5501456232134189E-2</v>
      </c>
      <c r="AB72" s="17">
        <f t="shared" ref="AB72:AB82" si="95">+P72/R72</f>
        <v>1.9888355536378838E-5</v>
      </c>
      <c r="AD72" s="30">
        <v>1164986.28</v>
      </c>
      <c r="AE72" s="30">
        <f t="shared" si="78"/>
        <v>0.58845715324817027</v>
      </c>
      <c r="AF72" s="31">
        <v>1226403.1675</v>
      </c>
      <c r="AG72" s="32">
        <f t="shared" si="79"/>
        <v>6.9450722512167037E-3</v>
      </c>
      <c r="AI72" s="2" t="s">
        <v>6</v>
      </c>
      <c r="AJ72" s="2">
        <v>2020</v>
      </c>
      <c r="AK72" s="1">
        <f t="shared" ref="AK72:AK82" si="96">D72+H72</f>
        <v>499083</v>
      </c>
      <c r="AL72" s="11">
        <f t="shared" ref="AL72:AL82" si="97">E72+I72</f>
        <v>24932809</v>
      </c>
      <c r="AM72" s="1">
        <f t="shared" ref="AM72:AM82" si="98">+J72</f>
        <v>1979730</v>
      </c>
      <c r="AN72" s="11">
        <f t="shared" si="80"/>
        <v>176586092</v>
      </c>
      <c r="AO72" s="8">
        <f t="shared" si="81"/>
        <v>245692</v>
      </c>
      <c r="AP72" s="11">
        <f t="shared" si="82"/>
        <v>29201860</v>
      </c>
      <c r="AQ72" s="8">
        <f t="shared" si="83"/>
        <v>45986</v>
      </c>
      <c r="AR72" s="11">
        <f t="shared" si="84"/>
        <v>4659965</v>
      </c>
      <c r="AS72" s="8">
        <f t="shared" si="85"/>
        <v>59</v>
      </c>
      <c r="AT72" s="11">
        <f t="shared" si="86"/>
        <v>8593</v>
      </c>
      <c r="AU72" s="8">
        <f t="shared" ref="AU72:AU82" si="99">AS72+AQ72+AO72+AM72+AK72</f>
        <v>2770550</v>
      </c>
      <c r="AV72" s="11">
        <f t="shared" si="87"/>
        <v>235389319</v>
      </c>
      <c r="AW72" t="str">
        <f t="shared" ref="AW72:AW82" si="100">+T72</f>
        <v>CONMEX</v>
      </c>
      <c r="AX72" s="37">
        <f t="shared" ref="AX72:AX82" si="101">+AU72-R72</f>
        <v>-196010</v>
      </c>
      <c r="AY72" s="37">
        <f t="shared" si="88"/>
        <v>-10032612</v>
      </c>
    </row>
    <row r="73" spans="1:51" x14ac:dyDescent="0.25">
      <c r="B73" s="2" t="s">
        <v>7</v>
      </c>
      <c r="C73" s="2">
        <v>2020</v>
      </c>
      <c r="D73" s="1">
        <v>384676</v>
      </c>
      <c r="E73" s="11">
        <v>19380393</v>
      </c>
      <c r="F73" s="1">
        <v>186008</v>
      </c>
      <c r="G73" s="11">
        <v>9885630</v>
      </c>
      <c r="H73" s="1">
        <v>44787</v>
      </c>
      <c r="I73" s="11">
        <v>2626273</v>
      </c>
      <c r="J73" s="1">
        <v>1946854</v>
      </c>
      <c r="K73" s="11">
        <v>181153690</v>
      </c>
      <c r="L73" s="8">
        <v>243751</v>
      </c>
      <c r="M73" s="11">
        <v>29310474</v>
      </c>
      <c r="N73" s="8">
        <v>44692</v>
      </c>
      <c r="O73" s="11">
        <v>4654396</v>
      </c>
      <c r="P73" s="8">
        <v>0</v>
      </c>
      <c r="Q73" s="11">
        <v>0</v>
      </c>
      <c r="R73" s="8">
        <f t="shared" si="89"/>
        <v>2850768</v>
      </c>
      <c r="S73" s="11">
        <f t="shared" si="77"/>
        <v>247010856</v>
      </c>
      <c r="T73" t="s">
        <v>59</v>
      </c>
      <c r="W73" s="17">
        <f t="shared" si="90"/>
        <v>0.15064817621076146</v>
      </c>
      <c r="X73" s="17">
        <f t="shared" si="91"/>
        <v>0.84935182378923857</v>
      </c>
      <c r="Y73" s="17">
        <f t="shared" si="92"/>
        <v>0.68292263698764688</v>
      </c>
      <c r="Z73" s="17">
        <f t="shared" si="93"/>
        <v>8.5503625689638721E-2</v>
      </c>
      <c r="AA73" s="17">
        <f t="shared" si="94"/>
        <v>1.5677178921609896E-2</v>
      </c>
      <c r="AB73" s="17">
        <f t="shared" si="95"/>
        <v>0</v>
      </c>
      <c r="AD73" s="30">
        <v>1159078.21</v>
      </c>
      <c r="AE73" s="30">
        <f t="shared" si="78"/>
        <v>0.59535959553207374</v>
      </c>
      <c r="AF73" s="31">
        <v>1257059.0900000001</v>
      </c>
      <c r="AG73" s="32">
        <f t="shared" si="79"/>
        <v>6.939185671569815E-3</v>
      </c>
      <c r="AI73" s="2" t="s">
        <v>7</v>
      </c>
      <c r="AJ73" s="2">
        <v>2020</v>
      </c>
      <c r="AK73" s="1">
        <f t="shared" si="96"/>
        <v>429463</v>
      </c>
      <c r="AL73" s="11">
        <f t="shared" si="97"/>
        <v>22006666</v>
      </c>
      <c r="AM73" s="1">
        <f t="shared" si="98"/>
        <v>1946854</v>
      </c>
      <c r="AN73" s="11">
        <f t="shared" si="80"/>
        <v>181153690</v>
      </c>
      <c r="AO73" s="8">
        <f t="shared" si="81"/>
        <v>243751</v>
      </c>
      <c r="AP73" s="11">
        <f t="shared" si="82"/>
        <v>29310474</v>
      </c>
      <c r="AQ73" s="8">
        <f t="shared" si="83"/>
        <v>44692</v>
      </c>
      <c r="AR73" s="11">
        <f t="shared" si="84"/>
        <v>4654396</v>
      </c>
      <c r="AS73" s="8">
        <f t="shared" si="85"/>
        <v>0</v>
      </c>
      <c r="AT73" s="11">
        <f t="shared" si="86"/>
        <v>0</v>
      </c>
      <c r="AU73" s="8">
        <f t="shared" si="99"/>
        <v>2664760</v>
      </c>
      <c r="AV73" s="11">
        <f t="shared" si="87"/>
        <v>237125226</v>
      </c>
      <c r="AW73" t="str">
        <f t="shared" si="100"/>
        <v>CONMEX</v>
      </c>
      <c r="AX73" s="37">
        <f t="shared" si="101"/>
        <v>-186008</v>
      </c>
      <c r="AY73" s="37">
        <f t="shared" si="88"/>
        <v>-9885630</v>
      </c>
    </row>
    <row r="74" spans="1:51" x14ac:dyDescent="0.25">
      <c r="B74" s="2" t="s">
        <v>8</v>
      </c>
      <c r="C74" s="2">
        <v>2020</v>
      </c>
      <c r="D74" s="1">
        <v>227623</v>
      </c>
      <c r="E74" s="11">
        <v>12140241</v>
      </c>
      <c r="F74" s="1">
        <v>101160</v>
      </c>
      <c r="G74" s="11">
        <v>5930674</v>
      </c>
      <c r="H74" s="1">
        <v>24049</v>
      </c>
      <c r="I74" s="11">
        <v>1637718</v>
      </c>
      <c r="J74" s="1">
        <v>1335950</v>
      </c>
      <c r="K74" s="11">
        <v>133756078</v>
      </c>
      <c r="L74" s="8">
        <v>163691</v>
      </c>
      <c r="M74" s="11">
        <v>19844146</v>
      </c>
      <c r="N74" s="8">
        <v>34279</v>
      </c>
      <c r="O74" s="11">
        <v>3767251</v>
      </c>
      <c r="P74" s="8">
        <v>0</v>
      </c>
      <c r="Q74" s="11">
        <v>0</v>
      </c>
      <c r="R74" s="8">
        <f t="shared" si="89"/>
        <v>1886752</v>
      </c>
      <c r="S74" s="11">
        <f t="shared" si="77"/>
        <v>177076108</v>
      </c>
      <c r="T74" t="s">
        <v>59</v>
      </c>
      <c r="W74" s="17">
        <f t="shared" si="90"/>
        <v>0.13338901986058582</v>
      </c>
      <c r="X74" s="17">
        <f t="shared" si="91"/>
        <v>0.86661098013941418</v>
      </c>
      <c r="Y74" s="17">
        <f t="shared" si="92"/>
        <v>0.70806868099252052</v>
      </c>
      <c r="Z74" s="17">
        <f t="shared" si="93"/>
        <v>8.6758090093451604E-2</v>
      </c>
      <c r="AA74" s="17">
        <f t="shared" si="94"/>
        <v>1.8168259527484271E-2</v>
      </c>
      <c r="AB74" s="17">
        <f t="shared" si="95"/>
        <v>0</v>
      </c>
      <c r="AD74" s="30">
        <v>805753.29</v>
      </c>
      <c r="AE74" s="30">
        <f t="shared" si="78"/>
        <v>0.60313132228002553</v>
      </c>
      <c r="AF74" s="31">
        <v>932800.45</v>
      </c>
      <c r="AG74" s="32">
        <f t="shared" si="79"/>
        <v>6.9738920574510263E-3</v>
      </c>
      <c r="AI74" s="2" t="s">
        <v>8</v>
      </c>
      <c r="AJ74" s="2">
        <v>2020</v>
      </c>
      <c r="AK74" s="1">
        <f t="shared" si="96"/>
        <v>251672</v>
      </c>
      <c r="AL74" s="11">
        <f t="shared" si="97"/>
        <v>13777959</v>
      </c>
      <c r="AM74" s="1">
        <f t="shared" si="98"/>
        <v>1335950</v>
      </c>
      <c r="AN74" s="11">
        <f t="shared" si="80"/>
        <v>133756078</v>
      </c>
      <c r="AO74" s="8">
        <f t="shared" si="81"/>
        <v>163691</v>
      </c>
      <c r="AP74" s="11">
        <f t="shared" si="82"/>
        <v>19844146</v>
      </c>
      <c r="AQ74" s="8">
        <f t="shared" si="83"/>
        <v>34279</v>
      </c>
      <c r="AR74" s="11">
        <f t="shared" si="84"/>
        <v>3767251</v>
      </c>
      <c r="AS74" s="8">
        <f t="shared" si="85"/>
        <v>0</v>
      </c>
      <c r="AT74" s="11">
        <f t="shared" si="86"/>
        <v>0</v>
      </c>
      <c r="AU74" s="8">
        <f t="shared" si="99"/>
        <v>1785592</v>
      </c>
      <c r="AV74" s="11">
        <f t="shared" si="87"/>
        <v>171145434</v>
      </c>
      <c r="AW74" t="str">
        <f t="shared" si="100"/>
        <v>CONMEX</v>
      </c>
      <c r="AX74" s="37">
        <f t="shared" si="101"/>
        <v>-101160</v>
      </c>
      <c r="AY74" s="37">
        <f t="shared" si="88"/>
        <v>-5930674</v>
      </c>
    </row>
    <row r="75" spans="1:51" x14ac:dyDescent="0.25">
      <c r="B75" s="2" t="s">
        <v>9</v>
      </c>
      <c r="C75" s="2">
        <v>2020</v>
      </c>
      <c r="D75" s="1">
        <v>227488</v>
      </c>
      <c r="E75" s="11">
        <v>12228193</v>
      </c>
      <c r="F75" s="1">
        <v>100806</v>
      </c>
      <c r="G75" s="11">
        <v>6000142</v>
      </c>
      <c r="H75" s="1">
        <v>22239</v>
      </c>
      <c r="I75" s="11">
        <v>1590690</v>
      </c>
      <c r="J75" s="1">
        <v>1280413</v>
      </c>
      <c r="K75" s="11">
        <v>127677337</v>
      </c>
      <c r="L75" s="8">
        <v>154251</v>
      </c>
      <c r="M75" s="11">
        <v>18447964</v>
      </c>
      <c r="N75" s="8">
        <v>33861</v>
      </c>
      <c r="O75" s="11">
        <v>3760140</v>
      </c>
      <c r="P75" s="8">
        <v>0</v>
      </c>
      <c r="Q75" s="11">
        <v>0</v>
      </c>
      <c r="R75" s="8">
        <f t="shared" si="89"/>
        <v>1819058</v>
      </c>
      <c r="S75" s="11">
        <f t="shared" si="77"/>
        <v>169704466</v>
      </c>
      <c r="T75" t="s">
        <v>59</v>
      </c>
      <c r="W75" s="17">
        <f t="shared" si="90"/>
        <v>0.13728369298834892</v>
      </c>
      <c r="X75" s="17">
        <f t="shared" si="91"/>
        <v>0.86271630701165103</v>
      </c>
      <c r="Y75" s="17">
        <f t="shared" si="92"/>
        <v>0.7038879463986305</v>
      </c>
      <c r="Z75" s="17">
        <f t="shared" si="93"/>
        <v>8.4797186235952893E-2</v>
      </c>
      <c r="AA75" s="17">
        <f t="shared" si="94"/>
        <v>1.8614579634074341E-2</v>
      </c>
      <c r="AB75" s="17">
        <f t="shared" si="95"/>
        <v>0</v>
      </c>
      <c r="AD75" s="30">
        <v>768914.38</v>
      </c>
      <c r="AE75" s="30">
        <f t="shared" si="78"/>
        <v>0.60052059765091426</v>
      </c>
      <c r="AF75" s="31">
        <v>894004.755</v>
      </c>
      <c r="AG75" s="32">
        <f t="shared" si="79"/>
        <v>7.0020629816237474E-3</v>
      </c>
      <c r="AI75" s="2" t="s">
        <v>9</v>
      </c>
      <c r="AJ75" s="2">
        <v>2020</v>
      </c>
      <c r="AK75" s="1">
        <f t="shared" si="96"/>
        <v>249727</v>
      </c>
      <c r="AL75" s="11">
        <f t="shared" si="97"/>
        <v>13818883</v>
      </c>
      <c r="AM75" s="1">
        <f t="shared" si="98"/>
        <v>1280413</v>
      </c>
      <c r="AN75" s="11">
        <f t="shared" si="80"/>
        <v>127677337</v>
      </c>
      <c r="AO75" s="8">
        <f t="shared" si="81"/>
        <v>154251</v>
      </c>
      <c r="AP75" s="11">
        <f t="shared" si="82"/>
        <v>18447964</v>
      </c>
      <c r="AQ75" s="8">
        <f t="shared" si="83"/>
        <v>33861</v>
      </c>
      <c r="AR75" s="11">
        <f t="shared" si="84"/>
        <v>3760140</v>
      </c>
      <c r="AS75" s="8">
        <f t="shared" si="85"/>
        <v>0</v>
      </c>
      <c r="AT75" s="11">
        <f t="shared" si="86"/>
        <v>0</v>
      </c>
      <c r="AU75" s="8">
        <f t="shared" si="99"/>
        <v>1718252</v>
      </c>
      <c r="AV75" s="11">
        <f t="shared" si="87"/>
        <v>163704324</v>
      </c>
      <c r="AW75" t="str">
        <f t="shared" si="100"/>
        <v>CONMEX</v>
      </c>
      <c r="AX75" s="37">
        <f t="shared" si="101"/>
        <v>-100806</v>
      </c>
      <c r="AY75" s="37">
        <f t="shared" si="88"/>
        <v>-6000142</v>
      </c>
    </row>
    <row r="76" spans="1:51" x14ac:dyDescent="0.25">
      <c r="B76" s="2" t="s">
        <v>10</v>
      </c>
      <c r="C76" s="2">
        <v>2020</v>
      </c>
      <c r="D76" s="1">
        <v>265190</v>
      </c>
      <c r="E76" s="11">
        <v>14104576</v>
      </c>
      <c r="F76" s="1">
        <v>121434</v>
      </c>
      <c r="G76" s="11">
        <v>7167162</v>
      </c>
      <c r="H76" s="1">
        <v>25265</v>
      </c>
      <c r="I76" s="11">
        <v>1771943</v>
      </c>
      <c r="J76" s="1">
        <v>1455016</v>
      </c>
      <c r="K76" s="11">
        <v>142553780</v>
      </c>
      <c r="L76" s="8">
        <v>169937</v>
      </c>
      <c r="M76" s="11">
        <v>19944823</v>
      </c>
      <c r="N76" s="8">
        <v>38108</v>
      </c>
      <c r="O76" s="11">
        <v>4151810</v>
      </c>
      <c r="P76" s="8">
        <v>0</v>
      </c>
      <c r="Q76" s="11">
        <v>0</v>
      </c>
      <c r="R76" s="8">
        <f t="shared" si="89"/>
        <v>2074950</v>
      </c>
      <c r="S76" s="11">
        <f t="shared" si="77"/>
        <v>189694094</v>
      </c>
      <c r="T76" t="s">
        <v>59</v>
      </c>
      <c r="W76" s="17">
        <f t="shared" si="90"/>
        <v>0.1399816863056941</v>
      </c>
      <c r="X76" s="17">
        <f t="shared" si="91"/>
        <v>0.86001831369430592</v>
      </c>
      <c r="Y76" s="17">
        <f t="shared" si="92"/>
        <v>0.70122942721511361</v>
      </c>
      <c r="Z76" s="17">
        <f t="shared" si="93"/>
        <v>8.1899322875250008E-2</v>
      </c>
      <c r="AA76" s="17">
        <f t="shared" si="94"/>
        <v>1.8365743752861513E-2</v>
      </c>
      <c r="AB76" s="17">
        <f t="shared" si="95"/>
        <v>0</v>
      </c>
      <c r="AD76" s="30">
        <v>872985.74</v>
      </c>
      <c r="AE76" s="30">
        <f t="shared" si="78"/>
        <v>0.59998360155489694</v>
      </c>
      <c r="AF76" s="31">
        <v>992353.77500000002</v>
      </c>
      <c r="AG76" s="32">
        <f t="shared" si="79"/>
        <v>6.9612589368026577E-3</v>
      </c>
      <c r="AI76" s="2" t="s">
        <v>10</v>
      </c>
      <c r="AJ76" s="2">
        <v>2020</v>
      </c>
      <c r="AK76" s="1">
        <f t="shared" si="96"/>
        <v>290455</v>
      </c>
      <c r="AL76" s="11">
        <f t="shared" si="97"/>
        <v>15876519</v>
      </c>
      <c r="AM76" s="1">
        <f t="shared" si="98"/>
        <v>1455016</v>
      </c>
      <c r="AN76" s="11">
        <f t="shared" si="80"/>
        <v>142553780</v>
      </c>
      <c r="AO76" s="8">
        <f t="shared" si="81"/>
        <v>169937</v>
      </c>
      <c r="AP76" s="11">
        <f t="shared" si="82"/>
        <v>19944823</v>
      </c>
      <c r="AQ76" s="8">
        <f t="shared" si="83"/>
        <v>38108</v>
      </c>
      <c r="AR76" s="11">
        <f t="shared" si="84"/>
        <v>4151810</v>
      </c>
      <c r="AS76" s="8">
        <f t="shared" si="85"/>
        <v>0</v>
      </c>
      <c r="AT76" s="11">
        <f t="shared" si="86"/>
        <v>0</v>
      </c>
      <c r="AU76" s="8">
        <f t="shared" si="99"/>
        <v>1953516</v>
      </c>
      <c r="AV76" s="11">
        <f t="shared" si="87"/>
        <v>182526932</v>
      </c>
      <c r="AW76" t="str">
        <f t="shared" si="100"/>
        <v>CONMEX</v>
      </c>
      <c r="AX76" s="37">
        <f t="shared" si="101"/>
        <v>-121434</v>
      </c>
      <c r="AY76" s="37">
        <f t="shared" si="88"/>
        <v>-7167162</v>
      </c>
    </row>
    <row r="77" spans="1:51" x14ac:dyDescent="0.25">
      <c r="B77" s="2" t="s">
        <v>11</v>
      </c>
      <c r="C77" s="2">
        <v>2020</v>
      </c>
      <c r="D77" s="1">
        <v>319307</v>
      </c>
      <c r="E77" s="11">
        <v>16986220</v>
      </c>
      <c r="F77" s="1">
        <v>146937</v>
      </c>
      <c r="G77" s="11">
        <v>8364428</v>
      </c>
      <c r="H77" s="1">
        <v>31005</v>
      </c>
      <c r="I77" s="11">
        <v>2085312</v>
      </c>
      <c r="J77" s="1">
        <v>1664923</v>
      </c>
      <c r="K77" s="11">
        <v>159603014</v>
      </c>
      <c r="L77" s="8">
        <v>193297</v>
      </c>
      <c r="M77" s="11">
        <v>22418592</v>
      </c>
      <c r="N77" s="8">
        <v>44045</v>
      </c>
      <c r="O77" s="11">
        <v>4638423</v>
      </c>
      <c r="P77" s="8">
        <v>0</v>
      </c>
      <c r="Q77" s="11">
        <v>0</v>
      </c>
      <c r="R77" s="8">
        <f t="shared" si="89"/>
        <v>2399514</v>
      </c>
      <c r="S77" s="11">
        <f t="shared" si="77"/>
        <v>214095989</v>
      </c>
      <c r="T77" t="s">
        <v>59</v>
      </c>
      <c r="W77" s="17">
        <f t="shared" si="90"/>
        <v>0.14599289689495457</v>
      </c>
      <c r="X77" s="17">
        <f t="shared" si="91"/>
        <v>0.85400710310504546</v>
      </c>
      <c r="Y77" s="17">
        <f t="shared" si="92"/>
        <v>0.69385842299732359</v>
      </c>
      <c r="Z77" s="17">
        <f t="shared" si="93"/>
        <v>8.0556729404371058E-2</v>
      </c>
      <c r="AA77" s="17">
        <f t="shared" si="94"/>
        <v>1.8355800382910872E-2</v>
      </c>
      <c r="AB77" s="17">
        <f t="shared" si="95"/>
        <v>0</v>
      </c>
      <c r="AD77" s="30">
        <v>994399.32</v>
      </c>
      <c r="AE77" s="30">
        <f t="shared" si="78"/>
        <v>0.59726445006766071</v>
      </c>
      <c r="AF77" s="31">
        <v>1106805.6675</v>
      </c>
      <c r="AG77" s="32">
        <f t="shared" si="79"/>
        <v>6.9347416427862699E-3</v>
      </c>
      <c r="AI77" s="2" t="s">
        <v>11</v>
      </c>
      <c r="AJ77" s="2">
        <v>2020</v>
      </c>
      <c r="AK77" s="1">
        <f t="shared" si="96"/>
        <v>350312</v>
      </c>
      <c r="AL77" s="11">
        <f t="shared" si="97"/>
        <v>19071532</v>
      </c>
      <c r="AM77" s="1">
        <f t="shared" si="98"/>
        <v>1664923</v>
      </c>
      <c r="AN77" s="11">
        <f t="shared" si="80"/>
        <v>159603014</v>
      </c>
      <c r="AO77" s="8">
        <f t="shared" si="81"/>
        <v>193297</v>
      </c>
      <c r="AP77" s="11">
        <f t="shared" si="82"/>
        <v>22418592</v>
      </c>
      <c r="AQ77" s="8">
        <f t="shared" si="83"/>
        <v>44045</v>
      </c>
      <c r="AR77" s="11">
        <f t="shared" si="84"/>
        <v>4638423</v>
      </c>
      <c r="AS77" s="8">
        <f t="shared" si="85"/>
        <v>0</v>
      </c>
      <c r="AT77" s="11">
        <f t="shared" si="86"/>
        <v>0</v>
      </c>
      <c r="AU77" s="8">
        <f t="shared" si="99"/>
        <v>2252577</v>
      </c>
      <c r="AV77" s="11">
        <f t="shared" si="87"/>
        <v>205731561</v>
      </c>
      <c r="AW77" t="str">
        <f t="shared" si="100"/>
        <v>CONMEX</v>
      </c>
      <c r="AX77" s="37">
        <f t="shared" si="101"/>
        <v>-146937</v>
      </c>
      <c r="AY77" s="37">
        <f t="shared" si="88"/>
        <v>-8364428</v>
      </c>
    </row>
    <row r="78" spans="1:51" x14ac:dyDescent="0.25">
      <c r="B78" s="2" t="s">
        <v>4</v>
      </c>
      <c r="C78" s="2">
        <v>2020</v>
      </c>
      <c r="D78" s="1">
        <v>339835</v>
      </c>
      <c r="E78" s="11">
        <v>18323703</v>
      </c>
      <c r="F78" s="1">
        <v>163619</v>
      </c>
      <c r="G78" s="11">
        <v>9216703</v>
      </c>
      <c r="H78" s="1">
        <v>35356</v>
      </c>
      <c r="I78" s="11">
        <v>2241416</v>
      </c>
      <c r="J78" s="1">
        <v>1737340</v>
      </c>
      <c r="K78" s="11">
        <v>163426162</v>
      </c>
      <c r="L78" s="8">
        <v>191454</v>
      </c>
      <c r="M78" s="11">
        <v>22142529</v>
      </c>
      <c r="N78" s="8">
        <v>47986</v>
      </c>
      <c r="O78" s="11">
        <v>4963078</v>
      </c>
      <c r="P78" s="8">
        <v>0</v>
      </c>
      <c r="Q78" s="11">
        <v>0</v>
      </c>
      <c r="R78" s="8">
        <f t="shared" si="89"/>
        <v>2515590</v>
      </c>
      <c r="S78" s="11">
        <f t="shared" si="77"/>
        <v>220313591</v>
      </c>
      <c r="T78" t="s">
        <v>59</v>
      </c>
      <c r="W78" s="17">
        <f t="shared" si="90"/>
        <v>0.14914632352648882</v>
      </c>
      <c r="X78" s="17">
        <f t="shared" si="91"/>
        <v>0.85085367647351118</v>
      </c>
      <c r="Y78" s="17">
        <f t="shared" si="92"/>
        <v>0.69062923608378157</v>
      </c>
      <c r="Z78" s="17">
        <f t="shared" si="93"/>
        <v>7.6106996768153787E-2</v>
      </c>
      <c r="AA78" s="17">
        <f t="shared" si="94"/>
        <v>1.9075445521726513E-2</v>
      </c>
      <c r="AB78" s="17">
        <f t="shared" si="95"/>
        <v>0</v>
      </c>
      <c r="AD78" s="30">
        <v>1037076.6000000001</v>
      </c>
      <c r="AE78" s="30">
        <f t="shared" si="78"/>
        <v>0.59693358812897879</v>
      </c>
      <c r="AF78" s="31">
        <v>1117860.2475000001</v>
      </c>
      <c r="AG78" s="32">
        <f t="shared" si="79"/>
        <v>6.8401548064256695E-3</v>
      </c>
      <c r="AI78" s="2" t="s">
        <v>4</v>
      </c>
      <c r="AJ78" s="2">
        <v>2020</v>
      </c>
      <c r="AK78" s="1">
        <f t="shared" si="96"/>
        <v>375191</v>
      </c>
      <c r="AL78" s="11">
        <f t="shared" si="97"/>
        <v>20565119</v>
      </c>
      <c r="AM78" s="1">
        <f t="shared" si="98"/>
        <v>1737340</v>
      </c>
      <c r="AN78" s="11">
        <f t="shared" si="80"/>
        <v>163426162</v>
      </c>
      <c r="AO78" s="8">
        <f t="shared" si="81"/>
        <v>191454</v>
      </c>
      <c r="AP78" s="11">
        <f t="shared" si="82"/>
        <v>22142529</v>
      </c>
      <c r="AQ78" s="8">
        <f t="shared" si="83"/>
        <v>47986</v>
      </c>
      <c r="AR78" s="11">
        <f t="shared" si="84"/>
        <v>4963078</v>
      </c>
      <c r="AS78" s="8">
        <f t="shared" si="85"/>
        <v>0</v>
      </c>
      <c r="AT78" s="11">
        <f t="shared" si="86"/>
        <v>0</v>
      </c>
      <c r="AU78" s="8">
        <f t="shared" si="99"/>
        <v>2351971</v>
      </c>
      <c r="AV78" s="11">
        <f t="shared" si="87"/>
        <v>211096888</v>
      </c>
      <c r="AW78" t="str">
        <f t="shared" si="100"/>
        <v>CONMEX</v>
      </c>
      <c r="AX78" s="37">
        <f t="shared" si="101"/>
        <v>-163619</v>
      </c>
      <c r="AY78" s="37">
        <f t="shared" si="88"/>
        <v>-9216703</v>
      </c>
    </row>
    <row r="79" spans="1:51" x14ac:dyDescent="0.25">
      <c r="B79" s="2" t="s">
        <v>28</v>
      </c>
      <c r="C79" s="2">
        <v>2020</v>
      </c>
      <c r="D79" s="1">
        <v>313673</v>
      </c>
      <c r="E79" s="11">
        <v>17410507</v>
      </c>
      <c r="F79" s="1">
        <v>162214</v>
      </c>
      <c r="G79" s="11">
        <v>9269167</v>
      </c>
      <c r="H79" s="1">
        <v>43228</v>
      </c>
      <c r="I79" s="11">
        <v>2572081</v>
      </c>
      <c r="J79" s="1">
        <v>1720195</v>
      </c>
      <c r="K79" s="11">
        <v>161808545</v>
      </c>
      <c r="L79" s="8">
        <v>195914</v>
      </c>
      <c r="M79" s="11">
        <v>22701451</v>
      </c>
      <c r="N79" s="8">
        <v>50822</v>
      </c>
      <c r="O79" s="11">
        <v>5228292</v>
      </c>
      <c r="P79" s="8">
        <v>0</v>
      </c>
      <c r="Q79" s="11">
        <v>0</v>
      </c>
      <c r="R79" s="8">
        <f t="shared" si="89"/>
        <v>2486046</v>
      </c>
      <c r="S79" s="11">
        <f t="shared" si="77"/>
        <v>218990043</v>
      </c>
      <c r="T79" t="s">
        <v>59</v>
      </c>
      <c r="W79" s="17">
        <f t="shared" si="90"/>
        <v>0.14356170400708596</v>
      </c>
      <c r="X79" s="17">
        <f t="shared" si="91"/>
        <v>0.85643829599291399</v>
      </c>
      <c r="Y79" s="17">
        <f t="shared" si="92"/>
        <v>0.69194013304661295</v>
      </c>
      <c r="Z79" s="17">
        <f t="shared" si="93"/>
        <v>7.8805460558654186E-2</v>
      </c>
      <c r="AA79" s="17">
        <f t="shared" si="94"/>
        <v>2.0442904113600474E-2</v>
      </c>
      <c r="AB79" s="17">
        <f t="shared" si="95"/>
        <v>0</v>
      </c>
      <c r="AD79" s="30">
        <v>1028409.52</v>
      </c>
      <c r="AE79" s="30">
        <f t="shared" si="78"/>
        <v>0.59784473271925564</v>
      </c>
      <c r="AF79" s="31">
        <v>1105591.7974999999</v>
      </c>
      <c r="AG79" s="32">
        <f t="shared" si="79"/>
        <v>6.8327157722109164E-3</v>
      </c>
      <c r="AI79" s="2" t="s">
        <v>28</v>
      </c>
      <c r="AJ79" s="2">
        <v>2020</v>
      </c>
      <c r="AK79" s="1">
        <f t="shared" si="96"/>
        <v>356901</v>
      </c>
      <c r="AL79" s="11">
        <f t="shared" si="97"/>
        <v>19982588</v>
      </c>
      <c r="AM79" s="1">
        <f t="shared" si="98"/>
        <v>1720195</v>
      </c>
      <c r="AN79" s="11">
        <f t="shared" si="80"/>
        <v>161808545</v>
      </c>
      <c r="AO79" s="8">
        <f t="shared" si="81"/>
        <v>195914</v>
      </c>
      <c r="AP79" s="11">
        <f t="shared" si="82"/>
        <v>22701451</v>
      </c>
      <c r="AQ79" s="8">
        <f t="shared" si="83"/>
        <v>50822</v>
      </c>
      <c r="AR79" s="11">
        <f t="shared" si="84"/>
        <v>5228292</v>
      </c>
      <c r="AS79" s="8">
        <f t="shared" si="85"/>
        <v>0</v>
      </c>
      <c r="AT79" s="11">
        <f t="shared" si="86"/>
        <v>0</v>
      </c>
      <c r="AU79" s="8">
        <f t="shared" si="99"/>
        <v>2323832</v>
      </c>
      <c r="AV79" s="11">
        <f t="shared" si="87"/>
        <v>209720876</v>
      </c>
      <c r="AW79" t="str">
        <f t="shared" si="100"/>
        <v>CONMEX</v>
      </c>
      <c r="AX79" s="37">
        <f t="shared" si="101"/>
        <v>-162214</v>
      </c>
      <c r="AY79" s="37">
        <f t="shared" si="88"/>
        <v>-9269167</v>
      </c>
    </row>
    <row r="80" spans="1:51" x14ac:dyDescent="0.25">
      <c r="B80" s="2" t="s">
        <v>29</v>
      </c>
      <c r="C80" s="2">
        <v>2020</v>
      </c>
      <c r="D80" s="1">
        <v>329639</v>
      </c>
      <c r="E80" s="11">
        <v>18406940</v>
      </c>
      <c r="F80" s="1">
        <v>167796</v>
      </c>
      <c r="G80" s="11">
        <v>9710938</v>
      </c>
      <c r="H80" s="1">
        <v>52243</v>
      </c>
      <c r="I80" s="11">
        <v>3119693</v>
      </c>
      <c r="J80" s="1">
        <v>1883734</v>
      </c>
      <c r="K80" s="11">
        <v>178443817</v>
      </c>
      <c r="L80" s="8">
        <v>214378</v>
      </c>
      <c r="M80" s="11">
        <v>25108879</v>
      </c>
      <c r="N80" s="8">
        <v>55496</v>
      </c>
      <c r="O80" s="11">
        <v>5792905</v>
      </c>
      <c r="P80" s="8">
        <v>0</v>
      </c>
      <c r="Q80" s="11">
        <v>0</v>
      </c>
      <c r="R80" s="8">
        <f t="shared" si="89"/>
        <v>2703286</v>
      </c>
      <c r="S80" s="11">
        <f t="shared" si="77"/>
        <v>240583172</v>
      </c>
      <c r="T80" t="s">
        <v>59</v>
      </c>
      <c r="W80" s="17">
        <f t="shared" si="90"/>
        <v>0.14126585200382052</v>
      </c>
      <c r="X80" s="17">
        <f t="shared" si="91"/>
        <v>0.85873414799617942</v>
      </c>
      <c r="Y80" s="17">
        <f t="shared" si="92"/>
        <v>0.6968311898925974</v>
      </c>
      <c r="Z80" s="17">
        <f t="shared" si="93"/>
        <v>7.9302744881599649E-2</v>
      </c>
      <c r="AA80" s="17">
        <f t="shared" si="94"/>
        <v>2.0529089411923118E-2</v>
      </c>
      <c r="AB80" s="17">
        <f t="shared" si="95"/>
        <v>0</v>
      </c>
      <c r="AD80" s="30">
        <v>1127819.4500000002</v>
      </c>
      <c r="AE80" s="30">
        <f t="shared" si="78"/>
        <v>0.59871481323796261</v>
      </c>
      <c r="AF80" s="31">
        <v>1217003.2675000001</v>
      </c>
      <c r="AG80" s="32">
        <f t="shared" si="79"/>
        <v>6.8200921049564869E-3</v>
      </c>
      <c r="AI80" s="2" t="s">
        <v>29</v>
      </c>
      <c r="AJ80" s="2">
        <v>2020</v>
      </c>
      <c r="AK80" s="1">
        <f t="shared" si="96"/>
        <v>381882</v>
      </c>
      <c r="AL80" s="11">
        <f t="shared" si="97"/>
        <v>21526633</v>
      </c>
      <c r="AM80" s="1">
        <f t="shared" si="98"/>
        <v>1883734</v>
      </c>
      <c r="AN80" s="11">
        <f t="shared" si="80"/>
        <v>178443817</v>
      </c>
      <c r="AO80" s="8">
        <f t="shared" si="81"/>
        <v>214378</v>
      </c>
      <c r="AP80" s="11">
        <f t="shared" si="82"/>
        <v>25108879</v>
      </c>
      <c r="AQ80" s="8">
        <f t="shared" si="83"/>
        <v>55496</v>
      </c>
      <c r="AR80" s="11">
        <f t="shared" si="84"/>
        <v>5792905</v>
      </c>
      <c r="AS80" s="8">
        <f t="shared" si="85"/>
        <v>0</v>
      </c>
      <c r="AT80" s="11">
        <f t="shared" si="86"/>
        <v>0</v>
      </c>
      <c r="AU80" s="8">
        <f t="shared" si="99"/>
        <v>2535490</v>
      </c>
      <c r="AV80" s="11">
        <f t="shared" si="87"/>
        <v>230872234</v>
      </c>
      <c r="AW80" t="str">
        <f t="shared" si="100"/>
        <v>CONMEX</v>
      </c>
      <c r="AX80" s="37">
        <f t="shared" si="101"/>
        <v>-167796</v>
      </c>
      <c r="AY80" s="37">
        <f t="shared" si="88"/>
        <v>-9710938</v>
      </c>
    </row>
    <row r="81" spans="1:51" x14ac:dyDescent="0.25">
      <c r="B81" s="2" t="s">
        <v>30</v>
      </c>
      <c r="C81" s="2">
        <v>2020</v>
      </c>
      <c r="D81" s="1">
        <v>330887</v>
      </c>
      <c r="E81" s="11">
        <v>17958648</v>
      </c>
      <c r="F81" s="1">
        <v>159844</v>
      </c>
      <c r="G81" s="11">
        <v>9227320</v>
      </c>
      <c r="H81" s="1">
        <v>46959</v>
      </c>
      <c r="I81" s="11">
        <v>2916448</v>
      </c>
      <c r="J81" s="1">
        <v>1887572</v>
      </c>
      <c r="K81" s="11">
        <v>178045175</v>
      </c>
      <c r="L81" s="8">
        <v>219752</v>
      </c>
      <c r="M81" s="11">
        <v>25617799</v>
      </c>
      <c r="N81" s="8">
        <v>55131</v>
      </c>
      <c r="O81" s="11">
        <v>5820489</v>
      </c>
      <c r="P81" s="8">
        <v>0</v>
      </c>
      <c r="Q81" s="11">
        <v>0</v>
      </c>
      <c r="R81" s="8">
        <f t="shared" si="89"/>
        <v>2700145</v>
      </c>
      <c r="S81" s="11">
        <f t="shared" si="77"/>
        <v>239585879</v>
      </c>
      <c r="T81" t="s">
        <v>59</v>
      </c>
      <c r="W81" s="17">
        <f t="shared" si="90"/>
        <v>0.13993544791113069</v>
      </c>
      <c r="X81" s="17">
        <f t="shared" si="91"/>
        <v>0.86006455208886934</v>
      </c>
      <c r="Y81" s="17">
        <f t="shared" si="92"/>
        <v>0.69906319845786058</v>
      </c>
      <c r="Z81" s="17">
        <f t="shared" si="93"/>
        <v>8.1385258939797672E-2</v>
      </c>
      <c r="AA81" s="17">
        <f t="shared" si="94"/>
        <v>2.0417792377816747E-2</v>
      </c>
      <c r="AB81" s="17">
        <f t="shared" si="95"/>
        <v>0</v>
      </c>
      <c r="AD81" s="30">
        <v>1127801.1800000002</v>
      </c>
      <c r="AE81" s="30">
        <f t="shared" si="78"/>
        <v>0.59748776735404008</v>
      </c>
      <c r="AF81" s="31">
        <v>1219514.8925000001</v>
      </c>
      <c r="AG81" s="32">
        <f t="shared" si="79"/>
        <v>6.8494689198963128E-3</v>
      </c>
      <c r="AI81" s="2" t="s">
        <v>30</v>
      </c>
      <c r="AJ81" s="2">
        <v>2020</v>
      </c>
      <c r="AK81" s="1">
        <f t="shared" si="96"/>
        <v>377846</v>
      </c>
      <c r="AL81" s="11">
        <f t="shared" si="97"/>
        <v>20875096</v>
      </c>
      <c r="AM81" s="1">
        <f t="shared" si="98"/>
        <v>1887572</v>
      </c>
      <c r="AN81" s="11">
        <f t="shared" si="80"/>
        <v>178045175</v>
      </c>
      <c r="AO81" s="8">
        <f t="shared" si="81"/>
        <v>219752</v>
      </c>
      <c r="AP81" s="11">
        <f t="shared" si="82"/>
        <v>25617799</v>
      </c>
      <c r="AQ81" s="8">
        <f t="shared" si="83"/>
        <v>55131</v>
      </c>
      <c r="AR81" s="11">
        <f t="shared" si="84"/>
        <v>5820489</v>
      </c>
      <c r="AS81" s="8">
        <f t="shared" si="85"/>
        <v>0</v>
      </c>
      <c r="AT81" s="11">
        <f t="shared" si="86"/>
        <v>0</v>
      </c>
      <c r="AU81" s="8">
        <f t="shared" si="99"/>
        <v>2540301</v>
      </c>
      <c r="AV81" s="11">
        <f t="shared" si="87"/>
        <v>230358559</v>
      </c>
      <c r="AW81" t="str">
        <f t="shared" si="100"/>
        <v>CONMEX</v>
      </c>
      <c r="AX81" s="37">
        <f t="shared" si="101"/>
        <v>-159844</v>
      </c>
      <c r="AY81" s="37">
        <f t="shared" si="88"/>
        <v>-9227320</v>
      </c>
    </row>
    <row r="82" spans="1:51" x14ac:dyDescent="0.25">
      <c r="B82" s="2" t="s">
        <v>31</v>
      </c>
      <c r="C82" s="2">
        <v>2020</v>
      </c>
      <c r="D82" s="1">
        <v>315708</v>
      </c>
      <c r="E82" s="11">
        <v>17177945</v>
      </c>
      <c r="F82" s="1">
        <v>184071</v>
      </c>
      <c r="G82" s="11">
        <v>10410018</v>
      </c>
      <c r="H82" s="1">
        <v>49507</v>
      </c>
      <c r="I82" s="11">
        <v>2922459</v>
      </c>
      <c r="J82" s="1">
        <v>1931032</v>
      </c>
      <c r="K82" s="11">
        <v>182144076</v>
      </c>
      <c r="L82" s="8">
        <v>224992</v>
      </c>
      <c r="M82" s="11">
        <v>26474970</v>
      </c>
      <c r="N82" s="8">
        <v>55329</v>
      </c>
      <c r="O82" s="11">
        <v>5762667</v>
      </c>
      <c r="P82" s="8">
        <v>0</v>
      </c>
      <c r="Q82" s="11">
        <v>0</v>
      </c>
      <c r="R82" s="8">
        <f t="shared" si="89"/>
        <v>2760639</v>
      </c>
      <c r="S82" s="11">
        <f t="shared" si="77"/>
        <v>244892135</v>
      </c>
      <c r="T82" t="s">
        <v>59</v>
      </c>
      <c r="W82" s="17">
        <f t="shared" si="90"/>
        <v>0.1322936465072036</v>
      </c>
      <c r="X82" s="17">
        <f t="shared" si="91"/>
        <v>0.86770635349279646</v>
      </c>
      <c r="Y82" s="17">
        <f t="shared" si="92"/>
        <v>0.6994873288394462</v>
      </c>
      <c r="Z82" s="17">
        <f t="shared" si="93"/>
        <v>8.1499971564554435E-2</v>
      </c>
      <c r="AA82" s="17">
        <f t="shared" si="94"/>
        <v>2.0042098948830325E-2</v>
      </c>
      <c r="AB82" s="17">
        <f t="shared" si="95"/>
        <v>0</v>
      </c>
      <c r="AD82" s="30">
        <v>1153579.25</v>
      </c>
      <c r="AE82" s="30">
        <f t="shared" si="78"/>
        <v>0.59739002253717188</v>
      </c>
      <c r="AF82" s="31">
        <v>1247177.845</v>
      </c>
      <c r="AG82" s="32">
        <f t="shared" si="79"/>
        <v>6.8472050938401087E-3</v>
      </c>
      <c r="AI82" s="2" t="s">
        <v>31</v>
      </c>
      <c r="AJ82" s="2">
        <v>2020</v>
      </c>
      <c r="AK82" s="1">
        <f t="shared" si="96"/>
        <v>365215</v>
      </c>
      <c r="AL82" s="11">
        <f t="shared" si="97"/>
        <v>20100404</v>
      </c>
      <c r="AM82" s="1">
        <f t="shared" si="98"/>
        <v>1931032</v>
      </c>
      <c r="AN82" s="11">
        <f t="shared" si="80"/>
        <v>182144076</v>
      </c>
      <c r="AO82" s="8">
        <f t="shared" si="81"/>
        <v>224992</v>
      </c>
      <c r="AP82" s="11">
        <f t="shared" si="82"/>
        <v>26474970</v>
      </c>
      <c r="AQ82" s="8">
        <f t="shared" si="83"/>
        <v>55329</v>
      </c>
      <c r="AR82" s="11">
        <f t="shared" si="84"/>
        <v>5762667</v>
      </c>
      <c r="AS82" s="8">
        <f t="shared" si="85"/>
        <v>0</v>
      </c>
      <c r="AT82" s="11">
        <f t="shared" si="86"/>
        <v>0</v>
      </c>
      <c r="AU82" s="8">
        <f t="shared" si="99"/>
        <v>2576568</v>
      </c>
      <c r="AV82" s="11">
        <f t="shared" si="87"/>
        <v>234482117</v>
      </c>
      <c r="AW82" t="str">
        <f t="shared" si="100"/>
        <v>CONMEX</v>
      </c>
      <c r="AX82" s="37">
        <f t="shared" si="101"/>
        <v>-184071</v>
      </c>
      <c r="AY82" s="37">
        <f t="shared" si="88"/>
        <v>-10410018</v>
      </c>
    </row>
    <row r="83" spans="1:51" x14ac:dyDescent="0.25">
      <c r="W83" s="18"/>
      <c r="X83" s="19"/>
      <c r="Y83" s="18"/>
      <c r="Z83" s="18"/>
      <c r="AA83" s="18"/>
      <c r="AB83" s="18"/>
      <c r="AL83" s="9"/>
      <c r="AN83" s="9"/>
      <c r="AP83" s="9"/>
      <c r="AR83" s="9"/>
      <c r="AS83" s="9"/>
      <c r="AT83" s="9"/>
      <c r="AV83" s="9"/>
    </row>
    <row r="84" spans="1:51" x14ac:dyDescent="0.25">
      <c r="B84" s="3" t="s">
        <v>12</v>
      </c>
      <c r="C84" s="3"/>
      <c r="D84" s="4">
        <f t="shared" ref="D84:S84" si="102">SUM(D71:D83)</f>
        <v>3977219</v>
      </c>
      <c r="E84" s="12">
        <f t="shared" si="102"/>
        <v>208684666</v>
      </c>
      <c r="F84" s="4">
        <f t="shared" si="102"/>
        <v>1876768</v>
      </c>
      <c r="G84" s="12">
        <f t="shared" si="102"/>
        <v>104662642</v>
      </c>
      <c r="H84" s="4">
        <f t="shared" si="102"/>
        <v>484614</v>
      </c>
      <c r="I84" s="12">
        <f t="shared" si="102"/>
        <v>29540693</v>
      </c>
      <c r="J84" s="4">
        <f t="shared" si="102"/>
        <v>20874786</v>
      </c>
      <c r="K84" s="12">
        <f t="shared" si="102"/>
        <v>1959198943</v>
      </c>
      <c r="L84" s="4">
        <f t="shared" si="102"/>
        <v>2474221</v>
      </c>
      <c r="M84" s="12">
        <f t="shared" si="102"/>
        <v>290107523</v>
      </c>
      <c r="N84" s="4">
        <f t="shared" si="102"/>
        <v>552155</v>
      </c>
      <c r="O84" s="12">
        <f t="shared" si="102"/>
        <v>57631389</v>
      </c>
      <c r="P84" s="4">
        <f t="shared" si="102"/>
        <v>160</v>
      </c>
      <c r="Q84" s="12">
        <f t="shared" si="102"/>
        <v>21347</v>
      </c>
      <c r="R84" s="4">
        <f t="shared" si="102"/>
        <v>30239923</v>
      </c>
      <c r="S84" s="12">
        <f t="shared" si="102"/>
        <v>2649847203</v>
      </c>
      <c r="W84" s="16">
        <f>+(D84+H84)/R84</f>
        <v>0.14754776326646069</v>
      </c>
      <c r="X84" s="16">
        <f>1-W84</f>
        <v>0.85245223673353931</v>
      </c>
      <c r="Y84" s="16">
        <f>+J84/R84</f>
        <v>0.69030552756367802</v>
      </c>
      <c r="Z84" s="16">
        <f>+L84/R84</f>
        <v>8.1819685850390553E-2</v>
      </c>
      <c r="AA84" s="16">
        <f>+N84/R84</f>
        <v>1.8259140408525512E-2</v>
      </c>
      <c r="AB84" s="16">
        <f>+P84/R84</f>
        <v>5.2910187635067724E-6</v>
      </c>
      <c r="AD84" s="12">
        <f>AVERAGE(AD71:AD83)</f>
        <v>1037757.5766666668</v>
      </c>
      <c r="AE84" s="12">
        <f t="shared" ref="AE84" si="103">AVERAGE(AE71:AE83)</f>
        <v>0.59698861253989666</v>
      </c>
      <c r="AF84" s="12">
        <f t="shared" ref="AF84" si="104">AVERAGE(AF71:AF83)</f>
        <v>1125464.2435416668</v>
      </c>
      <c r="AG84" s="16">
        <f t="shared" ref="AG84" si="105">AVERAGE(AG71:AG83)</f>
        <v>6.8982595145095872E-3</v>
      </c>
      <c r="AI84" s="3" t="s">
        <v>12</v>
      </c>
      <c r="AJ84" s="3"/>
      <c r="AK84" s="4">
        <f t="shared" ref="AK84:AV84" si="106">SUM(AK71:AK83)</f>
        <v>4461833</v>
      </c>
      <c r="AL84" s="12">
        <f t="shared" si="106"/>
        <v>238225359</v>
      </c>
      <c r="AM84" s="4">
        <f t="shared" si="106"/>
        <v>20874786</v>
      </c>
      <c r="AN84" s="12">
        <f t="shared" si="106"/>
        <v>1959198943</v>
      </c>
      <c r="AO84" s="4">
        <f t="shared" si="106"/>
        <v>2474221</v>
      </c>
      <c r="AP84" s="12">
        <f t="shared" si="106"/>
        <v>290107523</v>
      </c>
      <c r="AQ84" s="4">
        <f t="shared" si="106"/>
        <v>552155</v>
      </c>
      <c r="AR84" s="12">
        <f t="shared" si="106"/>
        <v>57631389</v>
      </c>
      <c r="AS84" s="4">
        <f t="shared" si="106"/>
        <v>160</v>
      </c>
      <c r="AT84" s="12">
        <f t="shared" si="106"/>
        <v>21347</v>
      </c>
      <c r="AU84" s="4">
        <f t="shared" si="106"/>
        <v>28363155</v>
      </c>
      <c r="AV84" s="12">
        <f t="shared" si="106"/>
        <v>2545184561</v>
      </c>
    </row>
    <row r="85" spans="1:51" x14ac:dyDescent="0.25">
      <c r="L85" s="28">
        <f>AVERAGE(L71:L80)</f>
        <v>202947.7</v>
      </c>
      <c r="M85" s="28">
        <f>AVERAGE(M71:M80)</f>
        <v>23801475.399999999</v>
      </c>
      <c r="R85" s="28">
        <f>AVERAGE(R71:R80)</f>
        <v>2477913.9</v>
      </c>
      <c r="S85" s="28">
        <f>AVERAGE(S71:S80)</f>
        <v>216536918.90000001</v>
      </c>
    </row>
    <row r="86" spans="1:51" x14ac:dyDescent="0.25">
      <c r="B86" s="5" t="s">
        <v>14</v>
      </c>
      <c r="L86" s="28"/>
      <c r="M86" s="28"/>
      <c r="R86" s="44">
        <f>+L85/R85</f>
        <v>8.1902643994208199E-2</v>
      </c>
      <c r="S86" s="44">
        <f>+M85/S85</f>
        <v>0.10991878669425363</v>
      </c>
    </row>
    <row r="87" spans="1:51" x14ac:dyDescent="0.25">
      <c r="B87" s="5" t="s">
        <v>32</v>
      </c>
      <c r="L87" s="26"/>
      <c r="M87" s="26"/>
    </row>
    <row r="88" spans="1:51" x14ac:dyDescent="0.25">
      <c r="B88" s="5"/>
    </row>
    <row r="89" spans="1:51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12</v>
      </c>
      <c r="S89" s="93"/>
      <c r="W89" s="94" t="s">
        <v>42</v>
      </c>
      <c r="X89" s="94"/>
      <c r="Y89" s="94"/>
      <c r="Z89" s="94"/>
      <c r="AA89" s="94"/>
      <c r="AB89" s="94"/>
      <c r="AK89" s="89" t="s">
        <v>69</v>
      </c>
      <c r="AL89" s="90"/>
      <c r="AM89" s="89" t="s">
        <v>17</v>
      </c>
      <c r="AN89" s="93"/>
      <c r="AO89" s="89" t="s">
        <v>18</v>
      </c>
      <c r="AP89" s="93"/>
      <c r="AQ89" s="89" t="s">
        <v>13</v>
      </c>
      <c r="AR89" s="93"/>
      <c r="AS89" s="89" t="s">
        <v>34</v>
      </c>
      <c r="AT89" s="93"/>
      <c r="AU89" s="89" t="s">
        <v>12</v>
      </c>
      <c r="AV89" s="93"/>
    </row>
    <row r="90" spans="1:5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W90" s="7" t="s">
        <v>38</v>
      </c>
      <c r="X90" s="10" t="s">
        <v>39</v>
      </c>
      <c r="Y90" s="10" t="s">
        <v>40</v>
      </c>
      <c r="Z90" s="10" t="s">
        <v>18</v>
      </c>
      <c r="AA90" s="10" t="s">
        <v>13</v>
      </c>
      <c r="AB90" s="10" t="s">
        <v>41</v>
      </c>
      <c r="AD90" s="33">
        <v>2019</v>
      </c>
      <c r="AE90" s="34">
        <v>0.63922720438527114</v>
      </c>
      <c r="AF90" s="33">
        <v>2019</v>
      </c>
      <c r="AG90" s="35">
        <v>7.2767009463153495E-3</v>
      </c>
      <c r="AI90" s="7" t="s">
        <v>0</v>
      </c>
      <c r="AJ90" s="7" t="s">
        <v>1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  <c r="AQ90" s="7" t="s">
        <v>2</v>
      </c>
      <c r="AR90" s="10" t="s">
        <v>3</v>
      </c>
      <c r="AS90" s="7" t="s">
        <v>2</v>
      </c>
      <c r="AT90" s="10" t="s">
        <v>3</v>
      </c>
      <c r="AU90" s="7" t="s">
        <v>2</v>
      </c>
      <c r="AV90" s="10" t="s">
        <v>3</v>
      </c>
    </row>
    <row r="91" spans="1:51" x14ac:dyDescent="0.25">
      <c r="X91" s="9"/>
      <c r="AL91" s="9"/>
      <c r="AN91" s="9"/>
      <c r="AP91" s="9"/>
      <c r="AR91" s="9"/>
      <c r="AS91" s="9"/>
      <c r="AT91" s="9"/>
      <c r="AV91" s="9"/>
    </row>
    <row r="92" spans="1:51" x14ac:dyDescent="0.25">
      <c r="B92" s="2" t="s">
        <v>5</v>
      </c>
      <c r="C92" s="2">
        <v>2020</v>
      </c>
      <c r="D92" s="1">
        <v>9172</v>
      </c>
      <c r="E92" s="11">
        <v>742803</v>
      </c>
      <c r="F92" s="1">
        <v>4462</v>
      </c>
      <c r="G92" s="11">
        <v>598544</v>
      </c>
      <c r="H92" s="1">
        <v>1437</v>
      </c>
      <c r="I92" s="11">
        <v>225959</v>
      </c>
      <c r="J92" s="1">
        <v>194944</v>
      </c>
      <c r="K92" s="11">
        <v>31662133</v>
      </c>
      <c r="L92" s="8">
        <v>28290</v>
      </c>
      <c r="M92" s="11">
        <v>5789739</v>
      </c>
      <c r="N92" s="8">
        <v>6085</v>
      </c>
      <c r="O92" s="11">
        <v>961033</v>
      </c>
      <c r="P92" s="8">
        <v>0</v>
      </c>
      <c r="Q92" s="11">
        <v>0</v>
      </c>
      <c r="R92" s="8">
        <f>N92+L92+J92+H92+D92+P92+F92</f>
        <v>244390</v>
      </c>
      <c r="S92" s="11">
        <f t="shared" ref="S92:S103" si="107">O92+M92+K92+I92+E92+Q92+G92</f>
        <v>39980211</v>
      </c>
      <c r="T92" t="s">
        <v>60</v>
      </c>
      <c r="W92" s="17">
        <f>+(D92+H92)/R92</f>
        <v>4.3410123163795569E-2</v>
      </c>
      <c r="X92" s="17">
        <f>1-W92</f>
        <v>0.95658987683620444</v>
      </c>
      <c r="Y92" s="17">
        <f>+J92/R92</f>
        <v>0.7976758459838782</v>
      </c>
      <c r="Z92" s="17">
        <f>+L92/R92</f>
        <v>0.11575760055648758</v>
      </c>
      <c r="AA92" s="17">
        <f>+N92/R92</f>
        <v>2.4898727443839766E-2</v>
      </c>
      <c r="AB92" s="17">
        <f>+P92/R92</f>
        <v>0</v>
      </c>
      <c r="AD92" s="30">
        <v>124497.69</v>
      </c>
      <c r="AE92" s="30">
        <f t="shared" ref="AE92:AE103" si="108">+AD92/J92</f>
        <v>0.63863309463230467</v>
      </c>
      <c r="AF92" s="31">
        <v>232754.1</v>
      </c>
      <c r="AG92" s="32">
        <f t="shared" ref="AG92:AG103" si="109">+AF92/K92</f>
        <v>7.3511819307941128E-3</v>
      </c>
      <c r="AH92" s="13"/>
      <c r="AI92" s="2" t="s">
        <v>5</v>
      </c>
      <c r="AJ92" s="2">
        <v>2020</v>
      </c>
      <c r="AK92" s="1">
        <f>D92+H92</f>
        <v>10609</v>
      </c>
      <c r="AL92" s="11">
        <f>E92+I92</f>
        <v>968762</v>
      </c>
      <c r="AM92" s="1">
        <f>+J92</f>
        <v>194944</v>
      </c>
      <c r="AN92" s="11">
        <f t="shared" ref="AN92:AN103" si="110">+K92</f>
        <v>31662133</v>
      </c>
      <c r="AO92" s="8">
        <f t="shared" ref="AO92:AO103" si="111">+L92</f>
        <v>28290</v>
      </c>
      <c r="AP92" s="11">
        <f t="shared" ref="AP92:AP103" si="112">+M92</f>
        <v>5789739</v>
      </c>
      <c r="AQ92" s="8">
        <f t="shared" ref="AQ92:AQ103" si="113">+N92</f>
        <v>6085</v>
      </c>
      <c r="AR92" s="11">
        <f t="shared" ref="AR92:AR103" si="114">+O92</f>
        <v>961033</v>
      </c>
      <c r="AS92" s="8">
        <f t="shared" ref="AS92:AS103" si="115">+P92</f>
        <v>0</v>
      </c>
      <c r="AT92" s="11">
        <f t="shared" ref="AT92:AT103" si="116">+Q92</f>
        <v>0</v>
      </c>
      <c r="AU92" s="8">
        <f>AS92+AQ92+AO92+AM92+AK92</f>
        <v>239928</v>
      </c>
      <c r="AV92" s="11">
        <f t="shared" ref="AV92:AV103" si="117">AT92+AR92+AP92+AN92+AL92</f>
        <v>39381667</v>
      </c>
      <c r="AW92" t="str">
        <f>+T92</f>
        <v>LEP</v>
      </c>
      <c r="AX92" s="37">
        <f>+AU92-R92</f>
        <v>-4462</v>
      </c>
      <c r="AY92" s="37">
        <f t="shared" ref="AY92:AY103" si="118">+AV92-S92</f>
        <v>-598544</v>
      </c>
    </row>
    <row r="93" spans="1:51" x14ac:dyDescent="0.25">
      <c r="B93" s="2" t="s">
        <v>6</v>
      </c>
      <c r="C93" s="2">
        <v>2020</v>
      </c>
      <c r="D93" s="1">
        <v>7760</v>
      </c>
      <c r="E93" s="11">
        <v>638282</v>
      </c>
      <c r="F93" s="1">
        <v>4102</v>
      </c>
      <c r="G93" s="11">
        <v>577051</v>
      </c>
      <c r="H93" s="1">
        <v>1179</v>
      </c>
      <c r="I93" s="11">
        <v>191856</v>
      </c>
      <c r="J93" s="1">
        <v>184388</v>
      </c>
      <c r="K93" s="11">
        <v>30599826</v>
      </c>
      <c r="L93" s="8">
        <v>26789</v>
      </c>
      <c r="M93" s="11">
        <v>5583202</v>
      </c>
      <c r="N93" s="8">
        <v>5938</v>
      </c>
      <c r="O93" s="11">
        <v>950967</v>
      </c>
      <c r="P93" s="8">
        <v>0</v>
      </c>
      <c r="Q93" s="11">
        <v>0</v>
      </c>
      <c r="R93" s="8">
        <f t="shared" ref="R93:R103" si="119">N93+L93+J93+H93+D93+P93+F93</f>
        <v>230156</v>
      </c>
      <c r="S93" s="11">
        <f t="shared" si="107"/>
        <v>38541184</v>
      </c>
      <c r="T93" t="s">
        <v>60</v>
      </c>
      <c r="W93" s="17">
        <f t="shared" ref="W93:W103" si="120">+(D93+H93)/R93</f>
        <v>3.883887450251134E-2</v>
      </c>
      <c r="X93" s="17">
        <f t="shared" ref="X93:X103" si="121">1-W93</f>
        <v>0.96116112549748867</v>
      </c>
      <c r="Y93" s="17">
        <f t="shared" ref="Y93:Y103" si="122">+J93/R93</f>
        <v>0.80114357218582177</v>
      </c>
      <c r="Z93" s="17">
        <f t="shared" ref="Z93:Z103" si="123">+L93/R93</f>
        <v>0.11639496689202107</v>
      </c>
      <c r="AA93" s="17">
        <f t="shared" ref="AA93:AA103" si="124">+N93/R93</f>
        <v>2.5799892246997688E-2</v>
      </c>
      <c r="AB93" s="17">
        <f t="shared" ref="AB93:AB103" si="125">+P93/R93</f>
        <v>0</v>
      </c>
      <c r="AD93" s="30">
        <v>118482.86</v>
      </c>
      <c r="AE93" s="30">
        <f t="shared" si="108"/>
        <v>0.64257359481094212</v>
      </c>
      <c r="AF93" s="31">
        <v>224868.98500000002</v>
      </c>
      <c r="AG93" s="32">
        <f t="shared" si="109"/>
        <v>7.3487014272564819E-3</v>
      </c>
      <c r="AH93" s="13"/>
      <c r="AI93" s="2" t="s">
        <v>6</v>
      </c>
      <c r="AJ93" s="2">
        <v>2020</v>
      </c>
      <c r="AK93" s="1">
        <f t="shared" ref="AK93:AK103" si="126">D93+H93</f>
        <v>8939</v>
      </c>
      <c r="AL93" s="11">
        <f t="shared" ref="AL93:AL103" si="127">E93+I93</f>
        <v>830138</v>
      </c>
      <c r="AM93" s="1">
        <f t="shared" ref="AM93:AM103" si="128">+J93</f>
        <v>184388</v>
      </c>
      <c r="AN93" s="11">
        <f t="shared" si="110"/>
        <v>30599826</v>
      </c>
      <c r="AO93" s="8">
        <f t="shared" si="111"/>
        <v>26789</v>
      </c>
      <c r="AP93" s="11">
        <f t="shared" si="112"/>
        <v>5583202</v>
      </c>
      <c r="AQ93" s="8">
        <f t="shared" si="113"/>
        <v>5938</v>
      </c>
      <c r="AR93" s="11">
        <f t="shared" si="114"/>
        <v>950967</v>
      </c>
      <c r="AS93" s="8">
        <f t="shared" si="115"/>
        <v>0</v>
      </c>
      <c r="AT93" s="11">
        <f t="shared" si="116"/>
        <v>0</v>
      </c>
      <c r="AU93" s="8">
        <f t="shared" ref="AU93:AU103" si="129">AS93+AQ93+AO93+AM93+AK93</f>
        <v>226054</v>
      </c>
      <c r="AV93" s="11">
        <f t="shared" si="117"/>
        <v>37964133</v>
      </c>
      <c r="AW93" t="str">
        <f t="shared" ref="AW93:AW103" si="130">+T93</f>
        <v>LEP</v>
      </c>
      <c r="AX93" s="37">
        <f t="shared" ref="AX93:AX103" si="131">+AU93-R93</f>
        <v>-4102</v>
      </c>
      <c r="AY93" s="37">
        <f t="shared" si="118"/>
        <v>-577051</v>
      </c>
    </row>
    <row r="94" spans="1:51" x14ac:dyDescent="0.25">
      <c r="B94" s="2" t="s">
        <v>7</v>
      </c>
      <c r="C94" s="2">
        <v>2020</v>
      </c>
      <c r="D94" s="1">
        <v>7101</v>
      </c>
      <c r="E94" s="11">
        <v>655650</v>
      </c>
      <c r="F94" s="1">
        <v>4294</v>
      </c>
      <c r="G94" s="11">
        <v>674338</v>
      </c>
      <c r="H94" s="1">
        <v>1101</v>
      </c>
      <c r="I94" s="11">
        <v>186713</v>
      </c>
      <c r="J94" s="1">
        <v>189908</v>
      </c>
      <c r="K94" s="11">
        <v>33665839</v>
      </c>
      <c r="L94" s="8">
        <v>29082</v>
      </c>
      <c r="M94" s="11">
        <v>6318182</v>
      </c>
      <c r="N94" s="8">
        <v>5828</v>
      </c>
      <c r="O94" s="11">
        <v>990300</v>
      </c>
      <c r="P94" s="8">
        <v>0</v>
      </c>
      <c r="Q94" s="11">
        <v>0</v>
      </c>
      <c r="R94" s="8">
        <f t="shared" si="119"/>
        <v>237314</v>
      </c>
      <c r="S94" s="11">
        <f t="shared" si="107"/>
        <v>42491022</v>
      </c>
      <c r="T94" t="s">
        <v>60</v>
      </c>
      <c r="W94" s="17">
        <f t="shared" si="120"/>
        <v>3.4561804191914507E-2</v>
      </c>
      <c r="X94" s="17">
        <f t="shared" si="121"/>
        <v>0.96543819580808554</v>
      </c>
      <c r="Y94" s="17">
        <f t="shared" si="122"/>
        <v>0.80023934533992935</v>
      </c>
      <c r="Z94" s="17">
        <f t="shared" si="123"/>
        <v>0.12254649957440353</v>
      </c>
      <c r="AA94" s="17">
        <f t="shared" si="124"/>
        <v>2.455818030120431E-2</v>
      </c>
      <c r="AB94" s="17">
        <f t="shared" si="125"/>
        <v>0</v>
      </c>
      <c r="AD94" s="30">
        <v>122680.03</v>
      </c>
      <c r="AE94" s="30">
        <f t="shared" si="108"/>
        <v>0.6459971670493081</v>
      </c>
      <c r="AF94" s="31">
        <v>246018.94999999998</v>
      </c>
      <c r="AG94" s="32">
        <f t="shared" si="109"/>
        <v>7.3076732173524613E-3</v>
      </c>
      <c r="AH94" s="13"/>
      <c r="AI94" s="2" t="s">
        <v>7</v>
      </c>
      <c r="AJ94" s="2">
        <v>2020</v>
      </c>
      <c r="AK94" s="1">
        <f t="shared" si="126"/>
        <v>8202</v>
      </c>
      <c r="AL94" s="11">
        <f t="shared" si="127"/>
        <v>842363</v>
      </c>
      <c r="AM94" s="1">
        <f t="shared" si="128"/>
        <v>189908</v>
      </c>
      <c r="AN94" s="11">
        <f t="shared" si="110"/>
        <v>33665839</v>
      </c>
      <c r="AO94" s="8">
        <f t="shared" si="111"/>
        <v>29082</v>
      </c>
      <c r="AP94" s="11">
        <f t="shared" si="112"/>
        <v>6318182</v>
      </c>
      <c r="AQ94" s="8">
        <f t="shared" si="113"/>
        <v>5828</v>
      </c>
      <c r="AR94" s="11">
        <f t="shared" si="114"/>
        <v>990300</v>
      </c>
      <c r="AS94" s="8">
        <f t="shared" si="115"/>
        <v>0</v>
      </c>
      <c r="AT94" s="11">
        <f t="shared" si="116"/>
        <v>0</v>
      </c>
      <c r="AU94" s="8">
        <f t="shared" si="129"/>
        <v>233020</v>
      </c>
      <c r="AV94" s="11">
        <f t="shared" si="117"/>
        <v>41816684</v>
      </c>
      <c r="AW94" t="str">
        <f t="shared" si="130"/>
        <v>LEP</v>
      </c>
      <c r="AX94" s="37">
        <f t="shared" si="131"/>
        <v>-4294</v>
      </c>
      <c r="AY94" s="37">
        <f t="shared" si="118"/>
        <v>-674338</v>
      </c>
    </row>
    <row r="95" spans="1:51" x14ac:dyDescent="0.25">
      <c r="B95" s="2" t="s">
        <v>8</v>
      </c>
      <c r="C95" s="2">
        <v>2020</v>
      </c>
      <c r="D95" s="1">
        <v>4951</v>
      </c>
      <c r="E95" s="11">
        <v>480647</v>
      </c>
      <c r="F95" s="1">
        <v>2924</v>
      </c>
      <c r="G95" s="11">
        <v>513445</v>
      </c>
      <c r="H95" s="1">
        <v>831</v>
      </c>
      <c r="I95" s="11">
        <v>150466</v>
      </c>
      <c r="J95" s="1">
        <v>137018</v>
      </c>
      <c r="K95" s="11">
        <v>25635303</v>
      </c>
      <c r="L95" s="8">
        <v>21760</v>
      </c>
      <c r="M95" s="11">
        <v>4821428</v>
      </c>
      <c r="N95" s="8">
        <v>4127</v>
      </c>
      <c r="O95" s="11">
        <v>773415</v>
      </c>
      <c r="P95" s="8">
        <v>0</v>
      </c>
      <c r="Q95" s="11">
        <v>0</v>
      </c>
      <c r="R95" s="8">
        <f t="shared" si="119"/>
        <v>171611</v>
      </c>
      <c r="S95" s="11">
        <f t="shared" si="107"/>
        <v>32374704</v>
      </c>
      <c r="T95" t="s">
        <v>60</v>
      </c>
      <c r="W95" s="17">
        <f t="shared" si="120"/>
        <v>3.3692478920348927E-2</v>
      </c>
      <c r="X95" s="17">
        <f t="shared" si="121"/>
        <v>0.96630752107965112</v>
      </c>
      <c r="Y95" s="17">
        <f t="shared" si="122"/>
        <v>0.79842201257495149</v>
      </c>
      <c r="Z95" s="17">
        <f t="shared" si="123"/>
        <v>0.12679839870404577</v>
      </c>
      <c r="AA95" s="17">
        <f t="shared" si="124"/>
        <v>2.4048574974797652E-2</v>
      </c>
      <c r="AB95" s="17">
        <f t="shared" si="125"/>
        <v>0</v>
      </c>
      <c r="AD95" s="30">
        <v>87365.15</v>
      </c>
      <c r="AE95" s="30">
        <f t="shared" si="108"/>
        <v>0.63761805018318751</v>
      </c>
      <c r="AF95" s="31">
        <v>192535.31</v>
      </c>
      <c r="AG95" s="32">
        <f t="shared" si="109"/>
        <v>7.5105533178211311E-3</v>
      </c>
      <c r="AH95" s="13"/>
      <c r="AI95" s="2" t="s">
        <v>8</v>
      </c>
      <c r="AJ95" s="2">
        <v>2020</v>
      </c>
      <c r="AK95" s="1">
        <f t="shared" si="126"/>
        <v>5782</v>
      </c>
      <c r="AL95" s="11">
        <f t="shared" si="127"/>
        <v>631113</v>
      </c>
      <c r="AM95" s="1">
        <f t="shared" si="128"/>
        <v>137018</v>
      </c>
      <c r="AN95" s="11">
        <f t="shared" si="110"/>
        <v>25635303</v>
      </c>
      <c r="AO95" s="8">
        <f t="shared" si="111"/>
        <v>21760</v>
      </c>
      <c r="AP95" s="11">
        <f t="shared" si="112"/>
        <v>4821428</v>
      </c>
      <c r="AQ95" s="8">
        <f t="shared" si="113"/>
        <v>4127</v>
      </c>
      <c r="AR95" s="11">
        <f t="shared" si="114"/>
        <v>773415</v>
      </c>
      <c r="AS95" s="8">
        <f t="shared" si="115"/>
        <v>0</v>
      </c>
      <c r="AT95" s="11">
        <f t="shared" si="116"/>
        <v>0</v>
      </c>
      <c r="AU95" s="8">
        <f t="shared" si="129"/>
        <v>168687</v>
      </c>
      <c r="AV95" s="11">
        <f t="shared" si="117"/>
        <v>31861259</v>
      </c>
      <c r="AW95" t="str">
        <f t="shared" si="130"/>
        <v>LEP</v>
      </c>
      <c r="AX95" s="37">
        <f t="shared" si="131"/>
        <v>-2924</v>
      </c>
      <c r="AY95" s="37">
        <f t="shared" si="118"/>
        <v>-513445</v>
      </c>
    </row>
    <row r="96" spans="1:51" x14ac:dyDescent="0.25">
      <c r="B96" s="2" t="s">
        <v>9</v>
      </c>
      <c r="C96" s="2">
        <v>2020</v>
      </c>
      <c r="D96" s="1">
        <v>5309</v>
      </c>
      <c r="E96" s="11">
        <v>503374</v>
      </c>
      <c r="F96" s="1">
        <v>3293</v>
      </c>
      <c r="G96" s="11">
        <v>588731</v>
      </c>
      <c r="H96" s="1">
        <v>692</v>
      </c>
      <c r="I96" s="11">
        <v>113756</v>
      </c>
      <c r="J96" s="1">
        <v>134676</v>
      </c>
      <c r="K96" s="11">
        <v>24743224</v>
      </c>
      <c r="L96" s="8">
        <v>20911</v>
      </c>
      <c r="M96" s="11">
        <v>4596547</v>
      </c>
      <c r="N96" s="8">
        <v>4139</v>
      </c>
      <c r="O96" s="11">
        <v>746686</v>
      </c>
      <c r="P96" s="8">
        <v>0</v>
      </c>
      <c r="Q96" s="11">
        <v>0</v>
      </c>
      <c r="R96" s="8">
        <f t="shared" si="119"/>
        <v>169020</v>
      </c>
      <c r="S96" s="11">
        <f t="shared" si="107"/>
        <v>31292318</v>
      </c>
      <c r="T96" t="s">
        <v>60</v>
      </c>
      <c r="W96" s="17">
        <f t="shared" si="120"/>
        <v>3.550467400307656E-2</v>
      </c>
      <c r="X96" s="17">
        <f t="shared" si="121"/>
        <v>0.96449532599692345</v>
      </c>
      <c r="Y96" s="17">
        <f t="shared" si="122"/>
        <v>0.79680511182108626</v>
      </c>
      <c r="Z96" s="17">
        <f t="shared" si="123"/>
        <v>0.12371908649863922</v>
      </c>
      <c r="AA96" s="17">
        <f t="shared" si="124"/>
        <v>2.4488226245414742E-2</v>
      </c>
      <c r="AB96" s="17">
        <f t="shared" si="125"/>
        <v>0</v>
      </c>
      <c r="AD96" s="30">
        <v>84235.47</v>
      </c>
      <c r="AE96" s="30">
        <f t="shared" si="108"/>
        <v>0.62546756660429481</v>
      </c>
      <c r="AF96" s="31">
        <v>193143.02000000002</v>
      </c>
      <c r="AG96" s="36">
        <f t="shared" si="109"/>
        <v>7.8058954645522354E-3</v>
      </c>
      <c r="AH96" s="13"/>
      <c r="AI96" s="2" t="s">
        <v>9</v>
      </c>
      <c r="AJ96" s="2">
        <v>2020</v>
      </c>
      <c r="AK96" s="1">
        <f t="shared" si="126"/>
        <v>6001</v>
      </c>
      <c r="AL96" s="11">
        <f t="shared" si="127"/>
        <v>617130</v>
      </c>
      <c r="AM96" s="1">
        <f t="shared" si="128"/>
        <v>134676</v>
      </c>
      <c r="AN96" s="11">
        <f t="shared" si="110"/>
        <v>24743224</v>
      </c>
      <c r="AO96" s="8">
        <f t="shared" si="111"/>
        <v>20911</v>
      </c>
      <c r="AP96" s="11">
        <f t="shared" si="112"/>
        <v>4596547</v>
      </c>
      <c r="AQ96" s="8">
        <f t="shared" si="113"/>
        <v>4139</v>
      </c>
      <c r="AR96" s="11">
        <f t="shared" si="114"/>
        <v>746686</v>
      </c>
      <c r="AS96" s="8">
        <f t="shared" si="115"/>
        <v>0</v>
      </c>
      <c r="AT96" s="11">
        <f t="shared" si="116"/>
        <v>0</v>
      </c>
      <c r="AU96" s="8">
        <f t="shared" si="129"/>
        <v>165727</v>
      </c>
      <c r="AV96" s="11">
        <f t="shared" si="117"/>
        <v>30703587</v>
      </c>
      <c r="AW96" t="str">
        <f t="shared" si="130"/>
        <v>LEP</v>
      </c>
      <c r="AX96" s="37">
        <f t="shared" si="131"/>
        <v>-3293</v>
      </c>
      <c r="AY96" s="37">
        <f t="shared" si="118"/>
        <v>-588731</v>
      </c>
    </row>
    <row r="97" spans="1:51" x14ac:dyDescent="0.25">
      <c r="B97" s="2" t="s">
        <v>10</v>
      </c>
      <c r="C97" s="2">
        <v>2020</v>
      </c>
      <c r="D97" s="1">
        <v>6631</v>
      </c>
      <c r="E97" s="11">
        <v>610980</v>
      </c>
      <c r="F97" s="1">
        <v>3700</v>
      </c>
      <c r="G97" s="11">
        <v>616237</v>
      </c>
      <c r="H97" s="1">
        <v>859</v>
      </c>
      <c r="I97" s="11">
        <v>156116</v>
      </c>
      <c r="J97" s="1">
        <v>150270</v>
      </c>
      <c r="K97" s="11">
        <v>26716512</v>
      </c>
      <c r="L97" s="8">
        <v>22430</v>
      </c>
      <c r="M97" s="11">
        <v>4905210</v>
      </c>
      <c r="N97" s="8">
        <v>4720</v>
      </c>
      <c r="O97" s="11">
        <v>814812</v>
      </c>
      <c r="P97" s="8">
        <v>0</v>
      </c>
      <c r="Q97" s="11">
        <v>0</v>
      </c>
      <c r="R97" s="8">
        <f t="shared" si="119"/>
        <v>188610</v>
      </c>
      <c r="S97" s="11">
        <f t="shared" si="107"/>
        <v>33819867</v>
      </c>
      <c r="T97" t="s">
        <v>60</v>
      </c>
      <c r="W97" s="17">
        <f t="shared" si="120"/>
        <v>3.971157414771221E-2</v>
      </c>
      <c r="X97" s="17">
        <f t="shared" si="121"/>
        <v>0.9602884258522878</v>
      </c>
      <c r="Y97" s="17">
        <f t="shared" si="122"/>
        <v>0.7967233974868777</v>
      </c>
      <c r="Z97" s="17">
        <f t="shared" si="123"/>
        <v>0.11892264461057207</v>
      </c>
      <c r="AA97" s="17">
        <f t="shared" si="124"/>
        <v>2.502518424261704E-2</v>
      </c>
      <c r="AB97" s="17">
        <f t="shared" si="125"/>
        <v>0</v>
      </c>
      <c r="AD97" s="30">
        <v>94796.31</v>
      </c>
      <c r="AE97" s="30">
        <f t="shared" si="108"/>
        <v>0.63083988820123771</v>
      </c>
      <c r="AF97" s="31">
        <v>205349.47749999998</v>
      </c>
      <c r="AG97" s="36">
        <f t="shared" si="109"/>
        <v>7.6862382896390061E-3</v>
      </c>
      <c r="AH97" s="13"/>
      <c r="AI97" s="2" t="s">
        <v>10</v>
      </c>
      <c r="AJ97" s="2">
        <v>2020</v>
      </c>
      <c r="AK97" s="1">
        <f t="shared" si="126"/>
        <v>7490</v>
      </c>
      <c r="AL97" s="11">
        <f t="shared" si="127"/>
        <v>767096</v>
      </c>
      <c r="AM97" s="1">
        <f t="shared" si="128"/>
        <v>150270</v>
      </c>
      <c r="AN97" s="11">
        <f t="shared" si="110"/>
        <v>26716512</v>
      </c>
      <c r="AO97" s="8">
        <f t="shared" si="111"/>
        <v>22430</v>
      </c>
      <c r="AP97" s="11">
        <f t="shared" si="112"/>
        <v>4905210</v>
      </c>
      <c r="AQ97" s="8">
        <f t="shared" si="113"/>
        <v>4720</v>
      </c>
      <c r="AR97" s="11">
        <f t="shared" si="114"/>
        <v>814812</v>
      </c>
      <c r="AS97" s="8">
        <f t="shared" si="115"/>
        <v>0</v>
      </c>
      <c r="AT97" s="11">
        <f t="shared" si="116"/>
        <v>0</v>
      </c>
      <c r="AU97" s="8">
        <f t="shared" si="129"/>
        <v>184910</v>
      </c>
      <c r="AV97" s="11">
        <f t="shared" si="117"/>
        <v>33203630</v>
      </c>
      <c r="AW97" t="str">
        <f t="shared" si="130"/>
        <v>LEP</v>
      </c>
      <c r="AX97" s="37">
        <f t="shared" si="131"/>
        <v>-3700</v>
      </c>
      <c r="AY97" s="37">
        <f t="shared" si="118"/>
        <v>-616237</v>
      </c>
    </row>
    <row r="98" spans="1:51" x14ac:dyDescent="0.25">
      <c r="B98" s="2" t="s">
        <v>11</v>
      </c>
      <c r="C98" s="2">
        <v>2020</v>
      </c>
      <c r="D98" s="1">
        <v>8503</v>
      </c>
      <c r="E98" s="11">
        <v>773935</v>
      </c>
      <c r="F98" s="1">
        <v>4265</v>
      </c>
      <c r="G98" s="11">
        <v>664922</v>
      </c>
      <c r="H98" s="1">
        <v>835</v>
      </c>
      <c r="I98" s="11">
        <v>162822</v>
      </c>
      <c r="J98" s="1">
        <v>172936</v>
      </c>
      <c r="K98" s="11">
        <v>30167416</v>
      </c>
      <c r="L98" s="8">
        <v>25130</v>
      </c>
      <c r="M98" s="11">
        <v>5428675</v>
      </c>
      <c r="N98" s="8">
        <v>5472</v>
      </c>
      <c r="O98" s="11">
        <v>913474</v>
      </c>
      <c r="P98" s="8">
        <v>0</v>
      </c>
      <c r="Q98" s="11">
        <v>0</v>
      </c>
      <c r="R98" s="8">
        <f t="shared" si="119"/>
        <v>217141</v>
      </c>
      <c r="S98" s="11">
        <f t="shared" si="107"/>
        <v>38111244</v>
      </c>
      <c r="T98" t="s">
        <v>60</v>
      </c>
      <c r="W98" s="17">
        <f t="shared" si="120"/>
        <v>4.3004315168484991E-2</v>
      </c>
      <c r="X98" s="17">
        <f t="shared" si="121"/>
        <v>0.95699568483151498</v>
      </c>
      <c r="Y98" s="17">
        <f t="shared" si="122"/>
        <v>0.79642260098277151</v>
      </c>
      <c r="Z98" s="17">
        <f t="shared" si="123"/>
        <v>0.11573125296466351</v>
      </c>
      <c r="AA98" s="17">
        <f t="shared" si="124"/>
        <v>2.5200215528159122E-2</v>
      </c>
      <c r="AB98" s="17">
        <f t="shared" si="125"/>
        <v>0</v>
      </c>
      <c r="AD98" s="30">
        <v>108414.17000000001</v>
      </c>
      <c r="AE98" s="30">
        <f t="shared" si="108"/>
        <v>0.62690342091872142</v>
      </c>
      <c r="AF98" s="31">
        <v>232788.08250000002</v>
      </c>
      <c r="AG98" s="36">
        <f t="shared" si="109"/>
        <v>7.716540339417868E-3</v>
      </c>
      <c r="AI98" s="2" t="s">
        <v>11</v>
      </c>
      <c r="AJ98" s="2">
        <v>2020</v>
      </c>
      <c r="AK98" s="1">
        <f t="shared" si="126"/>
        <v>9338</v>
      </c>
      <c r="AL98" s="11">
        <f t="shared" si="127"/>
        <v>936757</v>
      </c>
      <c r="AM98" s="1">
        <f t="shared" si="128"/>
        <v>172936</v>
      </c>
      <c r="AN98" s="11">
        <f t="shared" si="110"/>
        <v>30167416</v>
      </c>
      <c r="AO98" s="8">
        <f t="shared" si="111"/>
        <v>25130</v>
      </c>
      <c r="AP98" s="11">
        <f t="shared" si="112"/>
        <v>5428675</v>
      </c>
      <c r="AQ98" s="8">
        <f t="shared" si="113"/>
        <v>5472</v>
      </c>
      <c r="AR98" s="11">
        <f t="shared" si="114"/>
        <v>913474</v>
      </c>
      <c r="AS98" s="8">
        <f t="shared" si="115"/>
        <v>0</v>
      </c>
      <c r="AT98" s="11">
        <f t="shared" si="116"/>
        <v>0</v>
      </c>
      <c r="AU98" s="8">
        <f t="shared" si="129"/>
        <v>212876</v>
      </c>
      <c r="AV98" s="11">
        <f t="shared" si="117"/>
        <v>37446322</v>
      </c>
      <c r="AW98" t="str">
        <f t="shared" si="130"/>
        <v>LEP</v>
      </c>
      <c r="AX98" s="37">
        <f t="shared" si="131"/>
        <v>-4265</v>
      </c>
      <c r="AY98" s="37">
        <f t="shared" si="118"/>
        <v>-664922</v>
      </c>
    </row>
    <row r="99" spans="1:51" x14ac:dyDescent="0.25">
      <c r="B99" s="2" t="s">
        <v>4</v>
      </c>
      <c r="C99" s="2">
        <v>2020</v>
      </c>
      <c r="D99" s="1">
        <v>9219</v>
      </c>
      <c r="E99" s="11">
        <v>816914</v>
      </c>
      <c r="F99" s="1">
        <v>4579</v>
      </c>
      <c r="G99" s="11">
        <v>696574</v>
      </c>
      <c r="H99" s="1">
        <v>849</v>
      </c>
      <c r="I99" s="11">
        <v>155196</v>
      </c>
      <c r="J99" s="1">
        <v>179979</v>
      </c>
      <c r="K99" s="11">
        <v>30906285</v>
      </c>
      <c r="L99" s="8">
        <v>24763</v>
      </c>
      <c r="M99" s="11">
        <v>5325637</v>
      </c>
      <c r="N99" s="8">
        <v>5787</v>
      </c>
      <c r="O99" s="11">
        <v>945523</v>
      </c>
      <c r="P99" s="8">
        <v>0</v>
      </c>
      <c r="Q99" s="11">
        <v>0</v>
      </c>
      <c r="R99" s="8">
        <f t="shared" si="119"/>
        <v>225176</v>
      </c>
      <c r="S99" s="11">
        <f t="shared" si="107"/>
        <v>38846129</v>
      </c>
      <c r="T99" t="s">
        <v>60</v>
      </c>
      <c r="W99" s="17">
        <f t="shared" si="120"/>
        <v>4.4711692187444488E-2</v>
      </c>
      <c r="X99" s="17">
        <f t="shared" si="121"/>
        <v>0.95528830781255547</v>
      </c>
      <c r="Y99" s="17">
        <f t="shared" si="122"/>
        <v>0.79928145095392045</v>
      </c>
      <c r="Z99" s="17">
        <f t="shared" si="123"/>
        <v>0.1099717554268661</v>
      </c>
      <c r="AA99" s="17">
        <f t="shared" si="124"/>
        <v>2.5699896969481651E-2</v>
      </c>
      <c r="AB99" s="17">
        <f t="shared" si="125"/>
        <v>0</v>
      </c>
      <c r="AD99" s="30">
        <v>113869.45</v>
      </c>
      <c r="AE99" s="30">
        <f t="shared" si="108"/>
        <v>0.63268186844020691</v>
      </c>
      <c r="AF99" s="31">
        <v>232826.39499999999</v>
      </c>
      <c r="AG99" s="32">
        <f t="shared" si="109"/>
        <v>7.533302530537073E-3</v>
      </c>
      <c r="AI99" s="2" t="s">
        <v>4</v>
      </c>
      <c r="AJ99" s="2">
        <v>2020</v>
      </c>
      <c r="AK99" s="1">
        <f t="shared" si="126"/>
        <v>10068</v>
      </c>
      <c r="AL99" s="11">
        <f t="shared" si="127"/>
        <v>972110</v>
      </c>
      <c r="AM99" s="1">
        <f t="shared" si="128"/>
        <v>179979</v>
      </c>
      <c r="AN99" s="11">
        <f t="shared" si="110"/>
        <v>30906285</v>
      </c>
      <c r="AO99" s="8">
        <f t="shared" si="111"/>
        <v>24763</v>
      </c>
      <c r="AP99" s="11">
        <f t="shared" si="112"/>
        <v>5325637</v>
      </c>
      <c r="AQ99" s="8">
        <f t="shared" si="113"/>
        <v>5787</v>
      </c>
      <c r="AR99" s="11">
        <f t="shared" si="114"/>
        <v>945523</v>
      </c>
      <c r="AS99" s="8">
        <f t="shared" si="115"/>
        <v>0</v>
      </c>
      <c r="AT99" s="11">
        <f t="shared" si="116"/>
        <v>0</v>
      </c>
      <c r="AU99" s="8">
        <f t="shared" si="129"/>
        <v>220597</v>
      </c>
      <c r="AV99" s="11">
        <f t="shared" si="117"/>
        <v>38149555</v>
      </c>
      <c r="AW99" t="str">
        <f t="shared" si="130"/>
        <v>LEP</v>
      </c>
      <c r="AX99" s="37">
        <f t="shared" si="131"/>
        <v>-4579</v>
      </c>
      <c r="AY99" s="37">
        <f t="shared" si="118"/>
        <v>-696574</v>
      </c>
    </row>
    <row r="100" spans="1:51" x14ac:dyDescent="0.25">
      <c r="B100" s="2" t="s">
        <v>28</v>
      </c>
      <c r="C100" s="2">
        <v>2020</v>
      </c>
      <c r="D100" s="1">
        <v>9159</v>
      </c>
      <c r="E100" s="11">
        <v>823246</v>
      </c>
      <c r="F100" s="1">
        <v>4555</v>
      </c>
      <c r="G100" s="11">
        <v>695685</v>
      </c>
      <c r="H100" s="1">
        <v>931</v>
      </c>
      <c r="I100" s="11">
        <v>174156</v>
      </c>
      <c r="J100" s="1">
        <v>181477</v>
      </c>
      <c r="K100" s="11">
        <v>31446941</v>
      </c>
      <c r="L100" s="8">
        <v>25253</v>
      </c>
      <c r="M100" s="11">
        <v>5408472</v>
      </c>
      <c r="N100" s="8">
        <v>5751</v>
      </c>
      <c r="O100" s="11">
        <v>928512</v>
      </c>
      <c r="P100" s="8">
        <v>0</v>
      </c>
      <c r="Q100" s="11">
        <v>0</v>
      </c>
      <c r="R100" s="8">
        <f t="shared" si="119"/>
        <v>227126</v>
      </c>
      <c r="S100" s="11">
        <f t="shared" si="107"/>
        <v>39477012</v>
      </c>
      <c r="T100" t="s">
        <v>60</v>
      </c>
      <c r="W100" s="17">
        <f t="shared" si="120"/>
        <v>4.4424680573778429E-2</v>
      </c>
      <c r="X100" s="17">
        <f t="shared" si="121"/>
        <v>0.95557531942622154</v>
      </c>
      <c r="Y100" s="17">
        <f t="shared" si="122"/>
        <v>0.79901464385407217</v>
      </c>
      <c r="Z100" s="17">
        <f t="shared" si="123"/>
        <v>0.11118498102374894</v>
      </c>
      <c r="AA100" s="17">
        <f t="shared" si="124"/>
        <v>2.5320747074311176E-2</v>
      </c>
      <c r="AB100" s="17">
        <f t="shared" si="125"/>
        <v>0</v>
      </c>
      <c r="AD100" s="30">
        <v>115281.97</v>
      </c>
      <c r="AE100" s="30">
        <f t="shared" si="108"/>
        <v>0.63524286824225662</v>
      </c>
      <c r="AF100" s="31">
        <v>235482.04499999998</v>
      </c>
      <c r="AG100" s="32">
        <f t="shared" si="109"/>
        <v>7.488233752211383E-3</v>
      </c>
      <c r="AI100" s="2" t="s">
        <v>28</v>
      </c>
      <c r="AJ100" s="2">
        <v>2020</v>
      </c>
      <c r="AK100" s="1">
        <f t="shared" si="126"/>
        <v>10090</v>
      </c>
      <c r="AL100" s="11">
        <f t="shared" si="127"/>
        <v>997402</v>
      </c>
      <c r="AM100" s="1">
        <f t="shared" si="128"/>
        <v>181477</v>
      </c>
      <c r="AN100" s="11">
        <f t="shared" si="110"/>
        <v>31446941</v>
      </c>
      <c r="AO100" s="8">
        <f t="shared" si="111"/>
        <v>25253</v>
      </c>
      <c r="AP100" s="11">
        <f t="shared" si="112"/>
        <v>5408472</v>
      </c>
      <c r="AQ100" s="8">
        <f t="shared" si="113"/>
        <v>5751</v>
      </c>
      <c r="AR100" s="11">
        <f t="shared" si="114"/>
        <v>928512</v>
      </c>
      <c r="AS100" s="8">
        <f t="shared" si="115"/>
        <v>0</v>
      </c>
      <c r="AT100" s="11">
        <f t="shared" si="116"/>
        <v>0</v>
      </c>
      <c r="AU100" s="8">
        <f t="shared" si="129"/>
        <v>222571</v>
      </c>
      <c r="AV100" s="11">
        <f t="shared" si="117"/>
        <v>38781327</v>
      </c>
      <c r="AW100" t="str">
        <f t="shared" si="130"/>
        <v>LEP</v>
      </c>
      <c r="AX100" s="37">
        <f t="shared" si="131"/>
        <v>-4555</v>
      </c>
      <c r="AY100" s="37">
        <f t="shared" si="118"/>
        <v>-695685</v>
      </c>
    </row>
    <row r="101" spans="1:51" x14ac:dyDescent="0.25">
      <c r="B101" s="2" t="s">
        <v>29</v>
      </c>
      <c r="C101" s="2">
        <v>2020</v>
      </c>
      <c r="D101" s="1">
        <v>10273</v>
      </c>
      <c r="E101" s="11">
        <v>932514</v>
      </c>
      <c r="F101" s="1">
        <v>5134</v>
      </c>
      <c r="G101" s="11">
        <v>781155</v>
      </c>
      <c r="H101" s="1">
        <v>1061</v>
      </c>
      <c r="I101" s="11">
        <v>195459</v>
      </c>
      <c r="J101" s="1">
        <v>200016</v>
      </c>
      <c r="K101" s="11">
        <v>34608578</v>
      </c>
      <c r="L101" s="8">
        <v>27264</v>
      </c>
      <c r="M101" s="11">
        <v>5774945</v>
      </c>
      <c r="N101" s="8">
        <v>7424</v>
      </c>
      <c r="O101" s="11">
        <v>1123793</v>
      </c>
      <c r="P101" s="8">
        <v>0</v>
      </c>
      <c r="Q101" s="11">
        <v>0</v>
      </c>
      <c r="R101" s="8">
        <f t="shared" si="119"/>
        <v>251172</v>
      </c>
      <c r="S101" s="11">
        <f t="shared" si="107"/>
        <v>43416444</v>
      </c>
      <c r="T101" t="s">
        <v>60</v>
      </c>
      <c r="W101" s="17">
        <f t="shared" si="120"/>
        <v>4.5124456547704361E-2</v>
      </c>
      <c r="X101" s="17">
        <f t="shared" si="121"/>
        <v>0.95487554345229564</v>
      </c>
      <c r="Y101" s="17">
        <f t="shared" si="122"/>
        <v>0.79633080120395583</v>
      </c>
      <c r="Z101" s="17">
        <f t="shared" si="123"/>
        <v>0.1085471310496393</v>
      </c>
      <c r="AA101" s="17">
        <f t="shared" si="124"/>
        <v>2.955743474591117E-2</v>
      </c>
      <c r="AB101" s="17">
        <f t="shared" si="125"/>
        <v>0</v>
      </c>
      <c r="AD101" s="30">
        <v>126445.46</v>
      </c>
      <c r="AE101" s="30">
        <f t="shared" si="108"/>
        <v>0.63217672586193108</v>
      </c>
      <c r="AF101" s="31">
        <v>262155.41000000003</v>
      </c>
      <c r="AG101" s="32">
        <f t="shared" si="109"/>
        <v>7.5748679994884511E-3</v>
      </c>
      <c r="AI101" s="2" t="s">
        <v>29</v>
      </c>
      <c r="AJ101" s="2">
        <v>2020</v>
      </c>
      <c r="AK101" s="1">
        <f t="shared" si="126"/>
        <v>11334</v>
      </c>
      <c r="AL101" s="11">
        <f t="shared" si="127"/>
        <v>1127973</v>
      </c>
      <c r="AM101" s="1">
        <f t="shared" si="128"/>
        <v>200016</v>
      </c>
      <c r="AN101" s="11">
        <f t="shared" si="110"/>
        <v>34608578</v>
      </c>
      <c r="AO101" s="8">
        <f t="shared" si="111"/>
        <v>27264</v>
      </c>
      <c r="AP101" s="11">
        <f t="shared" si="112"/>
        <v>5774945</v>
      </c>
      <c r="AQ101" s="8">
        <f t="shared" si="113"/>
        <v>7424</v>
      </c>
      <c r="AR101" s="11">
        <f t="shared" si="114"/>
        <v>1123793</v>
      </c>
      <c r="AS101" s="8">
        <f t="shared" si="115"/>
        <v>0</v>
      </c>
      <c r="AT101" s="11">
        <f t="shared" si="116"/>
        <v>0</v>
      </c>
      <c r="AU101" s="8">
        <f t="shared" si="129"/>
        <v>246038</v>
      </c>
      <c r="AV101" s="11">
        <f t="shared" si="117"/>
        <v>42635289</v>
      </c>
      <c r="AW101" t="str">
        <f t="shared" si="130"/>
        <v>LEP</v>
      </c>
      <c r="AX101" s="37">
        <f t="shared" si="131"/>
        <v>-5134</v>
      </c>
      <c r="AY101" s="37">
        <f t="shared" si="118"/>
        <v>-781155</v>
      </c>
    </row>
    <row r="102" spans="1:51" x14ac:dyDescent="0.25">
      <c r="B102" s="2" t="s">
        <v>30</v>
      </c>
      <c r="C102" s="2">
        <v>2020</v>
      </c>
      <c r="D102" s="1">
        <v>10045</v>
      </c>
      <c r="E102" s="11">
        <v>886093</v>
      </c>
      <c r="F102" s="1">
        <v>4595</v>
      </c>
      <c r="G102" s="11">
        <v>694564</v>
      </c>
      <c r="H102" s="1">
        <v>984</v>
      </c>
      <c r="I102" s="11">
        <v>180416</v>
      </c>
      <c r="J102" s="1">
        <v>192651</v>
      </c>
      <c r="K102" s="11">
        <v>33337218</v>
      </c>
      <c r="L102" s="8">
        <v>26139</v>
      </c>
      <c r="M102" s="11">
        <v>5547232</v>
      </c>
      <c r="N102" s="8">
        <v>7061</v>
      </c>
      <c r="O102" s="11">
        <v>1052433</v>
      </c>
      <c r="P102" s="8">
        <v>0</v>
      </c>
      <c r="Q102" s="11">
        <v>0</v>
      </c>
      <c r="R102" s="8">
        <f t="shared" si="119"/>
        <v>241475</v>
      </c>
      <c r="S102" s="11">
        <f t="shared" si="107"/>
        <v>41697956</v>
      </c>
      <c r="T102" t="s">
        <v>60</v>
      </c>
      <c r="W102" s="17">
        <f t="shared" si="120"/>
        <v>4.5673465162025056E-2</v>
      </c>
      <c r="X102" s="17">
        <f t="shared" si="121"/>
        <v>0.95432653483797492</v>
      </c>
      <c r="Y102" s="17">
        <f t="shared" si="122"/>
        <v>0.79780929702867787</v>
      </c>
      <c r="Z102" s="17">
        <f t="shared" si="123"/>
        <v>0.10824723056216999</v>
      </c>
      <c r="AA102" s="17">
        <f t="shared" si="124"/>
        <v>2.9241122269386063E-2</v>
      </c>
      <c r="AB102" s="17">
        <f t="shared" si="125"/>
        <v>0</v>
      </c>
      <c r="AD102" s="30">
        <v>121549.21</v>
      </c>
      <c r="AE102" s="30">
        <f t="shared" si="108"/>
        <v>0.63092955655563687</v>
      </c>
      <c r="AF102" s="31">
        <v>252006.94500000001</v>
      </c>
      <c r="AG102" s="32">
        <f t="shared" si="109"/>
        <v>7.5593273859864375E-3</v>
      </c>
      <c r="AI102" s="2" t="s">
        <v>30</v>
      </c>
      <c r="AJ102" s="2">
        <v>2020</v>
      </c>
      <c r="AK102" s="1">
        <f t="shared" si="126"/>
        <v>11029</v>
      </c>
      <c r="AL102" s="11">
        <f t="shared" si="127"/>
        <v>1066509</v>
      </c>
      <c r="AM102" s="1">
        <f t="shared" si="128"/>
        <v>192651</v>
      </c>
      <c r="AN102" s="11">
        <f t="shared" si="110"/>
        <v>33337218</v>
      </c>
      <c r="AO102" s="8">
        <f t="shared" si="111"/>
        <v>26139</v>
      </c>
      <c r="AP102" s="11">
        <f t="shared" si="112"/>
        <v>5547232</v>
      </c>
      <c r="AQ102" s="8">
        <f t="shared" si="113"/>
        <v>7061</v>
      </c>
      <c r="AR102" s="11">
        <f t="shared" si="114"/>
        <v>1052433</v>
      </c>
      <c r="AS102" s="8">
        <f t="shared" si="115"/>
        <v>0</v>
      </c>
      <c r="AT102" s="11">
        <f t="shared" si="116"/>
        <v>0</v>
      </c>
      <c r="AU102" s="8">
        <f t="shared" si="129"/>
        <v>236880</v>
      </c>
      <c r="AV102" s="11">
        <f t="shared" si="117"/>
        <v>41003392</v>
      </c>
      <c r="AW102" t="str">
        <f t="shared" si="130"/>
        <v>LEP</v>
      </c>
      <c r="AX102" s="37">
        <f t="shared" si="131"/>
        <v>-4595</v>
      </c>
      <c r="AY102" s="37">
        <f t="shared" si="118"/>
        <v>-694564</v>
      </c>
    </row>
    <row r="103" spans="1:51" x14ac:dyDescent="0.25">
      <c r="B103" s="2" t="s">
        <v>31</v>
      </c>
      <c r="C103" s="2">
        <v>2020</v>
      </c>
      <c r="D103" s="1">
        <v>12660</v>
      </c>
      <c r="E103" s="11">
        <v>1108737</v>
      </c>
      <c r="F103" s="1">
        <v>5309</v>
      </c>
      <c r="G103" s="11">
        <v>781783</v>
      </c>
      <c r="H103" s="1">
        <v>1148</v>
      </c>
      <c r="I103" s="11">
        <v>207338</v>
      </c>
      <c r="J103" s="1">
        <v>205392</v>
      </c>
      <c r="K103" s="11">
        <v>34726872</v>
      </c>
      <c r="L103" s="8">
        <v>26732</v>
      </c>
      <c r="M103" s="11">
        <v>5641365</v>
      </c>
      <c r="N103" s="8">
        <v>7566</v>
      </c>
      <c r="O103" s="11">
        <v>1064874</v>
      </c>
      <c r="P103" s="8">
        <v>0</v>
      </c>
      <c r="Q103" s="11">
        <v>0</v>
      </c>
      <c r="R103" s="8">
        <f t="shared" si="119"/>
        <v>258807</v>
      </c>
      <c r="S103" s="11">
        <f t="shared" si="107"/>
        <v>43530969</v>
      </c>
      <c r="T103" t="s">
        <v>60</v>
      </c>
      <c r="W103" s="17">
        <f t="shared" si="120"/>
        <v>5.3352498193634641E-2</v>
      </c>
      <c r="X103" s="17">
        <f t="shared" si="121"/>
        <v>0.94664750180636537</v>
      </c>
      <c r="Y103" s="17">
        <f t="shared" si="122"/>
        <v>0.79361068286406478</v>
      </c>
      <c r="Z103" s="17">
        <f t="shared" si="123"/>
        <v>0.10328932370453658</v>
      </c>
      <c r="AA103" s="17">
        <f t="shared" si="124"/>
        <v>2.9234139725741577E-2</v>
      </c>
      <c r="AB103" s="17">
        <f t="shared" si="125"/>
        <v>0</v>
      </c>
      <c r="AD103" s="30">
        <v>129182.61</v>
      </c>
      <c r="AE103" s="30">
        <f t="shared" si="108"/>
        <v>0.62895638583781255</v>
      </c>
      <c r="AF103" s="31">
        <v>262687.57</v>
      </c>
      <c r="AG103" s="32">
        <f t="shared" si="109"/>
        <v>7.5643890414316614E-3</v>
      </c>
      <c r="AI103" s="2" t="s">
        <v>31</v>
      </c>
      <c r="AJ103" s="2">
        <v>2020</v>
      </c>
      <c r="AK103" s="1">
        <f t="shared" si="126"/>
        <v>13808</v>
      </c>
      <c r="AL103" s="11">
        <f t="shared" si="127"/>
        <v>1316075</v>
      </c>
      <c r="AM103" s="1">
        <f t="shared" si="128"/>
        <v>205392</v>
      </c>
      <c r="AN103" s="11">
        <f t="shared" si="110"/>
        <v>34726872</v>
      </c>
      <c r="AO103" s="8">
        <f t="shared" si="111"/>
        <v>26732</v>
      </c>
      <c r="AP103" s="11">
        <f t="shared" si="112"/>
        <v>5641365</v>
      </c>
      <c r="AQ103" s="8">
        <f t="shared" si="113"/>
        <v>7566</v>
      </c>
      <c r="AR103" s="11">
        <f t="shared" si="114"/>
        <v>1064874</v>
      </c>
      <c r="AS103" s="8">
        <f t="shared" si="115"/>
        <v>0</v>
      </c>
      <c r="AT103" s="11">
        <f t="shared" si="116"/>
        <v>0</v>
      </c>
      <c r="AU103" s="8">
        <f t="shared" si="129"/>
        <v>253498</v>
      </c>
      <c r="AV103" s="11">
        <f t="shared" si="117"/>
        <v>42749186</v>
      </c>
      <c r="AW103" t="str">
        <f t="shared" si="130"/>
        <v>LEP</v>
      </c>
      <c r="AX103" s="37">
        <f t="shared" si="131"/>
        <v>-5309</v>
      </c>
      <c r="AY103" s="37">
        <f t="shared" si="118"/>
        <v>-781783</v>
      </c>
    </row>
    <row r="104" spans="1:51" x14ac:dyDescent="0.25">
      <c r="W104" s="18"/>
      <c r="X104" s="19"/>
      <c r="Y104" s="18"/>
      <c r="Z104" s="18"/>
      <c r="AA104" s="18"/>
      <c r="AB104" s="18"/>
      <c r="AL104" s="9"/>
      <c r="AN104" s="9"/>
      <c r="AP104" s="9"/>
      <c r="AR104" s="9"/>
      <c r="AS104" s="9"/>
      <c r="AT104" s="9"/>
      <c r="AV104" s="9"/>
    </row>
    <row r="105" spans="1:51" x14ac:dyDescent="0.25">
      <c r="B105" s="3" t="s">
        <v>12</v>
      </c>
      <c r="C105" s="3"/>
      <c r="D105" s="4">
        <f t="shared" ref="D105:S105" si="132">SUM(D92:D104)</f>
        <v>100783</v>
      </c>
      <c r="E105" s="12">
        <f t="shared" si="132"/>
        <v>8973175</v>
      </c>
      <c r="F105" s="4">
        <f t="shared" si="132"/>
        <v>51212</v>
      </c>
      <c r="G105" s="12">
        <f t="shared" si="132"/>
        <v>7883029</v>
      </c>
      <c r="H105" s="4">
        <f t="shared" si="132"/>
        <v>11907</v>
      </c>
      <c r="I105" s="12">
        <f t="shared" si="132"/>
        <v>2100253</v>
      </c>
      <c r="J105" s="4">
        <f t="shared" si="132"/>
        <v>2123655</v>
      </c>
      <c r="K105" s="12">
        <f t="shared" si="132"/>
        <v>368216147</v>
      </c>
      <c r="L105" s="4">
        <f t="shared" si="132"/>
        <v>304543</v>
      </c>
      <c r="M105" s="12">
        <f t="shared" si="132"/>
        <v>65140634</v>
      </c>
      <c r="N105" s="4">
        <f t="shared" si="132"/>
        <v>69898</v>
      </c>
      <c r="O105" s="12">
        <f t="shared" si="132"/>
        <v>11265822</v>
      </c>
      <c r="P105" s="4">
        <f t="shared" si="132"/>
        <v>0</v>
      </c>
      <c r="Q105" s="12">
        <f t="shared" si="132"/>
        <v>0</v>
      </c>
      <c r="R105" s="4">
        <f t="shared" si="132"/>
        <v>2661998</v>
      </c>
      <c r="S105" s="12">
        <f t="shared" si="132"/>
        <v>463579060</v>
      </c>
      <c r="W105" s="16">
        <f>+(D105+H105)/R105</f>
        <v>4.2332864262106883E-2</v>
      </c>
      <c r="X105" s="16">
        <f>1-W105</f>
        <v>0.95766713573789308</v>
      </c>
      <c r="Y105" s="16">
        <f>+J105/R105</f>
        <v>0.79776731612871232</v>
      </c>
      <c r="Z105" s="16">
        <f>+L105/R105</f>
        <v>0.11440391765884121</v>
      </c>
      <c r="AA105" s="16">
        <f>+N105/R105</f>
        <v>2.6257720704523445E-2</v>
      </c>
      <c r="AB105" s="16">
        <f>+P105/R105</f>
        <v>0</v>
      </c>
      <c r="AD105" s="12">
        <f>AVERAGE(AD92:AD104)</f>
        <v>112233.36500000001</v>
      </c>
      <c r="AE105" s="12">
        <f t="shared" ref="AE105" si="133">AVERAGE(AE92:AE104)</f>
        <v>0.63400168227815346</v>
      </c>
      <c r="AF105" s="12">
        <f t="shared" ref="AF105" si="134">AVERAGE(AF92:AF104)</f>
        <v>231051.35749999995</v>
      </c>
      <c r="AG105" s="16">
        <f t="shared" ref="AG105" si="135">AVERAGE(AG92:AG104)</f>
        <v>7.5372420580406925E-3</v>
      </c>
      <c r="AI105" s="3" t="s">
        <v>12</v>
      </c>
      <c r="AJ105" s="3"/>
      <c r="AK105" s="4">
        <f t="shared" ref="AK105:AV105" si="136">SUM(AK92:AK104)</f>
        <v>112690</v>
      </c>
      <c r="AL105" s="12">
        <f t="shared" si="136"/>
        <v>11073428</v>
      </c>
      <c r="AM105" s="4">
        <f t="shared" si="136"/>
        <v>2123655</v>
      </c>
      <c r="AN105" s="12">
        <f t="shared" si="136"/>
        <v>368216147</v>
      </c>
      <c r="AO105" s="4">
        <f t="shared" si="136"/>
        <v>304543</v>
      </c>
      <c r="AP105" s="12">
        <f t="shared" si="136"/>
        <v>65140634</v>
      </c>
      <c r="AQ105" s="4">
        <f t="shared" si="136"/>
        <v>69898</v>
      </c>
      <c r="AR105" s="12">
        <f t="shared" si="136"/>
        <v>11265822</v>
      </c>
      <c r="AS105" s="4">
        <f t="shared" si="136"/>
        <v>0</v>
      </c>
      <c r="AT105" s="12">
        <f t="shared" si="136"/>
        <v>0</v>
      </c>
      <c r="AU105" s="4">
        <f t="shared" si="136"/>
        <v>2610786</v>
      </c>
      <c r="AV105" s="12">
        <f t="shared" si="136"/>
        <v>455696031</v>
      </c>
    </row>
    <row r="106" spans="1:51" x14ac:dyDescent="0.25">
      <c r="L106" s="28">
        <f>AVERAGE(L92:L101)</f>
        <v>25167.200000000001</v>
      </c>
      <c r="M106" s="28">
        <f>AVERAGE(M92:M101)</f>
        <v>5395203.7000000002</v>
      </c>
      <c r="R106" s="28">
        <f>AVERAGE(R92:R101)</f>
        <v>216171.6</v>
      </c>
      <c r="S106" s="28">
        <f>AVERAGE(S92:S101)</f>
        <v>37835013.5</v>
      </c>
    </row>
    <row r="107" spans="1:51" x14ac:dyDescent="0.25">
      <c r="B107" s="5" t="s">
        <v>14</v>
      </c>
      <c r="L107" s="28"/>
      <c r="M107" s="28"/>
      <c r="R107" s="44">
        <f>+L106/R106</f>
        <v>0.11642232374650509</v>
      </c>
      <c r="S107" s="44">
        <f>+M106/S106</f>
        <v>0.14259817034292852</v>
      </c>
    </row>
    <row r="108" spans="1:51" x14ac:dyDescent="0.25">
      <c r="B108" s="5" t="s">
        <v>35</v>
      </c>
      <c r="L108" s="26"/>
      <c r="M108" s="26"/>
      <c r="N108" s="9"/>
      <c r="P108"/>
    </row>
    <row r="109" spans="1:51" x14ac:dyDescent="0.25">
      <c r="B109" s="5"/>
      <c r="N109" s="9"/>
      <c r="P109"/>
    </row>
    <row r="110" spans="1:51" x14ac:dyDescent="0.25">
      <c r="D110" s="89" t="s">
        <v>15</v>
      </c>
      <c r="E110" s="90"/>
      <c r="F110" s="89" t="s">
        <v>71</v>
      </c>
      <c r="G110" s="90"/>
      <c r="H110" s="89" t="s">
        <v>16</v>
      </c>
      <c r="I110" s="90"/>
      <c r="J110" s="89" t="s">
        <v>17</v>
      </c>
      <c r="K110" s="93"/>
      <c r="L110" s="89" t="s">
        <v>18</v>
      </c>
      <c r="M110" s="93"/>
      <c r="N110" s="89" t="s">
        <v>13</v>
      </c>
      <c r="O110" s="93"/>
      <c r="P110" s="89" t="s">
        <v>34</v>
      </c>
      <c r="Q110" s="93"/>
      <c r="R110" s="89" t="s">
        <v>46</v>
      </c>
      <c r="S110" s="90"/>
      <c r="T110" s="89" t="s">
        <v>12</v>
      </c>
      <c r="U110" s="93"/>
      <c r="W110" s="94" t="s">
        <v>42</v>
      </c>
      <c r="X110" s="94"/>
      <c r="Y110" s="94"/>
      <c r="Z110" s="94"/>
      <c r="AA110" s="94"/>
      <c r="AB110" s="94"/>
      <c r="AK110" s="89" t="s">
        <v>69</v>
      </c>
      <c r="AL110" s="90"/>
      <c r="AM110" s="89" t="s">
        <v>17</v>
      </c>
      <c r="AN110" s="93"/>
      <c r="AO110" s="89" t="s">
        <v>18</v>
      </c>
      <c r="AP110" s="93"/>
      <c r="AQ110" s="89" t="s">
        <v>13</v>
      </c>
      <c r="AR110" s="93"/>
      <c r="AS110" s="89" t="s">
        <v>34</v>
      </c>
      <c r="AT110" s="93"/>
      <c r="AU110" s="89" t="s">
        <v>12</v>
      </c>
      <c r="AV110" s="93"/>
    </row>
    <row r="111" spans="1:5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W111" s="7" t="s">
        <v>38</v>
      </c>
      <c r="X111" s="10" t="s">
        <v>39</v>
      </c>
      <c r="Y111" s="10" t="s">
        <v>40</v>
      </c>
      <c r="Z111" s="10" t="s">
        <v>18</v>
      </c>
      <c r="AA111" s="10" t="s">
        <v>13</v>
      </c>
      <c r="AB111" s="10" t="s">
        <v>41</v>
      </c>
      <c r="AD111" s="33">
        <v>2019</v>
      </c>
      <c r="AE111" s="34">
        <v>0.633367275624798</v>
      </c>
      <c r="AF111" s="33">
        <v>2019</v>
      </c>
      <c r="AG111" s="35">
        <v>7.5505141054642497E-3</v>
      </c>
      <c r="AI111" s="7" t="s">
        <v>0</v>
      </c>
      <c r="AJ111" s="7" t="s">
        <v>1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  <c r="AU111" s="7" t="s">
        <v>2</v>
      </c>
      <c r="AV111" s="10" t="s">
        <v>3</v>
      </c>
    </row>
    <row r="112" spans="1:51" x14ac:dyDescent="0.25">
      <c r="R112" s="9"/>
      <c r="U112" s="9"/>
      <c r="X112" s="9"/>
      <c r="AL112" s="9"/>
      <c r="AN112" s="9"/>
      <c r="AP112" s="9"/>
      <c r="AR112" s="9"/>
      <c r="AS112" s="9"/>
      <c r="AT112" s="9"/>
      <c r="AV112" s="9"/>
    </row>
    <row r="113" spans="2:52" x14ac:dyDescent="0.25">
      <c r="B113" s="2" t="s">
        <v>5</v>
      </c>
      <c r="C113" s="2">
        <v>2020</v>
      </c>
      <c r="D113" s="1">
        <v>12867</v>
      </c>
      <c r="E113" s="11">
        <v>1129364</v>
      </c>
      <c r="F113" s="1">
        <v>9771</v>
      </c>
      <c r="G113" s="11">
        <v>1029132</v>
      </c>
      <c r="H113" s="1">
        <v>1226</v>
      </c>
      <c r="I113" s="11">
        <v>104523</v>
      </c>
      <c r="J113" s="1">
        <v>245425</v>
      </c>
      <c r="K113" s="11">
        <v>33862534</v>
      </c>
      <c r="L113" s="1">
        <v>70510</v>
      </c>
      <c r="M113" s="11">
        <v>9313011</v>
      </c>
      <c r="N113" s="1">
        <v>19267</v>
      </c>
      <c r="O113" s="11">
        <v>2409274</v>
      </c>
      <c r="P113" s="1">
        <v>3</v>
      </c>
      <c r="Q113" s="11">
        <v>317</v>
      </c>
      <c r="R113" s="1">
        <v>38740</v>
      </c>
      <c r="S113" s="11">
        <v>2189928</v>
      </c>
      <c r="T113" s="1">
        <f>N113+L113+J113+H113+D113+P113+R113+F113</f>
        <v>397809</v>
      </c>
      <c r="U113" s="11">
        <f t="shared" ref="U113:U124" si="137">O113+M113+K113+I113+E113+Q113+S113+G113</f>
        <v>50038083</v>
      </c>
      <c r="V113" t="s">
        <v>61</v>
      </c>
      <c r="W113" s="17">
        <f t="shared" ref="W113:W124" si="138">+(D113+H113)/R113</f>
        <v>0.36378420237480641</v>
      </c>
      <c r="X113" s="17">
        <f t="shared" ref="X113:X124" si="139">1-W113</f>
        <v>0.63621579762519365</v>
      </c>
      <c r="Y113" s="17">
        <f t="shared" ref="Y113:Y124" si="140">+J113/R113</f>
        <v>6.3351832731027358</v>
      </c>
      <c r="Z113" s="17">
        <f t="shared" ref="Z113:Z124" si="141">+L113/R113</f>
        <v>1.8200826019617966</v>
      </c>
      <c r="AA113" s="17">
        <f t="shared" ref="AA113:AA124" si="142">+N113/R113</f>
        <v>0.49734124935467217</v>
      </c>
      <c r="AB113" s="17">
        <f t="shared" ref="AB113:AB124" si="143">+P113/R113</f>
        <v>7.743933918430563E-5</v>
      </c>
      <c r="AD113" s="30">
        <v>156272.91</v>
      </c>
      <c r="AE113" s="30">
        <f t="shared" ref="AE113:AE124" si="144">+AD113/J113</f>
        <v>0.63674405622899055</v>
      </c>
      <c r="AF113" s="31">
        <v>257873.70500000002</v>
      </c>
      <c r="AG113" s="32">
        <f t="shared" ref="AG113:AG124" si="145">+AF113/K113</f>
        <v>7.6153103308807318E-3</v>
      </c>
      <c r="AI113" s="2" t="s">
        <v>5</v>
      </c>
      <c r="AJ113" s="2">
        <v>2020</v>
      </c>
      <c r="AK113" s="1">
        <f>R113+D113+H113</f>
        <v>52833</v>
      </c>
      <c r="AL113" s="11">
        <f t="shared" ref="AL113:AL124" si="146">S113+E113+I113</f>
        <v>3423815</v>
      </c>
      <c r="AM113" s="1">
        <f>+J113</f>
        <v>245425</v>
      </c>
      <c r="AN113" s="11">
        <f t="shared" ref="AN113:AN124" si="147">+K113</f>
        <v>33862534</v>
      </c>
      <c r="AO113" s="8">
        <f t="shared" ref="AO113:AO124" si="148">+L113</f>
        <v>70510</v>
      </c>
      <c r="AP113" s="11">
        <f t="shared" ref="AP113:AP124" si="149">+M113</f>
        <v>9313011</v>
      </c>
      <c r="AQ113" s="8">
        <f t="shared" ref="AQ113:AQ124" si="150">+N113</f>
        <v>19267</v>
      </c>
      <c r="AR113" s="11">
        <f t="shared" ref="AR113:AR124" si="151">+O113</f>
        <v>2409274</v>
      </c>
      <c r="AS113" s="8">
        <f t="shared" ref="AS113:AS124" si="152">+P113</f>
        <v>3</v>
      </c>
      <c r="AT113" s="11">
        <f t="shared" ref="AT113:AT124" si="153">+Q113</f>
        <v>317</v>
      </c>
      <c r="AU113" s="8">
        <f>AS113+AQ113+AO113+AM113+AK113</f>
        <v>388038</v>
      </c>
      <c r="AV113" s="11">
        <f t="shared" ref="AV113:AV124" si="154">AT113+AR113+AP113+AN113+AL113</f>
        <v>49008951</v>
      </c>
      <c r="AW113" t="str">
        <f>+V113</f>
        <v>GANA</v>
      </c>
      <c r="AX113" s="37">
        <f>+AU113-T113</f>
        <v>-9771</v>
      </c>
      <c r="AY113" s="37">
        <f t="shared" ref="AY113:AY124" si="155">+AV113-U113</f>
        <v>-1029132</v>
      </c>
    </row>
    <row r="114" spans="2:52" x14ac:dyDescent="0.25">
      <c r="B114" s="2" t="s">
        <v>6</v>
      </c>
      <c r="C114" s="2">
        <v>2020</v>
      </c>
      <c r="D114" s="1">
        <v>12211</v>
      </c>
      <c r="E114" s="11">
        <v>1137870</v>
      </c>
      <c r="F114" s="1">
        <v>9757</v>
      </c>
      <c r="G114" s="11">
        <v>1081401</v>
      </c>
      <c r="H114" s="1">
        <v>1223</v>
      </c>
      <c r="I114" s="11">
        <v>109429</v>
      </c>
      <c r="J114" s="1">
        <v>231194</v>
      </c>
      <c r="K114" s="11">
        <v>33332067</v>
      </c>
      <c r="L114" s="1">
        <v>66433</v>
      </c>
      <c r="M114" s="11">
        <v>9231845</v>
      </c>
      <c r="N114" s="1">
        <v>18417</v>
      </c>
      <c r="O114" s="11">
        <v>2455677</v>
      </c>
      <c r="P114" s="1">
        <v>1</v>
      </c>
      <c r="Q114" s="11">
        <v>135</v>
      </c>
      <c r="R114" s="1">
        <v>38330</v>
      </c>
      <c r="S114" s="11">
        <v>2348085</v>
      </c>
      <c r="T114" s="1">
        <f t="shared" ref="T114:T124" si="156">N114+L114+J114+H114+D114+P114+R114+F114</f>
        <v>377566</v>
      </c>
      <c r="U114" s="11">
        <f t="shared" si="137"/>
        <v>49696509</v>
      </c>
      <c r="V114" t="s">
        <v>61</v>
      </c>
      <c r="W114" s="17">
        <f t="shared" si="138"/>
        <v>0.35048265066527523</v>
      </c>
      <c r="X114" s="17">
        <f t="shared" si="139"/>
        <v>0.64951734933472483</v>
      </c>
      <c r="Y114" s="17">
        <f t="shared" si="140"/>
        <v>6.0316723193321158</v>
      </c>
      <c r="Z114" s="17">
        <f t="shared" si="141"/>
        <v>1.7331854943908165</v>
      </c>
      <c r="AA114" s="17">
        <f t="shared" si="142"/>
        <v>0.48048525958779026</v>
      </c>
      <c r="AB114" s="17">
        <f t="shared" si="143"/>
        <v>2.6089225150013044E-5</v>
      </c>
      <c r="AD114" s="30">
        <v>145216.16999999998</v>
      </c>
      <c r="AE114" s="30">
        <f t="shared" si="144"/>
        <v>0.62811392164156499</v>
      </c>
      <c r="AF114" s="31">
        <v>254801.8425</v>
      </c>
      <c r="AG114" s="32">
        <f t="shared" si="145"/>
        <v>7.644345683692523E-3</v>
      </c>
      <c r="AI114" s="2" t="s">
        <v>6</v>
      </c>
      <c r="AJ114" s="2">
        <v>2020</v>
      </c>
      <c r="AK114" s="1">
        <f t="shared" ref="AK114:AK124" si="157">R114+D114+H114</f>
        <v>51764</v>
      </c>
      <c r="AL114" s="11">
        <f t="shared" si="146"/>
        <v>3595384</v>
      </c>
      <c r="AM114" s="1">
        <f t="shared" ref="AM114:AM124" si="158">+J114</f>
        <v>231194</v>
      </c>
      <c r="AN114" s="11">
        <f t="shared" si="147"/>
        <v>33332067</v>
      </c>
      <c r="AO114" s="8">
        <f t="shared" si="148"/>
        <v>66433</v>
      </c>
      <c r="AP114" s="11">
        <f t="shared" si="149"/>
        <v>9231845</v>
      </c>
      <c r="AQ114" s="8">
        <f t="shared" si="150"/>
        <v>18417</v>
      </c>
      <c r="AR114" s="11">
        <f t="shared" si="151"/>
        <v>2455677</v>
      </c>
      <c r="AS114" s="8">
        <f t="shared" si="152"/>
        <v>1</v>
      </c>
      <c r="AT114" s="11">
        <f t="shared" si="153"/>
        <v>135</v>
      </c>
      <c r="AU114" s="8">
        <f t="shared" ref="AU114:AU124" si="159">AS114+AQ114+AO114+AM114+AK114</f>
        <v>367809</v>
      </c>
      <c r="AV114" s="11">
        <f t="shared" si="154"/>
        <v>48615108</v>
      </c>
      <c r="AW114" t="str">
        <f t="shared" ref="AW114:AW124" si="160">+V114</f>
        <v>GANA</v>
      </c>
      <c r="AX114" s="37">
        <f t="shared" ref="AX114:AX124" si="161">+AU114-T114</f>
        <v>-9757</v>
      </c>
      <c r="AY114" s="37">
        <f t="shared" si="155"/>
        <v>-1081401</v>
      </c>
    </row>
    <row r="115" spans="2:52" x14ac:dyDescent="0.25">
      <c r="B115" s="2" t="s">
        <v>7</v>
      </c>
      <c r="C115" s="2">
        <v>2020</v>
      </c>
      <c r="D115" s="1">
        <v>11103</v>
      </c>
      <c r="E115" s="11">
        <v>1077521</v>
      </c>
      <c r="F115" s="1">
        <v>9468</v>
      </c>
      <c r="G115" s="11">
        <v>1120662</v>
      </c>
      <c r="H115" s="1">
        <v>999</v>
      </c>
      <c r="I115" s="11">
        <v>93043</v>
      </c>
      <c r="J115" s="1">
        <v>236992</v>
      </c>
      <c r="K115" s="11">
        <v>36334885</v>
      </c>
      <c r="L115" s="1">
        <v>62517</v>
      </c>
      <c r="M115" s="11">
        <v>9021182</v>
      </c>
      <c r="N115" s="1">
        <v>18688</v>
      </c>
      <c r="O115" s="11">
        <v>2630222</v>
      </c>
      <c r="P115" s="1">
        <v>11</v>
      </c>
      <c r="Q115" s="11">
        <v>1140</v>
      </c>
      <c r="R115" s="1">
        <v>31445</v>
      </c>
      <c r="S115" s="11">
        <v>1906765</v>
      </c>
      <c r="T115" s="1">
        <f t="shared" si="156"/>
        <v>371223</v>
      </c>
      <c r="U115" s="11">
        <f t="shared" si="137"/>
        <v>52185420</v>
      </c>
      <c r="V115" t="s">
        <v>61</v>
      </c>
      <c r="W115" s="17">
        <f t="shared" si="138"/>
        <v>0.38486245826045479</v>
      </c>
      <c r="X115" s="17">
        <f t="shared" si="139"/>
        <v>0.61513754173954527</v>
      </c>
      <c r="Y115" s="17">
        <f t="shared" si="140"/>
        <v>7.5367148990300521</v>
      </c>
      <c r="Z115" s="17">
        <f t="shared" si="141"/>
        <v>1.9881380187629194</v>
      </c>
      <c r="AA115" s="17">
        <f t="shared" si="142"/>
        <v>0.59430752106853235</v>
      </c>
      <c r="AB115" s="17">
        <f t="shared" si="143"/>
        <v>3.4981714103991097E-4</v>
      </c>
      <c r="AD115" s="30">
        <v>148443.18</v>
      </c>
      <c r="AE115" s="30">
        <f t="shared" si="144"/>
        <v>0.62636367472319743</v>
      </c>
      <c r="AF115" s="31">
        <v>277977.08999999997</v>
      </c>
      <c r="AG115" s="32">
        <f t="shared" si="145"/>
        <v>7.6504188743132103E-3</v>
      </c>
      <c r="AI115" s="2" t="s">
        <v>7</v>
      </c>
      <c r="AJ115" s="2">
        <v>2020</v>
      </c>
      <c r="AK115" s="1">
        <f t="shared" si="157"/>
        <v>43547</v>
      </c>
      <c r="AL115" s="11">
        <f t="shared" si="146"/>
        <v>3077329</v>
      </c>
      <c r="AM115" s="1">
        <f t="shared" si="158"/>
        <v>236992</v>
      </c>
      <c r="AN115" s="11">
        <f t="shared" si="147"/>
        <v>36334885</v>
      </c>
      <c r="AO115" s="8">
        <f t="shared" si="148"/>
        <v>62517</v>
      </c>
      <c r="AP115" s="11">
        <f t="shared" si="149"/>
        <v>9021182</v>
      </c>
      <c r="AQ115" s="8">
        <f t="shared" si="150"/>
        <v>18688</v>
      </c>
      <c r="AR115" s="11">
        <f t="shared" si="151"/>
        <v>2630222</v>
      </c>
      <c r="AS115" s="8">
        <f t="shared" si="152"/>
        <v>11</v>
      </c>
      <c r="AT115" s="11">
        <f t="shared" si="153"/>
        <v>1140</v>
      </c>
      <c r="AU115" s="8">
        <f t="shared" si="159"/>
        <v>361755</v>
      </c>
      <c r="AV115" s="11">
        <f t="shared" si="154"/>
        <v>51064758</v>
      </c>
      <c r="AW115" t="str">
        <f t="shared" si="160"/>
        <v>GANA</v>
      </c>
      <c r="AX115" s="37">
        <f t="shared" si="161"/>
        <v>-9468</v>
      </c>
      <c r="AY115" s="37">
        <f t="shared" si="155"/>
        <v>-1120662</v>
      </c>
    </row>
    <row r="116" spans="2:52" x14ac:dyDescent="0.25">
      <c r="B116" s="2" t="s">
        <v>8</v>
      </c>
      <c r="C116" s="2">
        <v>2020</v>
      </c>
      <c r="D116" s="1">
        <v>7875</v>
      </c>
      <c r="E116" s="11">
        <v>841506</v>
      </c>
      <c r="F116" s="1">
        <v>5398</v>
      </c>
      <c r="G116" s="11">
        <v>719059</v>
      </c>
      <c r="H116" s="1">
        <v>695</v>
      </c>
      <c r="I116" s="11">
        <v>75485</v>
      </c>
      <c r="J116" s="1">
        <v>166017</v>
      </c>
      <c r="K116" s="11">
        <v>26621336</v>
      </c>
      <c r="L116" s="1">
        <v>29575</v>
      </c>
      <c r="M116" s="11">
        <v>4453726</v>
      </c>
      <c r="N116" s="1">
        <v>14961</v>
      </c>
      <c r="O116" s="11">
        <v>2169516</v>
      </c>
      <c r="P116" s="1">
        <v>1</v>
      </c>
      <c r="Q116" s="11">
        <v>43</v>
      </c>
      <c r="R116" s="1">
        <v>9057</v>
      </c>
      <c r="S116" s="11">
        <v>505024</v>
      </c>
      <c r="T116" s="1">
        <f t="shared" si="156"/>
        <v>233579</v>
      </c>
      <c r="U116" s="11">
        <f t="shared" si="137"/>
        <v>35385695</v>
      </c>
      <c r="V116" t="s">
        <v>61</v>
      </c>
      <c r="W116" s="17">
        <f t="shared" si="138"/>
        <v>0.94622943579551733</v>
      </c>
      <c r="X116" s="17">
        <f t="shared" si="139"/>
        <v>5.3770564204482674E-2</v>
      </c>
      <c r="Y116" s="17">
        <f t="shared" si="140"/>
        <v>18.330241801921165</v>
      </c>
      <c r="Z116" s="17">
        <f t="shared" si="141"/>
        <v>3.2654300541017998</v>
      </c>
      <c r="AA116" s="17">
        <f t="shared" si="142"/>
        <v>1.6518714806227228</v>
      </c>
      <c r="AB116" s="17">
        <f t="shared" si="143"/>
        <v>1.1041183614883516E-4</v>
      </c>
      <c r="AD116" s="30">
        <v>101978.73000000001</v>
      </c>
      <c r="AE116" s="30">
        <f t="shared" si="144"/>
        <v>0.61426679195504086</v>
      </c>
      <c r="AF116" s="31">
        <v>213394.97500000001</v>
      </c>
      <c r="AG116" s="36">
        <f t="shared" si="145"/>
        <v>8.0159378552601569E-3</v>
      </c>
      <c r="AI116" s="2" t="s">
        <v>8</v>
      </c>
      <c r="AJ116" s="2">
        <v>2020</v>
      </c>
      <c r="AK116" s="1">
        <f t="shared" si="157"/>
        <v>17627</v>
      </c>
      <c r="AL116" s="11">
        <f t="shared" si="146"/>
        <v>1422015</v>
      </c>
      <c r="AM116" s="1">
        <f t="shared" si="158"/>
        <v>166017</v>
      </c>
      <c r="AN116" s="11">
        <f t="shared" si="147"/>
        <v>26621336</v>
      </c>
      <c r="AO116" s="8">
        <f t="shared" si="148"/>
        <v>29575</v>
      </c>
      <c r="AP116" s="11">
        <f t="shared" si="149"/>
        <v>4453726</v>
      </c>
      <c r="AQ116" s="8">
        <f t="shared" si="150"/>
        <v>14961</v>
      </c>
      <c r="AR116" s="11">
        <f t="shared" si="151"/>
        <v>2169516</v>
      </c>
      <c r="AS116" s="8">
        <f t="shared" si="152"/>
        <v>1</v>
      </c>
      <c r="AT116" s="11">
        <f t="shared" si="153"/>
        <v>43</v>
      </c>
      <c r="AU116" s="8">
        <f t="shared" si="159"/>
        <v>228181</v>
      </c>
      <c r="AV116" s="11">
        <f t="shared" si="154"/>
        <v>34666636</v>
      </c>
      <c r="AW116" t="str">
        <f t="shared" si="160"/>
        <v>GANA</v>
      </c>
      <c r="AX116" s="37">
        <f t="shared" si="161"/>
        <v>-5398</v>
      </c>
      <c r="AY116" s="37">
        <f t="shared" si="155"/>
        <v>-719059</v>
      </c>
    </row>
    <row r="117" spans="2:52" x14ac:dyDescent="0.25">
      <c r="B117" s="2" t="s">
        <v>9</v>
      </c>
      <c r="C117" s="2">
        <v>2020</v>
      </c>
      <c r="D117" s="1">
        <v>17764</v>
      </c>
      <c r="E117" s="11">
        <v>1673356</v>
      </c>
      <c r="F117" s="1">
        <v>5869</v>
      </c>
      <c r="G117" s="11">
        <v>742868</v>
      </c>
      <c r="H117" s="1">
        <v>594</v>
      </c>
      <c r="I117" s="11">
        <v>58370</v>
      </c>
      <c r="J117" s="1">
        <v>163465</v>
      </c>
      <c r="K117" s="11">
        <v>24920975</v>
      </c>
      <c r="L117" s="1">
        <v>28276</v>
      </c>
      <c r="M117" s="11">
        <v>4401235</v>
      </c>
      <c r="N117" s="1">
        <v>15357</v>
      </c>
      <c r="O117" s="11">
        <v>2187294</v>
      </c>
      <c r="P117" s="1">
        <v>0</v>
      </c>
      <c r="Q117" s="11">
        <v>0</v>
      </c>
      <c r="R117" s="1">
        <v>8186</v>
      </c>
      <c r="S117" s="11">
        <v>454939</v>
      </c>
      <c r="T117" s="1">
        <f t="shared" si="156"/>
        <v>239511</v>
      </c>
      <c r="U117" s="11">
        <f t="shared" si="137"/>
        <v>34439037</v>
      </c>
      <c r="V117" t="s">
        <v>61</v>
      </c>
      <c r="W117" s="17">
        <f t="shared" si="138"/>
        <v>2.2426093330075738</v>
      </c>
      <c r="X117" s="17">
        <f t="shared" si="139"/>
        <v>-1.2426093330075738</v>
      </c>
      <c r="Y117" s="17">
        <f t="shared" si="140"/>
        <v>19.968849254825312</v>
      </c>
      <c r="Z117" s="17">
        <f t="shared" si="141"/>
        <v>3.454190080625458</v>
      </c>
      <c r="AA117" s="17">
        <f t="shared" si="142"/>
        <v>1.8760078182262399</v>
      </c>
      <c r="AB117" s="17">
        <f t="shared" si="143"/>
        <v>0</v>
      </c>
      <c r="AD117" s="30">
        <v>98268.41</v>
      </c>
      <c r="AE117" s="30">
        <f t="shared" si="144"/>
        <v>0.60115871899183315</v>
      </c>
      <c r="AF117" s="31">
        <v>208283.61250000002</v>
      </c>
      <c r="AG117" s="36">
        <f t="shared" si="145"/>
        <v>8.3577633900760312E-3</v>
      </c>
      <c r="AI117" s="2" t="s">
        <v>9</v>
      </c>
      <c r="AJ117" s="2">
        <v>2020</v>
      </c>
      <c r="AK117" s="1">
        <f t="shared" si="157"/>
        <v>26544</v>
      </c>
      <c r="AL117" s="11">
        <f t="shared" si="146"/>
        <v>2186665</v>
      </c>
      <c r="AM117" s="1">
        <f t="shared" si="158"/>
        <v>163465</v>
      </c>
      <c r="AN117" s="11">
        <f t="shared" si="147"/>
        <v>24920975</v>
      </c>
      <c r="AO117" s="8">
        <f t="shared" si="148"/>
        <v>28276</v>
      </c>
      <c r="AP117" s="11">
        <f t="shared" si="149"/>
        <v>4401235</v>
      </c>
      <c r="AQ117" s="8">
        <f t="shared" si="150"/>
        <v>15357</v>
      </c>
      <c r="AR117" s="11">
        <f t="shared" si="151"/>
        <v>2187294</v>
      </c>
      <c r="AS117" s="8">
        <f t="shared" si="152"/>
        <v>0</v>
      </c>
      <c r="AT117" s="11">
        <f t="shared" si="153"/>
        <v>0</v>
      </c>
      <c r="AU117" s="8">
        <f t="shared" si="159"/>
        <v>233642</v>
      </c>
      <c r="AV117" s="11">
        <f t="shared" si="154"/>
        <v>33696169</v>
      </c>
      <c r="AW117" t="str">
        <f t="shared" si="160"/>
        <v>GANA</v>
      </c>
      <c r="AX117" s="37">
        <f t="shared" si="161"/>
        <v>-5869</v>
      </c>
      <c r="AY117" s="37">
        <f t="shared" si="155"/>
        <v>-742868</v>
      </c>
    </row>
    <row r="118" spans="2:52" x14ac:dyDescent="0.25">
      <c r="B118" s="2" t="s">
        <v>10</v>
      </c>
      <c r="C118" s="2">
        <v>2020</v>
      </c>
      <c r="D118" s="1">
        <v>20994</v>
      </c>
      <c r="E118" s="11">
        <v>1917182</v>
      </c>
      <c r="F118" s="1">
        <v>7687</v>
      </c>
      <c r="G118" s="11">
        <v>893380</v>
      </c>
      <c r="H118" s="1">
        <v>768</v>
      </c>
      <c r="I118" s="11">
        <v>71370</v>
      </c>
      <c r="J118" s="1">
        <v>194286</v>
      </c>
      <c r="K118" s="11">
        <v>29370758</v>
      </c>
      <c r="L118" s="1">
        <v>31799</v>
      </c>
      <c r="M118" s="11">
        <v>4654684</v>
      </c>
      <c r="N118" s="1">
        <v>17378</v>
      </c>
      <c r="O118" s="11">
        <v>2411517</v>
      </c>
      <c r="P118" s="1">
        <v>0</v>
      </c>
      <c r="Q118" s="11">
        <v>0</v>
      </c>
      <c r="R118" s="1">
        <v>21308</v>
      </c>
      <c r="S118" s="11">
        <v>1234327</v>
      </c>
      <c r="T118" s="1">
        <f t="shared" si="156"/>
        <v>294220</v>
      </c>
      <c r="U118" s="11">
        <f t="shared" si="137"/>
        <v>40553218</v>
      </c>
      <c r="V118" t="s">
        <v>61</v>
      </c>
      <c r="W118" s="17">
        <f t="shared" si="138"/>
        <v>1.0213065515299418</v>
      </c>
      <c r="X118" s="17">
        <f t="shared" si="139"/>
        <v>-2.1306551529941764E-2</v>
      </c>
      <c r="Y118" s="17">
        <f t="shared" si="140"/>
        <v>9.1179838558287969</v>
      </c>
      <c r="Z118" s="17">
        <f t="shared" si="141"/>
        <v>1.4923502909705275</v>
      </c>
      <c r="AA118" s="17">
        <f t="shared" si="142"/>
        <v>0.81556223014830109</v>
      </c>
      <c r="AB118" s="17">
        <f t="shared" si="143"/>
        <v>0</v>
      </c>
      <c r="AD118" s="30">
        <v>120173.73</v>
      </c>
      <c r="AE118" s="30">
        <f t="shared" si="144"/>
        <v>0.61854034773478273</v>
      </c>
      <c r="AF118" s="31">
        <v>230773.715</v>
      </c>
      <c r="AG118" s="32">
        <f t="shared" si="145"/>
        <v>7.857261123461641E-3</v>
      </c>
      <c r="AI118" s="2" t="s">
        <v>10</v>
      </c>
      <c r="AJ118" s="2">
        <v>2020</v>
      </c>
      <c r="AK118" s="1">
        <f t="shared" si="157"/>
        <v>43070</v>
      </c>
      <c r="AL118" s="11">
        <f t="shared" si="146"/>
        <v>3222879</v>
      </c>
      <c r="AM118" s="1">
        <f t="shared" si="158"/>
        <v>194286</v>
      </c>
      <c r="AN118" s="11">
        <f t="shared" si="147"/>
        <v>29370758</v>
      </c>
      <c r="AO118" s="8">
        <f t="shared" si="148"/>
        <v>31799</v>
      </c>
      <c r="AP118" s="11">
        <f t="shared" si="149"/>
        <v>4654684</v>
      </c>
      <c r="AQ118" s="8">
        <f t="shared" si="150"/>
        <v>17378</v>
      </c>
      <c r="AR118" s="11">
        <f t="shared" si="151"/>
        <v>2411517</v>
      </c>
      <c r="AS118" s="8">
        <f t="shared" si="152"/>
        <v>0</v>
      </c>
      <c r="AT118" s="11">
        <f t="shared" si="153"/>
        <v>0</v>
      </c>
      <c r="AU118" s="8">
        <f t="shared" si="159"/>
        <v>286533</v>
      </c>
      <c r="AV118" s="11">
        <f t="shared" si="154"/>
        <v>39659838</v>
      </c>
      <c r="AW118" t="str">
        <f t="shared" si="160"/>
        <v>GANA</v>
      </c>
      <c r="AX118" s="37">
        <f t="shared" si="161"/>
        <v>-7687</v>
      </c>
      <c r="AY118" s="37">
        <f t="shared" si="155"/>
        <v>-893380</v>
      </c>
    </row>
    <row r="119" spans="2:52" x14ac:dyDescent="0.25">
      <c r="B119" s="2" t="s">
        <v>11</v>
      </c>
      <c r="C119" s="2">
        <v>2020</v>
      </c>
      <c r="D119" s="1">
        <v>23580</v>
      </c>
      <c r="E119" s="11">
        <v>2125168</v>
      </c>
      <c r="F119" s="1">
        <v>10956</v>
      </c>
      <c r="G119" s="11">
        <v>1190121</v>
      </c>
      <c r="H119" s="1">
        <v>1058</v>
      </c>
      <c r="I119" s="11">
        <v>111846</v>
      </c>
      <c r="J119" s="1">
        <v>238885</v>
      </c>
      <c r="K119" s="11">
        <v>35459821</v>
      </c>
      <c r="L119" s="1">
        <v>47367</v>
      </c>
      <c r="M119" s="11">
        <v>6374673</v>
      </c>
      <c r="N119" s="1">
        <v>20304</v>
      </c>
      <c r="O119" s="11">
        <v>2811572</v>
      </c>
      <c r="P119" s="1">
        <v>0</v>
      </c>
      <c r="Q119" s="11">
        <v>0</v>
      </c>
      <c r="R119" s="1">
        <v>38950</v>
      </c>
      <c r="S119" s="11">
        <v>2265911</v>
      </c>
      <c r="T119" s="1">
        <f t="shared" si="156"/>
        <v>381100</v>
      </c>
      <c r="U119" s="11">
        <f t="shared" si="137"/>
        <v>50339112</v>
      </c>
      <c r="V119" t="s">
        <v>61</v>
      </c>
      <c r="W119" s="17">
        <f t="shared" si="138"/>
        <v>0.63255455712451858</v>
      </c>
      <c r="X119" s="17">
        <f t="shared" si="139"/>
        <v>0.36744544287548142</v>
      </c>
      <c r="Y119" s="17">
        <f t="shared" si="140"/>
        <v>6.1331193838254174</v>
      </c>
      <c r="Z119" s="17">
        <f t="shared" si="141"/>
        <v>1.2160975609756097</v>
      </c>
      <c r="AA119" s="17">
        <f t="shared" si="142"/>
        <v>0.52128369704749677</v>
      </c>
      <c r="AB119" s="17">
        <f t="shared" si="143"/>
        <v>0</v>
      </c>
      <c r="AD119" s="30">
        <v>149138.47999999998</v>
      </c>
      <c r="AE119" s="30">
        <f t="shared" si="144"/>
        <v>0.62431077715218608</v>
      </c>
      <c r="AF119" s="31">
        <v>269350.18999999994</v>
      </c>
      <c r="AG119" s="32">
        <f t="shared" si="145"/>
        <v>7.595926386656039E-3</v>
      </c>
      <c r="AI119" s="2" t="s">
        <v>11</v>
      </c>
      <c r="AJ119" s="2">
        <v>2020</v>
      </c>
      <c r="AK119" s="1">
        <f t="shared" si="157"/>
        <v>63588</v>
      </c>
      <c r="AL119" s="11">
        <f t="shared" si="146"/>
        <v>4502925</v>
      </c>
      <c r="AM119" s="1">
        <f t="shared" si="158"/>
        <v>238885</v>
      </c>
      <c r="AN119" s="11">
        <f t="shared" si="147"/>
        <v>35459821</v>
      </c>
      <c r="AO119" s="8">
        <f t="shared" si="148"/>
        <v>47367</v>
      </c>
      <c r="AP119" s="11">
        <f t="shared" si="149"/>
        <v>6374673</v>
      </c>
      <c r="AQ119" s="8">
        <f t="shared" si="150"/>
        <v>20304</v>
      </c>
      <c r="AR119" s="11">
        <f t="shared" si="151"/>
        <v>2811572</v>
      </c>
      <c r="AS119" s="8">
        <f t="shared" si="152"/>
        <v>0</v>
      </c>
      <c r="AT119" s="11">
        <f t="shared" si="153"/>
        <v>0</v>
      </c>
      <c r="AU119" s="8">
        <f t="shared" si="159"/>
        <v>370144</v>
      </c>
      <c r="AV119" s="11">
        <f t="shared" si="154"/>
        <v>49148991</v>
      </c>
      <c r="AW119" t="str">
        <f t="shared" si="160"/>
        <v>GANA</v>
      </c>
      <c r="AX119" s="37">
        <f t="shared" si="161"/>
        <v>-10956</v>
      </c>
      <c r="AY119" s="37">
        <f t="shared" si="155"/>
        <v>-1190121</v>
      </c>
    </row>
    <row r="120" spans="2:52" x14ac:dyDescent="0.25">
      <c r="B120" s="2" t="s">
        <v>4</v>
      </c>
      <c r="C120" s="2">
        <v>2020</v>
      </c>
      <c r="D120" s="1">
        <v>26370</v>
      </c>
      <c r="E120" s="11">
        <v>2408949</v>
      </c>
      <c r="F120" s="1">
        <v>11311</v>
      </c>
      <c r="G120" s="11">
        <v>1266060</v>
      </c>
      <c r="H120" s="1">
        <v>1061</v>
      </c>
      <c r="I120" s="11">
        <v>93169</v>
      </c>
      <c r="J120" s="1">
        <v>246545</v>
      </c>
      <c r="K120" s="11">
        <v>36227499</v>
      </c>
      <c r="L120" s="1">
        <v>44309</v>
      </c>
      <c r="M120" s="11">
        <v>6132111</v>
      </c>
      <c r="N120" s="1">
        <v>20729</v>
      </c>
      <c r="O120" s="11">
        <v>2749960</v>
      </c>
      <c r="P120" s="1">
        <v>0</v>
      </c>
      <c r="Q120" s="11">
        <v>0</v>
      </c>
      <c r="R120" s="1">
        <v>49684</v>
      </c>
      <c r="S120" s="11">
        <v>3010498</v>
      </c>
      <c r="T120" s="1">
        <f t="shared" si="156"/>
        <v>400009</v>
      </c>
      <c r="U120" s="11">
        <f t="shared" si="137"/>
        <v>51888246</v>
      </c>
      <c r="V120" t="s">
        <v>61</v>
      </c>
      <c r="W120" s="17">
        <f t="shared" si="138"/>
        <v>0.55210933097174142</v>
      </c>
      <c r="X120" s="17">
        <f t="shared" si="139"/>
        <v>0.44789066902825858</v>
      </c>
      <c r="Y120" s="17">
        <f t="shared" si="140"/>
        <v>4.9622614926334432</v>
      </c>
      <c r="Z120" s="17">
        <f t="shared" si="141"/>
        <v>0.89181627888253767</v>
      </c>
      <c r="AA120" s="17">
        <f t="shared" si="142"/>
        <v>0.41721681024072138</v>
      </c>
      <c r="AB120" s="17">
        <f t="shared" si="143"/>
        <v>0</v>
      </c>
      <c r="AD120" s="30">
        <v>152373.45000000001</v>
      </c>
      <c r="AE120" s="30">
        <f t="shared" si="144"/>
        <v>0.61803504431239742</v>
      </c>
      <c r="AF120" s="31">
        <v>281749.51</v>
      </c>
      <c r="AG120" s="32">
        <f t="shared" si="145"/>
        <v>7.7772277352074455E-3</v>
      </c>
      <c r="AI120" s="2" t="s">
        <v>4</v>
      </c>
      <c r="AJ120" s="2">
        <v>2020</v>
      </c>
      <c r="AK120" s="1">
        <f t="shared" si="157"/>
        <v>77115</v>
      </c>
      <c r="AL120" s="11">
        <f t="shared" si="146"/>
        <v>5512616</v>
      </c>
      <c r="AM120" s="1">
        <f t="shared" si="158"/>
        <v>246545</v>
      </c>
      <c r="AN120" s="11">
        <f t="shared" si="147"/>
        <v>36227499</v>
      </c>
      <c r="AO120" s="8">
        <f t="shared" si="148"/>
        <v>44309</v>
      </c>
      <c r="AP120" s="11">
        <f t="shared" si="149"/>
        <v>6132111</v>
      </c>
      <c r="AQ120" s="8">
        <f t="shared" si="150"/>
        <v>20729</v>
      </c>
      <c r="AR120" s="11">
        <f t="shared" si="151"/>
        <v>2749960</v>
      </c>
      <c r="AS120" s="8">
        <f t="shared" si="152"/>
        <v>0</v>
      </c>
      <c r="AT120" s="11">
        <f t="shared" si="153"/>
        <v>0</v>
      </c>
      <c r="AU120" s="8">
        <f t="shared" si="159"/>
        <v>388698</v>
      </c>
      <c r="AV120" s="11">
        <f t="shared" si="154"/>
        <v>50622186</v>
      </c>
      <c r="AW120" t="str">
        <f t="shared" si="160"/>
        <v>GANA</v>
      </c>
      <c r="AX120" s="37">
        <f t="shared" si="161"/>
        <v>-11311</v>
      </c>
      <c r="AY120" s="37">
        <f t="shared" si="155"/>
        <v>-1266060</v>
      </c>
      <c r="AZ120" s="13"/>
    </row>
    <row r="121" spans="2:52" x14ac:dyDescent="0.25">
      <c r="B121" s="2" t="s">
        <v>28</v>
      </c>
      <c r="C121" s="2">
        <v>2020</v>
      </c>
      <c r="D121" s="1">
        <v>26329</v>
      </c>
      <c r="E121" s="11">
        <v>2400385</v>
      </c>
      <c r="F121" s="1">
        <v>9632</v>
      </c>
      <c r="G121" s="11">
        <v>1100871</v>
      </c>
      <c r="H121" s="1">
        <v>1795</v>
      </c>
      <c r="I121" s="11">
        <v>168504</v>
      </c>
      <c r="J121" s="1">
        <v>243359</v>
      </c>
      <c r="K121" s="11">
        <v>35808127</v>
      </c>
      <c r="L121" s="1">
        <v>45675</v>
      </c>
      <c r="M121" s="11">
        <v>6189586</v>
      </c>
      <c r="N121" s="1">
        <v>21491</v>
      </c>
      <c r="O121" s="11">
        <v>2858413</v>
      </c>
      <c r="P121" s="1">
        <v>0</v>
      </c>
      <c r="Q121" s="11">
        <v>0</v>
      </c>
      <c r="R121" s="1">
        <v>48913</v>
      </c>
      <c r="S121" s="11">
        <v>2984924</v>
      </c>
      <c r="T121" s="1">
        <f t="shared" si="156"/>
        <v>397194</v>
      </c>
      <c r="U121" s="11">
        <f t="shared" si="137"/>
        <v>51510810</v>
      </c>
      <c r="V121" t="s">
        <v>61</v>
      </c>
      <c r="W121" s="17">
        <f t="shared" si="138"/>
        <v>0.57498006664894818</v>
      </c>
      <c r="X121" s="17">
        <f t="shared" si="139"/>
        <v>0.42501993335105182</v>
      </c>
      <c r="Y121" s="17">
        <f t="shared" si="140"/>
        <v>4.9753439780835365</v>
      </c>
      <c r="Z121" s="17">
        <f t="shared" si="141"/>
        <v>0.93380083004518222</v>
      </c>
      <c r="AA121" s="17">
        <f t="shared" si="142"/>
        <v>0.43937194610839653</v>
      </c>
      <c r="AB121" s="17">
        <f t="shared" si="143"/>
        <v>0</v>
      </c>
      <c r="AD121" s="30">
        <v>150962.98000000001</v>
      </c>
      <c r="AE121" s="30">
        <f t="shared" si="144"/>
        <v>0.62033037611101294</v>
      </c>
      <c r="AF121" s="31">
        <v>277440.82250000001</v>
      </c>
      <c r="AG121" s="32">
        <f t="shared" si="145"/>
        <v>7.7479847661398212E-3</v>
      </c>
      <c r="AI121" s="2" t="s">
        <v>28</v>
      </c>
      <c r="AJ121" s="2">
        <v>2020</v>
      </c>
      <c r="AK121" s="1">
        <f t="shared" si="157"/>
        <v>77037</v>
      </c>
      <c r="AL121" s="11">
        <f t="shared" si="146"/>
        <v>5553813</v>
      </c>
      <c r="AM121" s="1">
        <f t="shared" si="158"/>
        <v>243359</v>
      </c>
      <c r="AN121" s="11">
        <f t="shared" si="147"/>
        <v>35808127</v>
      </c>
      <c r="AO121" s="8">
        <f t="shared" si="148"/>
        <v>45675</v>
      </c>
      <c r="AP121" s="11">
        <f t="shared" si="149"/>
        <v>6189586</v>
      </c>
      <c r="AQ121" s="8">
        <f t="shared" si="150"/>
        <v>21491</v>
      </c>
      <c r="AR121" s="11">
        <f t="shared" si="151"/>
        <v>2858413</v>
      </c>
      <c r="AS121" s="8">
        <f t="shared" si="152"/>
        <v>0</v>
      </c>
      <c r="AT121" s="11">
        <f t="shared" si="153"/>
        <v>0</v>
      </c>
      <c r="AU121" s="8">
        <f t="shared" si="159"/>
        <v>387562</v>
      </c>
      <c r="AV121" s="11">
        <f t="shared" si="154"/>
        <v>50409939</v>
      </c>
      <c r="AW121" t="str">
        <f t="shared" si="160"/>
        <v>GANA</v>
      </c>
      <c r="AX121" s="37">
        <f t="shared" si="161"/>
        <v>-9632</v>
      </c>
      <c r="AY121" s="37">
        <f t="shared" si="155"/>
        <v>-1100871</v>
      </c>
      <c r="AZ121" s="13"/>
    </row>
    <row r="122" spans="2:52" x14ac:dyDescent="0.25">
      <c r="B122" s="2" t="s">
        <v>29</v>
      </c>
      <c r="C122" s="2">
        <v>2020</v>
      </c>
      <c r="D122" s="1">
        <v>28172</v>
      </c>
      <c r="E122" s="11">
        <v>2550772</v>
      </c>
      <c r="F122" s="1">
        <v>10608</v>
      </c>
      <c r="G122" s="11">
        <v>1230429</v>
      </c>
      <c r="H122" s="1">
        <v>2006</v>
      </c>
      <c r="I122" s="11">
        <v>192274</v>
      </c>
      <c r="J122" s="1">
        <v>268174</v>
      </c>
      <c r="K122" s="11">
        <v>40143152</v>
      </c>
      <c r="L122" s="1">
        <v>48549</v>
      </c>
      <c r="M122" s="11">
        <v>6695271</v>
      </c>
      <c r="N122" s="1">
        <v>23856</v>
      </c>
      <c r="O122" s="11">
        <v>3155587</v>
      </c>
      <c r="P122" s="1">
        <v>0</v>
      </c>
      <c r="Q122" s="11">
        <v>0</v>
      </c>
      <c r="R122" s="1">
        <v>50103</v>
      </c>
      <c r="S122" s="11">
        <v>3009910</v>
      </c>
      <c r="T122" s="1">
        <f t="shared" si="156"/>
        <v>431468</v>
      </c>
      <c r="U122" s="11">
        <f t="shared" si="137"/>
        <v>56977395</v>
      </c>
      <c r="V122" t="s">
        <v>61</v>
      </c>
      <c r="W122" s="17">
        <f t="shared" si="138"/>
        <v>0.60231922240185221</v>
      </c>
      <c r="X122" s="17">
        <f t="shared" si="139"/>
        <v>0.39768077759814779</v>
      </c>
      <c r="Y122" s="17">
        <f t="shared" si="140"/>
        <v>5.3524539448735604</v>
      </c>
      <c r="Z122" s="17">
        <f t="shared" si="141"/>
        <v>0.96898389318004907</v>
      </c>
      <c r="AA122" s="17">
        <f t="shared" si="142"/>
        <v>0.47613915334411111</v>
      </c>
      <c r="AB122" s="17">
        <f t="shared" si="143"/>
        <v>0</v>
      </c>
      <c r="AD122" s="30">
        <v>167034.66</v>
      </c>
      <c r="AE122" s="30">
        <f t="shared" si="144"/>
        <v>0.62285926301580319</v>
      </c>
      <c r="AF122" s="31">
        <v>308107.72499999998</v>
      </c>
      <c r="AG122" s="32">
        <f t="shared" si="145"/>
        <v>7.6752250296638382E-3</v>
      </c>
      <c r="AI122" s="2" t="s">
        <v>29</v>
      </c>
      <c r="AJ122" s="2">
        <v>2020</v>
      </c>
      <c r="AK122" s="1">
        <f t="shared" si="157"/>
        <v>80281</v>
      </c>
      <c r="AL122" s="11">
        <f t="shared" si="146"/>
        <v>5752956</v>
      </c>
      <c r="AM122" s="1">
        <f t="shared" si="158"/>
        <v>268174</v>
      </c>
      <c r="AN122" s="11">
        <f t="shared" si="147"/>
        <v>40143152</v>
      </c>
      <c r="AO122" s="8">
        <f t="shared" si="148"/>
        <v>48549</v>
      </c>
      <c r="AP122" s="11">
        <f t="shared" si="149"/>
        <v>6695271</v>
      </c>
      <c r="AQ122" s="8">
        <f t="shared" si="150"/>
        <v>23856</v>
      </c>
      <c r="AR122" s="11">
        <f t="shared" si="151"/>
        <v>3155587</v>
      </c>
      <c r="AS122" s="8">
        <f t="shared" si="152"/>
        <v>0</v>
      </c>
      <c r="AT122" s="11">
        <f t="shared" si="153"/>
        <v>0</v>
      </c>
      <c r="AU122" s="8">
        <f t="shared" si="159"/>
        <v>420860</v>
      </c>
      <c r="AV122" s="11">
        <f t="shared" si="154"/>
        <v>55746966</v>
      </c>
      <c r="AW122" t="str">
        <f t="shared" si="160"/>
        <v>GANA</v>
      </c>
      <c r="AX122" s="37">
        <f t="shared" si="161"/>
        <v>-10608</v>
      </c>
      <c r="AY122" s="37">
        <f t="shared" si="155"/>
        <v>-1230429</v>
      </c>
      <c r="AZ122" s="13"/>
    </row>
    <row r="123" spans="2:52" x14ac:dyDescent="0.25">
      <c r="B123" s="2" t="s">
        <v>30</v>
      </c>
      <c r="C123" s="2">
        <v>2020</v>
      </c>
      <c r="D123" s="1">
        <v>25840</v>
      </c>
      <c r="E123" s="11">
        <v>2393981</v>
      </c>
      <c r="F123" s="1">
        <v>9453</v>
      </c>
      <c r="G123" s="11">
        <v>1054005</v>
      </c>
      <c r="H123" s="1">
        <v>1865</v>
      </c>
      <c r="I123" s="11">
        <v>183381</v>
      </c>
      <c r="J123" s="1">
        <v>252396</v>
      </c>
      <c r="K123" s="11">
        <v>37714670</v>
      </c>
      <c r="L123" s="1">
        <v>45914</v>
      </c>
      <c r="M123" s="11">
        <v>6454140</v>
      </c>
      <c r="N123" s="1">
        <v>23148</v>
      </c>
      <c r="O123" s="11">
        <v>3024181</v>
      </c>
      <c r="P123" s="1">
        <v>0</v>
      </c>
      <c r="Q123" s="11">
        <v>0</v>
      </c>
      <c r="R123" s="1">
        <v>43001</v>
      </c>
      <c r="S123" s="11">
        <v>2612459</v>
      </c>
      <c r="T123" s="1">
        <f t="shared" si="156"/>
        <v>401617</v>
      </c>
      <c r="U123" s="11">
        <f t="shared" si="137"/>
        <v>53436817</v>
      </c>
      <c r="V123" t="s">
        <v>61</v>
      </c>
      <c r="W123" s="17">
        <f t="shared" si="138"/>
        <v>0.64428734215483363</v>
      </c>
      <c r="X123" s="17">
        <f t="shared" si="139"/>
        <v>0.35571265784516637</v>
      </c>
      <c r="Y123" s="17">
        <f t="shared" si="140"/>
        <v>5.8695379177228437</v>
      </c>
      <c r="Z123" s="17">
        <f t="shared" si="141"/>
        <v>1.0677426106369619</v>
      </c>
      <c r="AA123" s="17">
        <f t="shared" si="142"/>
        <v>0.5383130624869189</v>
      </c>
      <c r="AB123" s="17">
        <f t="shared" si="143"/>
        <v>0</v>
      </c>
      <c r="AD123" s="30">
        <v>156256.03999999998</v>
      </c>
      <c r="AE123" s="30">
        <f t="shared" si="144"/>
        <v>0.6190907938319149</v>
      </c>
      <c r="AF123" s="31">
        <v>290095.99</v>
      </c>
      <c r="AG123" s="32">
        <f t="shared" si="145"/>
        <v>7.6918607533885356E-3</v>
      </c>
      <c r="AI123" s="2" t="s">
        <v>30</v>
      </c>
      <c r="AJ123" s="2">
        <v>2020</v>
      </c>
      <c r="AK123" s="1">
        <f t="shared" si="157"/>
        <v>70706</v>
      </c>
      <c r="AL123" s="11">
        <f t="shared" si="146"/>
        <v>5189821</v>
      </c>
      <c r="AM123" s="1">
        <f t="shared" si="158"/>
        <v>252396</v>
      </c>
      <c r="AN123" s="11">
        <f t="shared" si="147"/>
        <v>37714670</v>
      </c>
      <c r="AO123" s="8">
        <f t="shared" si="148"/>
        <v>45914</v>
      </c>
      <c r="AP123" s="11">
        <f t="shared" si="149"/>
        <v>6454140</v>
      </c>
      <c r="AQ123" s="8">
        <f t="shared" si="150"/>
        <v>23148</v>
      </c>
      <c r="AR123" s="11">
        <f t="shared" si="151"/>
        <v>3024181</v>
      </c>
      <c r="AS123" s="8">
        <f t="shared" si="152"/>
        <v>0</v>
      </c>
      <c r="AT123" s="11">
        <f t="shared" si="153"/>
        <v>0</v>
      </c>
      <c r="AU123" s="8">
        <f t="shared" si="159"/>
        <v>392164</v>
      </c>
      <c r="AV123" s="11">
        <f t="shared" si="154"/>
        <v>52382812</v>
      </c>
      <c r="AW123" t="str">
        <f t="shared" si="160"/>
        <v>GANA</v>
      </c>
      <c r="AX123" s="37">
        <f t="shared" si="161"/>
        <v>-9453</v>
      </c>
      <c r="AY123" s="37">
        <f t="shared" si="155"/>
        <v>-1054005</v>
      </c>
    </row>
    <row r="124" spans="2:52" x14ac:dyDescent="0.25">
      <c r="B124" s="2" t="s">
        <v>31</v>
      </c>
      <c r="C124" s="2">
        <v>2020</v>
      </c>
      <c r="D124" s="1">
        <v>27271</v>
      </c>
      <c r="E124" s="11">
        <v>2581298</v>
      </c>
      <c r="F124" s="1">
        <v>10895</v>
      </c>
      <c r="G124" s="11">
        <v>1191284</v>
      </c>
      <c r="H124" s="1">
        <v>1773</v>
      </c>
      <c r="I124" s="11">
        <v>180316</v>
      </c>
      <c r="J124" s="1">
        <v>263708</v>
      </c>
      <c r="K124" s="11">
        <v>38937383</v>
      </c>
      <c r="L124" s="1">
        <v>49569</v>
      </c>
      <c r="M124" s="11">
        <v>7273882</v>
      </c>
      <c r="N124" s="1">
        <v>25651</v>
      </c>
      <c r="O124" s="11">
        <v>3425657</v>
      </c>
      <c r="P124" s="1">
        <v>0</v>
      </c>
      <c r="Q124" s="11">
        <v>0</v>
      </c>
      <c r="R124" s="1">
        <v>38534</v>
      </c>
      <c r="S124" s="11">
        <v>2376710</v>
      </c>
      <c r="T124" s="1">
        <f t="shared" si="156"/>
        <v>417401</v>
      </c>
      <c r="U124" s="11">
        <f t="shared" si="137"/>
        <v>55966530</v>
      </c>
      <c r="V124" t="s">
        <v>61</v>
      </c>
      <c r="W124" s="17">
        <f t="shared" si="138"/>
        <v>0.75372398401411744</v>
      </c>
      <c r="X124" s="17">
        <f t="shared" si="139"/>
        <v>0.24627601598588256</v>
      </c>
      <c r="Y124" s="17">
        <f t="shared" si="140"/>
        <v>6.8435148180827321</v>
      </c>
      <c r="Z124" s="17">
        <f t="shared" si="141"/>
        <v>1.2863704780194114</v>
      </c>
      <c r="AA124" s="17">
        <f t="shared" si="142"/>
        <v>0.66567187418902785</v>
      </c>
      <c r="AB124" s="17">
        <f t="shared" si="143"/>
        <v>0</v>
      </c>
      <c r="AD124" s="30">
        <v>163509.25</v>
      </c>
      <c r="AE124" s="30">
        <f t="shared" si="144"/>
        <v>0.62003902043168957</v>
      </c>
      <c r="AF124" s="31">
        <v>295798.07999999996</v>
      </c>
      <c r="AG124" s="32">
        <f t="shared" si="145"/>
        <v>7.5967632442067298E-3</v>
      </c>
      <c r="AI124" s="2" t="s">
        <v>31</v>
      </c>
      <c r="AJ124" s="2">
        <v>2020</v>
      </c>
      <c r="AK124" s="1">
        <f t="shared" si="157"/>
        <v>67578</v>
      </c>
      <c r="AL124" s="11">
        <f t="shared" si="146"/>
        <v>5138324</v>
      </c>
      <c r="AM124" s="1">
        <f t="shared" si="158"/>
        <v>263708</v>
      </c>
      <c r="AN124" s="11">
        <f t="shared" si="147"/>
        <v>38937383</v>
      </c>
      <c r="AO124" s="8">
        <f t="shared" si="148"/>
        <v>49569</v>
      </c>
      <c r="AP124" s="11">
        <f t="shared" si="149"/>
        <v>7273882</v>
      </c>
      <c r="AQ124" s="8">
        <f t="shared" si="150"/>
        <v>25651</v>
      </c>
      <c r="AR124" s="11">
        <f t="shared" si="151"/>
        <v>3425657</v>
      </c>
      <c r="AS124" s="8">
        <f t="shared" si="152"/>
        <v>0</v>
      </c>
      <c r="AT124" s="11">
        <f t="shared" si="153"/>
        <v>0</v>
      </c>
      <c r="AU124" s="8">
        <f t="shared" si="159"/>
        <v>406506</v>
      </c>
      <c r="AV124" s="11">
        <f t="shared" si="154"/>
        <v>54775246</v>
      </c>
      <c r="AW124" t="str">
        <f t="shared" si="160"/>
        <v>GANA</v>
      </c>
      <c r="AX124" s="37">
        <f t="shared" si="161"/>
        <v>-10895</v>
      </c>
      <c r="AY124" s="37">
        <f t="shared" si="155"/>
        <v>-1191284</v>
      </c>
    </row>
    <row r="125" spans="2:52" x14ac:dyDescent="0.25">
      <c r="R125" s="9"/>
      <c r="U125" s="9"/>
      <c r="W125" s="18"/>
      <c r="X125" s="19"/>
      <c r="Y125" s="18"/>
      <c r="Z125" s="18"/>
      <c r="AA125" s="18"/>
      <c r="AB125" s="18"/>
      <c r="AL125" s="9"/>
      <c r="AN125" s="9"/>
      <c r="AP125" s="9"/>
      <c r="AR125" s="9"/>
      <c r="AS125" s="9"/>
      <c r="AT125" s="9"/>
      <c r="AV125" s="9"/>
    </row>
    <row r="126" spans="2:52" x14ac:dyDescent="0.25">
      <c r="B126" s="3" t="s">
        <v>12</v>
      </c>
      <c r="C126" s="3"/>
      <c r="D126" s="4">
        <f t="shared" ref="D126:U126" si="162">SUM(D113:D125)</f>
        <v>240376</v>
      </c>
      <c r="E126" s="12">
        <f t="shared" si="162"/>
        <v>22237352</v>
      </c>
      <c r="F126" s="4">
        <f t="shared" si="162"/>
        <v>110805</v>
      </c>
      <c r="G126" s="12">
        <f t="shared" si="162"/>
        <v>12619272</v>
      </c>
      <c r="H126" s="4">
        <f t="shared" si="162"/>
        <v>15063</v>
      </c>
      <c r="I126" s="12">
        <f t="shared" si="162"/>
        <v>1441710</v>
      </c>
      <c r="J126" s="4">
        <f t="shared" si="162"/>
        <v>2750446</v>
      </c>
      <c r="K126" s="12">
        <f t="shared" si="162"/>
        <v>408733207</v>
      </c>
      <c r="L126" s="4">
        <f t="shared" si="162"/>
        <v>570493</v>
      </c>
      <c r="M126" s="12">
        <f t="shared" si="162"/>
        <v>80195346</v>
      </c>
      <c r="N126" s="4">
        <f t="shared" si="162"/>
        <v>239247</v>
      </c>
      <c r="O126" s="12">
        <f t="shared" si="162"/>
        <v>32288870</v>
      </c>
      <c r="P126" s="4">
        <f t="shared" si="162"/>
        <v>16</v>
      </c>
      <c r="Q126" s="12">
        <f t="shared" si="162"/>
        <v>1635</v>
      </c>
      <c r="R126" s="4">
        <f>SUM(R113:R125)</f>
        <v>416251</v>
      </c>
      <c r="S126" s="12">
        <f>SUM(S113:S125)</f>
        <v>24899480</v>
      </c>
      <c r="T126" s="4">
        <f t="shared" si="162"/>
        <v>4342697</v>
      </c>
      <c r="U126" s="12">
        <f t="shared" si="162"/>
        <v>582416872</v>
      </c>
      <c r="W126" s="16">
        <f>+(D126+H126)/T126</f>
        <v>5.8820359790240952E-2</v>
      </c>
      <c r="X126" s="16">
        <f>1-W126</f>
        <v>0.94117964020975908</v>
      </c>
      <c r="Y126" s="16">
        <f>+J126/T126</f>
        <v>0.63334973635047531</v>
      </c>
      <c r="Z126" s="16">
        <f>+L126/T126</f>
        <v>0.13136836394526258</v>
      </c>
      <c r="AA126" s="16">
        <f>+N126/T126</f>
        <v>5.5091801247013086E-2</v>
      </c>
      <c r="AB126" s="16">
        <f>+P126/T126</f>
        <v>3.684346386588795E-6</v>
      </c>
      <c r="AD126" s="12">
        <f>AVERAGE(AD113:AD125)</f>
        <v>142468.99916666668</v>
      </c>
      <c r="AE126" s="12">
        <f t="shared" ref="AE126" si="163">AVERAGE(AE113:AE125)</f>
        <v>0.62082106551086769</v>
      </c>
      <c r="AF126" s="12">
        <f t="shared" ref="AF126" si="164">AVERAGE(AF113:AF125)</f>
        <v>263803.93812500004</v>
      </c>
      <c r="AG126" s="16">
        <f t="shared" ref="AG126" si="165">AVERAGE(AG113:AG125)</f>
        <v>7.7688354310788922E-3</v>
      </c>
      <c r="AI126" s="3" t="s">
        <v>12</v>
      </c>
      <c r="AJ126" s="3"/>
      <c r="AK126" s="4">
        <f t="shared" ref="AK126:AV126" si="166">SUM(AK113:AK125)</f>
        <v>671690</v>
      </c>
      <c r="AL126" s="12">
        <f t="shared" si="166"/>
        <v>48578542</v>
      </c>
      <c r="AM126" s="4">
        <f t="shared" si="166"/>
        <v>2750446</v>
      </c>
      <c r="AN126" s="12">
        <f t="shared" si="166"/>
        <v>408733207</v>
      </c>
      <c r="AO126" s="4">
        <f t="shared" si="166"/>
        <v>570493</v>
      </c>
      <c r="AP126" s="12">
        <f t="shared" si="166"/>
        <v>80195346</v>
      </c>
      <c r="AQ126" s="4">
        <f t="shared" si="166"/>
        <v>239247</v>
      </c>
      <c r="AR126" s="12">
        <f t="shared" si="166"/>
        <v>32288870</v>
      </c>
      <c r="AS126" s="4">
        <f t="shared" si="166"/>
        <v>16</v>
      </c>
      <c r="AT126" s="12">
        <f t="shared" si="166"/>
        <v>1635</v>
      </c>
      <c r="AU126" s="4">
        <f t="shared" si="166"/>
        <v>4231892</v>
      </c>
      <c r="AV126" s="12">
        <f t="shared" si="166"/>
        <v>569797600</v>
      </c>
    </row>
    <row r="127" spans="2:52" x14ac:dyDescent="0.25">
      <c r="L127" s="28">
        <f>AVERAGE(L113:L122)</f>
        <v>47501</v>
      </c>
      <c r="M127" s="28">
        <f>AVERAGE(M113:M122)</f>
        <v>6646732.4000000004</v>
      </c>
      <c r="R127" s="28"/>
      <c r="S127" s="28"/>
      <c r="T127" s="28">
        <f t="shared" ref="T127:U127" si="167">AVERAGE(T113:T122)</f>
        <v>352367.9</v>
      </c>
      <c r="U127" s="28">
        <f t="shared" si="167"/>
        <v>47301352.5</v>
      </c>
    </row>
    <row r="128" spans="2:52" x14ac:dyDescent="0.25">
      <c r="B128" s="5" t="s">
        <v>14</v>
      </c>
      <c r="K128" s="26"/>
      <c r="L128" s="28"/>
      <c r="M128" s="28"/>
      <c r="N128" s="29"/>
      <c r="T128" s="44">
        <f>+L127/T127</f>
        <v>0.13480512838995834</v>
      </c>
      <c r="U128" s="44">
        <f>+M127/U127</f>
        <v>0.140518865713195</v>
      </c>
    </row>
    <row r="129" spans="1:51" x14ac:dyDescent="0.25">
      <c r="B129" s="5" t="s">
        <v>36</v>
      </c>
      <c r="L129" s="26"/>
      <c r="M129" s="26"/>
    </row>
    <row r="130" spans="1:51" x14ac:dyDescent="0.25">
      <c r="B130" s="5"/>
    </row>
    <row r="131" spans="1:51" x14ac:dyDescent="0.25">
      <c r="D131" s="89" t="s">
        <v>15</v>
      </c>
      <c r="E131" s="90"/>
      <c r="F131" s="89" t="s">
        <v>71</v>
      </c>
      <c r="G131" s="90"/>
      <c r="H131" s="89" t="s">
        <v>16</v>
      </c>
      <c r="I131" s="90"/>
      <c r="J131" s="89" t="s">
        <v>17</v>
      </c>
      <c r="K131" s="93"/>
      <c r="L131" s="89" t="s">
        <v>18</v>
      </c>
      <c r="M131" s="93"/>
      <c r="N131" s="89" t="s">
        <v>13</v>
      </c>
      <c r="O131" s="93"/>
      <c r="P131" s="89" t="s">
        <v>34</v>
      </c>
      <c r="Q131" s="93"/>
      <c r="R131" s="89" t="s">
        <v>12</v>
      </c>
      <c r="S131" s="93"/>
      <c r="W131" s="91" t="s">
        <v>42</v>
      </c>
      <c r="X131" s="92"/>
      <c r="Y131" s="92"/>
      <c r="Z131" s="92"/>
      <c r="AA131" s="92"/>
      <c r="AB131" s="92"/>
      <c r="AK131" s="89" t="s">
        <v>69</v>
      </c>
      <c r="AL131" s="90"/>
      <c r="AM131" s="89" t="s">
        <v>17</v>
      </c>
      <c r="AN131" s="93"/>
      <c r="AO131" s="89" t="s">
        <v>18</v>
      </c>
      <c r="AP131" s="93"/>
      <c r="AQ131" s="89" t="s">
        <v>13</v>
      </c>
      <c r="AR131" s="93"/>
      <c r="AS131" s="89" t="s">
        <v>34</v>
      </c>
      <c r="AT131" s="93"/>
      <c r="AU131" s="89" t="s">
        <v>12</v>
      </c>
      <c r="AV131" s="93"/>
    </row>
    <row r="132" spans="1:5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W132" s="7" t="s">
        <v>38</v>
      </c>
      <c r="X132" s="10" t="s">
        <v>39</v>
      </c>
      <c r="Y132" s="10" t="s">
        <v>40</v>
      </c>
      <c r="Z132" s="10" t="s">
        <v>18</v>
      </c>
      <c r="AA132" s="10" t="s">
        <v>13</v>
      </c>
      <c r="AB132" s="10" t="s">
        <v>41</v>
      </c>
      <c r="AI132" s="7" t="s">
        <v>0</v>
      </c>
      <c r="AJ132" s="7" t="s">
        <v>1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  <c r="AU132" s="7" t="s">
        <v>2</v>
      </c>
      <c r="AV132" s="10" t="s">
        <v>3</v>
      </c>
    </row>
    <row r="133" spans="1:51" x14ac:dyDescent="0.25">
      <c r="X133" s="9"/>
      <c r="AL133" s="9"/>
      <c r="AN133" s="9"/>
      <c r="AP133" s="9"/>
      <c r="AR133" s="9"/>
      <c r="AS133" s="9"/>
      <c r="AT133" s="9"/>
      <c r="AV133" s="9"/>
    </row>
    <row r="134" spans="1:51" x14ac:dyDescent="0.25">
      <c r="B134" s="2" t="s">
        <v>5</v>
      </c>
      <c r="C134" s="2">
        <v>2020</v>
      </c>
      <c r="D134" s="1">
        <v>4184</v>
      </c>
      <c r="E134" s="11">
        <v>354374</v>
      </c>
      <c r="F134" s="1">
        <v>1620</v>
      </c>
      <c r="G134" s="11">
        <v>177601</v>
      </c>
      <c r="H134" s="1">
        <v>407</v>
      </c>
      <c r="I134" s="11">
        <v>54679</v>
      </c>
      <c r="J134" s="1">
        <v>0</v>
      </c>
      <c r="K134" s="11">
        <v>0</v>
      </c>
      <c r="L134" s="1">
        <v>0</v>
      </c>
      <c r="M134" s="11">
        <v>0</v>
      </c>
      <c r="N134" s="1">
        <v>3638</v>
      </c>
      <c r="O134" s="11">
        <v>556108</v>
      </c>
      <c r="P134" s="1">
        <v>74</v>
      </c>
      <c r="Q134" s="11">
        <v>12395</v>
      </c>
      <c r="R134" s="8">
        <f t="shared" ref="R134:R145" si="168">N134+L134+J134+H134+D134+P134+F134</f>
        <v>9923</v>
      </c>
      <c r="S134" s="11">
        <f t="shared" ref="S134:S145" si="169">O134+M134+K134+I134+E134+Q134+G134</f>
        <v>1155157</v>
      </c>
      <c r="T134" t="s">
        <v>62</v>
      </c>
      <c r="W134" s="17">
        <f>+(D134+H134)/R134</f>
        <v>0.46266250125969971</v>
      </c>
      <c r="X134" s="17">
        <f>1-W134</f>
        <v>0.53733749874030035</v>
      </c>
      <c r="Y134" s="17">
        <f>+J134/R134</f>
        <v>0</v>
      </c>
      <c r="Z134" s="17">
        <f>+L134/R134</f>
        <v>0</v>
      </c>
      <c r="AA134" s="17">
        <f>+N134/R134</f>
        <v>0.36662299707749674</v>
      </c>
      <c r="AB134" s="17">
        <f>+P134/R134</f>
        <v>7.4574221505593064E-3</v>
      </c>
      <c r="AI134" s="2" t="s">
        <v>5</v>
      </c>
      <c r="AJ134" s="2">
        <v>2020</v>
      </c>
      <c r="AK134" s="1">
        <f>D134+H134</f>
        <v>4591</v>
      </c>
      <c r="AL134" s="11">
        <f>E134+I134</f>
        <v>409053</v>
      </c>
      <c r="AM134" s="1">
        <f>+J134</f>
        <v>0</v>
      </c>
      <c r="AN134" s="11">
        <f t="shared" ref="AN134:AN145" si="170">+K134</f>
        <v>0</v>
      </c>
      <c r="AO134" s="8">
        <f t="shared" ref="AO134:AO145" si="171">+L134</f>
        <v>0</v>
      </c>
      <c r="AP134" s="11">
        <f t="shared" ref="AP134:AP145" si="172">+M134</f>
        <v>0</v>
      </c>
      <c r="AQ134" s="8">
        <f t="shared" ref="AQ134:AQ145" si="173">+N134</f>
        <v>3638</v>
      </c>
      <c r="AR134" s="11">
        <f t="shared" ref="AR134:AR145" si="174">+O134</f>
        <v>556108</v>
      </c>
      <c r="AS134" s="8">
        <f t="shared" ref="AS134:AS145" si="175">+P134</f>
        <v>74</v>
      </c>
      <c r="AT134" s="11">
        <f t="shared" ref="AT134:AT145" si="176">+Q134</f>
        <v>12395</v>
      </c>
      <c r="AU134" s="8">
        <f>AS134+AQ134+AO134+AM134+AK134</f>
        <v>8303</v>
      </c>
      <c r="AV134" s="11">
        <f t="shared" ref="AV134:AV145" si="177">AT134+AR134+AP134+AN134+AL134</f>
        <v>977556</v>
      </c>
      <c r="AW134" t="str">
        <f>+T134</f>
        <v>CAMS</v>
      </c>
      <c r="AX134" s="37">
        <f>+AU134-R134</f>
        <v>-1620</v>
      </c>
      <c r="AY134" s="37">
        <f t="shared" ref="AY134:AY145" si="178">+AV134-S134</f>
        <v>-177601</v>
      </c>
    </row>
    <row r="135" spans="1:51" x14ac:dyDescent="0.25">
      <c r="B135" s="2" t="s">
        <v>6</v>
      </c>
      <c r="C135" s="2">
        <v>2020</v>
      </c>
      <c r="D135" s="1">
        <v>3450</v>
      </c>
      <c r="E135" s="11">
        <v>318369</v>
      </c>
      <c r="F135" s="1">
        <v>1674</v>
      </c>
      <c r="G135" s="11">
        <v>203982</v>
      </c>
      <c r="H135" s="1">
        <v>367</v>
      </c>
      <c r="I135" s="11">
        <v>50094</v>
      </c>
      <c r="J135" s="1">
        <v>0</v>
      </c>
      <c r="K135" s="11">
        <v>0</v>
      </c>
      <c r="L135" s="1">
        <v>0</v>
      </c>
      <c r="M135" s="11">
        <v>0</v>
      </c>
      <c r="N135" s="1">
        <v>3271</v>
      </c>
      <c r="O135" s="11">
        <v>546854</v>
      </c>
      <c r="P135" s="1">
        <v>38</v>
      </c>
      <c r="Q135" s="11">
        <v>5605</v>
      </c>
      <c r="R135" s="8">
        <f t="shared" si="168"/>
        <v>8800</v>
      </c>
      <c r="S135" s="11">
        <f t="shared" si="169"/>
        <v>1124904</v>
      </c>
      <c r="T135" t="s">
        <v>62</v>
      </c>
      <c r="W135" s="17">
        <f>+(D135+H135)/R135</f>
        <v>0.43375000000000002</v>
      </c>
      <c r="X135" s="17">
        <f>1-W135</f>
        <v>0.56624999999999992</v>
      </c>
      <c r="Y135" s="17">
        <f>+J135/R135</f>
        <v>0</v>
      </c>
      <c r="Z135" s="17">
        <f>+L135/R135</f>
        <v>0</v>
      </c>
      <c r="AA135" s="17">
        <f>+N135/R135</f>
        <v>0.37170454545454545</v>
      </c>
      <c r="AB135" s="17">
        <f>+P135/R135</f>
        <v>4.3181818181818182E-3</v>
      </c>
      <c r="AI135" s="2" t="s">
        <v>6</v>
      </c>
      <c r="AJ135" s="2">
        <v>2020</v>
      </c>
      <c r="AK135" s="1">
        <f t="shared" ref="AK135:AK145" si="179">D135+H135</f>
        <v>3817</v>
      </c>
      <c r="AL135" s="11">
        <f t="shared" ref="AL135:AL145" si="180">E135+I135</f>
        <v>368463</v>
      </c>
      <c r="AM135" s="1">
        <f t="shared" ref="AM135:AM145" si="181">+J135</f>
        <v>0</v>
      </c>
      <c r="AN135" s="11">
        <f t="shared" si="170"/>
        <v>0</v>
      </c>
      <c r="AO135" s="8">
        <f t="shared" si="171"/>
        <v>0</v>
      </c>
      <c r="AP135" s="11">
        <f t="shared" si="172"/>
        <v>0</v>
      </c>
      <c r="AQ135" s="8">
        <f t="shared" si="173"/>
        <v>3271</v>
      </c>
      <c r="AR135" s="11">
        <f t="shared" si="174"/>
        <v>546854</v>
      </c>
      <c r="AS135" s="8">
        <f t="shared" si="175"/>
        <v>38</v>
      </c>
      <c r="AT135" s="11">
        <f t="shared" si="176"/>
        <v>5605</v>
      </c>
      <c r="AU135" s="8">
        <f t="shared" ref="AU135:AU145" si="182">AS135+AQ135+AO135+AM135+AK135</f>
        <v>7126</v>
      </c>
      <c r="AV135" s="11">
        <f t="shared" si="177"/>
        <v>920922</v>
      </c>
      <c r="AW135" t="str">
        <f t="shared" ref="AW135:AW145" si="183">+T135</f>
        <v>CAMS</v>
      </c>
      <c r="AX135" s="37">
        <f t="shared" ref="AX135:AX145" si="184">+AU135-R135</f>
        <v>-1674</v>
      </c>
      <c r="AY135" s="37">
        <f t="shared" si="178"/>
        <v>-203982</v>
      </c>
    </row>
    <row r="136" spans="1:51" x14ac:dyDescent="0.25">
      <c r="B136" s="2" t="s">
        <v>7</v>
      </c>
      <c r="C136" s="2">
        <v>2020</v>
      </c>
      <c r="D136" s="1">
        <v>3489</v>
      </c>
      <c r="E136" s="11">
        <v>330119</v>
      </c>
      <c r="F136" s="1">
        <v>2017</v>
      </c>
      <c r="G136" s="11">
        <v>247756</v>
      </c>
      <c r="H136" s="1">
        <v>491</v>
      </c>
      <c r="I136" s="11">
        <v>67007</v>
      </c>
      <c r="J136" s="1">
        <v>0</v>
      </c>
      <c r="K136" s="11">
        <v>0</v>
      </c>
      <c r="L136" s="1">
        <v>0</v>
      </c>
      <c r="M136" s="11">
        <v>0</v>
      </c>
      <c r="N136" s="1">
        <v>3666</v>
      </c>
      <c r="O136" s="11">
        <v>610409</v>
      </c>
      <c r="P136" s="1">
        <v>17</v>
      </c>
      <c r="Q136" s="11">
        <v>761</v>
      </c>
      <c r="R136" s="8">
        <f t="shared" si="168"/>
        <v>9680</v>
      </c>
      <c r="S136" s="11">
        <f t="shared" si="169"/>
        <v>1256052</v>
      </c>
      <c r="T136" t="s">
        <v>62</v>
      </c>
      <c r="W136" s="17">
        <f>+(D136+H136)/R136</f>
        <v>0.41115702479338845</v>
      </c>
      <c r="X136" s="17">
        <f>1-W136</f>
        <v>0.58884297520661155</v>
      </c>
      <c r="Y136" s="17">
        <f>+J136/R136</f>
        <v>0</v>
      </c>
      <c r="Z136" s="17">
        <f>+L136/R136</f>
        <v>0</v>
      </c>
      <c r="AA136" s="17">
        <f>+N136/R136</f>
        <v>0.37871900826446281</v>
      </c>
      <c r="AB136" s="17">
        <f>+P136/R136</f>
        <v>1.7561983471074381E-3</v>
      </c>
      <c r="AI136" s="2" t="s">
        <v>7</v>
      </c>
      <c r="AJ136" s="2">
        <v>2020</v>
      </c>
      <c r="AK136" s="1">
        <f t="shared" si="179"/>
        <v>3980</v>
      </c>
      <c r="AL136" s="11">
        <f t="shared" si="180"/>
        <v>397126</v>
      </c>
      <c r="AM136" s="1">
        <f t="shared" si="181"/>
        <v>0</v>
      </c>
      <c r="AN136" s="11">
        <f t="shared" si="170"/>
        <v>0</v>
      </c>
      <c r="AO136" s="8">
        <f t="shared" si="171"/>
        <v>0</v>
      </c>
      <c r="AP136" s="11">
        <f t="shared" si="172"/>
        <v>0</v>
      </c>
      <c r="AQ136" s="8">
        <f t="shared" si="173"/>
        <v>3666</v>
      </c>
      <c r="AR136" s="11">
        <f t="shared" si="174"/>
        <v>610409</v>
      </c>
      <c r="AS136" s="8">
        <f t="shared" si="175"/>
        <v>17</v>
      </c>
      <c r="AT136" s="11">
        <f t="shared" si="176"/>
        <v>761</v>
      </c>
      <c r="AU136" s="8">
        <f t="shared" si="182"/>
        <v>7663</v>
      </c>
      <c r="AV136" s="11">
        <f t="shared" si="177"/>
        <v>1008296</v>
      </c>
      <c r="AW136" t="str">
        <f t="shared" si="183"/>
        <v>CAMS</v>
      </c>
      <c r="AX136" s="37">
        <f t="shared" si="184"/>
        <v>-2017</v>
      </c>
      <c r="AY136" s="37">
        <f t="shared" si="178"/>
        <v>-247756</v>
      </c>
    </row>
    <row r="137" spans="1:51" x14ac:dyDescent="0.25">
      <c r="B137" s="2" t="s">
        <v>8</v>
      </c>
      <c r="C137" s="2">
        <v>2020</v>
      </c>
      <c r="D137" s="1">
        <v>2277</v>
      </c>
      <c r="E137" s="11">
        <v>207918</v>
      </c>
      <c r="F137" s="1">
        <v>1147</v>
      </c>
      <c r="G137" s="11">
        <v>147995</v>
      </c>
      <c r="H137" s="1">
        <v>372</v>
      </c>
      <c r="I137" s="11">
        <v>55040</v>
      </c>
      <c r="J137" s="1">
        <v>0</v>
      </c>
      <c r="K137" s="11">
        <v>0</v>
      </c>
      <c r="L137" s="1">
        <v>0</v>
      </c>
      <c r="M137" s="11">
        <v>0</v>
      </c>
      <c r="N137" s="1">
        <v>2695</v>
      </c>
      <c r="O137" s="11">
        <v>456100</v>
      </c>
      <c r="P137" s="1">
        <v>21</v>
      </c>
      <c r="Q137" s="11">
        <v>993</v>
      </c>
      <c r="R137" s="8">
        <f t="shared" si="168"/>
        <v>6512</v>
      </c>
      <c r="S137" s="11">
        <f t="shared" si="169"/>
        <v>868046</v>
      </c>
      <c r="T137" t="s">
        <v>62</v>
      </c>
      <c r="W137" s="17">
        <f t="shared" ref="W137:W145" si="185">+(D137+H137)/R137</f>
        <v>0.40678746928746928</v>
      </c>
      <c r="X137" s="17">
        <f t="shared" ref="X137:X145" si="186">1-W137</f>
        <v>0.59321253071253066</v>
      </c>
      <c r="Y137" s="17">
        <f t="shared" ref="Y137:Y145" si="187">+J137/R137</f>
        <v>0</v>
      </c>
      <c r="Z137" s="17">
        <f t="shared" ref="Z137:Z145" si="188">+L137/R137</f>
        <v>0</v>
      </c>
      <c r="AA137" s="17">
        <f t="shared" ref="AA137:AA145" si="189">+N137/R137</f>
        <v>0.41385135135135137</v>
      </c>
      <c r="AB137" s="17">
        <f t="shared" ref="AB137:AB145" si="190">+P137/R137</f>
        <v>3.2248157248157246E-3</v>
      </c>
      <c r="AI137" s="2" t="s">
        <v>8</v>
      </c>
      <c r="AJ137" s="2">
        <v>2020</v>
      </c>
      <c r="AK137" s="1">
        <f t="shared" si="179"/>
        <v>2649</v>
      </c>
      <c r="AL137" s="11">
        <f t="shared" si="180"/>
        <v>262958</v>
      </c>
      <c r="AM137" s="1">
        <f t="shared" si="181"/>
        <v>0</v>
      </c>
      <c r="AN137" s="11">
        <f t="shared" si="170"/>
        <v>0</v>
      </c>
      <c r="AO137" s="8">
        <f t="shared" si="171"/>
        <v>0</v>
      </c>
      <c r="AP137" s="11">
        <f t="shared" si="172"/>
        <v>0</v>
      </c>
      <c r="AQ137" s="8">
        <f t="shared" si="173"/>
        <v>2695</v>
      </c>
      <c r="AR137" s="11">
        <f t="shared" si="174"/>
        <v>456100</v>
      </c>
      <c r="AS137" s="8">
        <f t="shared" si="175"/>
        <v>21</v>
      </c>
      <c r="AT137" s="11">
        <f t="shared" si="176"/>
        <v>993</v>
      </c>
      <c r="AU137" s="8">
        <f t="shared" si="182"/>
        <v>5365</v>
      </c>
      <c r="AV137" s="11">
        <f t="shared" si="177"/>
        <v>720051</v>
      </c>
      <c r="AW137" t="str">
        <f t="shared" si="183"/>
        <v>CAMS</v>
      </c>
      <c r="AX137" s="37">
        <f t="shared" si="184"/>
        <v>-1147</v>
      </c>
      <c r="AY137" s="37">
        <f t="shared" si="178"/>
        <v>-147995</v>
      </c>
    </row>
    <row r="138" spans="1:51" x14ac:dyDescent="0.25">
      <c r="B138" s="2" t="s">
        <v>9</v>
      </c>
      <c r="C138" s="2">
        <v>2020</v>
      </c>
      <c r="D138" s="1">
        <v>3145</v>
      </c>
      <c r="E138" s="11">
        <v>307458</v>
      </c>
      <c r="F138" s="1">
        <v>1519</v>
      </c>
      <c r="G138" s="11">
        <v>207761</v>
      </c>
      <c r="H138" s="1">
        <v>344</v>
      </c>
      <c r="I138" s="11">
        <v>49266</v>
      </c>
      <c r="J138" s="1">
        <v>0</v>
      </c>
      <c r="K138" s="11">
        <v>0</v>
      </c>
      <c r="L138" s="1">
        <v>0</v>
      </c>
      <c r="M138" s="11">
        <v>0</v>
      </c>
      <c r="N138" s="1">
        <v>3035</v>
      </c>
      <c r="O138" s="11">
        <v>506274</v>
      </c>
      <c r="P138" s="1">
        <v>36</v>
      </c>
      <c r="Q138" s="11">
        <v>2622</v>
      </c>
      <c r="R138" s="8">
        <f t="shared" si="168"/>
        <v>8079</v>
      </c>
      <c r="S138" s="11">
        <f t="shared" si="169"/>
        <v>1073381</v>
      </c>
      <c r="T138" t="s">
        <v>62</v>
      </c>
      <c r="W138" s="17">
        <f t="shared" si="185"/>
        <v>0.43186037875974748</v>
      </c>
      <c r="X138" s="17">
        <f t="shared" si="186"/>
        <v>0.56813962124025252</v>
      </c>
      <c r="Y138" s="17">
        <f t="shared" si="187"/>
        <v>0</v>
      </c>
      <c r="Z138" s="17">
        <f t="shared" si="188"/>
        <v>0</v>
      </c>
      <c r="AA138" s="17">
        <f t="shared" si="189"/>
        <v>0.37566530511201879</v>
      </c>
      <c r="AB138" s="17">
        <f t="shared" si="190"/>
        <v>4.4559970293353134E-3</v>
      </c>
      <c r="AI138" s="2" t="s">
        <v>9</v>
      </c>
      <c r="AJ138" s="2">
        <v>2020</v>
      </c>
      <c r="AK138" s="1">
        <f t="shared" si="179"/>
        <v>3489</v>
      </c>
      <c r="AL138" s="11">
        <f t="shared" si="180"/>
        <v>356724</v>
      </c>
      <c r="AM138" s="1">
        <f t="shared" si="181"/>
        <v>0</v>
      </c>
      <c r="AN138" s="11">
        <f t="shared" si="170"/>
        <v>0</v>
      </c>
      <c r="AO138" s="8">
        <f t="shared" si="171"/>
        <v>0</v>
      </c>
      <c r="AP138" s="11">
        <f t="shared" si="172"/>
        <v>0</v>
      </c>
      <c r="AQ138" s="8">
        <f t="shared" si="173"/>
        <v>3035</v>
      </c>
      <c r="AR138" s="11">
        <f t="shared" si="174"/>
        <v>506274</v>
      </c>
      <c r="AS138" s="8">
        <f t="shared" si="175"/>
        <v>36</v>
      </c>
      <c r="AT138" s="11">
        <f t="shared" si="176"/>
        <v>2622</v>
      </c>
      <c r="AU138" s="8">
        <f t="shared" si="182"/>
        <v>6560</v>
      </c>
      <c r="AV138" s="11">
        <f t="shared" si="177"/>
        <v>865620</v>
      </c>
      <c r="AW138" t="str">
        <f t="shared" si="183"/>
        <v>CAMS</v>
      </c>
      <c r="AX138" s="37">
        <f t="shared" si="184"/>
        <v>-1519</v>
      </c>
      <c r="AY138" s="37">
        <f t="shared" si="178"/>
        <v>-207761</v>
      </c>
    </row>
    <row r="139" spans="1:51" x14ac:dyDescent="0.25">
      <c r="B139" s="2" t="s">
        <v>10</v>
      </c>
      <c r="C139" s="2">
        <v>2020</v>
      </c>
      <c r="D139" s="1">
        <v>4735</v>
      </c>
      <c r="E139" s="11">
        <v>479179</v>
      </c>
      <c r="F139" s="1">
        <v>2088</v>
      </c>
      <c r="G139" s="11">
        <v>263064</v>
      </c>
      <c r="H139" s="1">
        <v>394</v>
      </c>
      <c r="I139" s="11">
        <v>53103</v>
      </c>
      <c r="J139" s="1">
        <v>0</v>
      </c>
      <c r="K139" s="11">
        <v>0</v>
      </c>
      <c r="L139" s="1">
        <v>0</v>
      </c>
      <c r="M139" s="11">
        <v>0</v>
      </c>
      <c r="N139" s="1">
        <v>3557</v>
      </c>
      <c r="O139" s="11">
        <v>580942</v>
      </c>
      <c r="P139" s="1">
        <v>0</v>
      </c>
      <c r="Q139" s="11">
        <v>0</v>
      </c>
      <c r="R139" s="8">
        <f t="shared" si="168"/>
        <v>10774</v>
      </c>
      <c r="S139" s="11">
        <f t="shared" si="169"/>
        <v>1376288</v>
      </c>
      <c r="T139" t="s">
        <v>62</v>
      </c>
      <c r="W139" s="17">
        <f t="shared" si="185"/>
        <v>0.47605346203824023</v>
      </c>
      <c r="X139" s="17">
        <f t="shared" si="186"/>
        <v>0.52394653796175983</v>
      </c>
      <c r="Y139" s="17">
        <f t="shared" si="187"/>
        <v>0</v>
      </c>
      <c r="Z139" s="17">
        <f t="shared" si="188"/>
        <v>0</v>
      </c>
      <c r="AA139" s="17">
        <f t="shared" si="189"/>
        <v>0.33014664934100613</v>
      </c>
      <c r="AB139" s="17">
        <f t="shared" si="190"/>
        <v>0</v>
      </c>
      <c r="AI139" s="2" t="s">
        <v>10</v>
      </c>
      <c r="AJ139" s="2">
        <v>2020</v>
      </c>
      <c r="AK139" s="1">
        <f t="shared" si="179"/>
        <v>5129</v>
      </c>
      <c r="AL139" s="11">
        <f t="shared" si="180"/>
        <v>532282</v>
      </c>
      <c r="AM139" s="1">
        <f t="shared" si="181"/>
        <v>0</v>
      </c>
      <c r="AN139" s="11">
        <f t="shared" si="170"/>
        <v>0</v>
      </c>
      <c r="AO139" s="8">
        <f t="shared" si="171"/>
        <v>0</v>
      </c>
      <c r="AP139" s="11">
        <f t="shared" si="172"/>
        <v>0</v>
      </c>
      <c r="AQ139" s="8">
        <f t="shared" si="173"/>
        <v>3557</v>
      </c>
      <c r="AR139" s="11">
        <f t="shared" si="174"/>
        <v>580942</v>
      </c>
      <c r="AS139" s="8">
        <f t="shared" si="175"/>
        <v>0</v>
      </c>
      <c r="AT139" s="11">
        <f t="shared" si="176"/>
        <v>0</v>
      </c>
      <c r="AU139" s="8">
        <f t="shared" si="182"/>
        <v>8686</v>
      </c>
      <c r="AV139" s="11">
        <f t="shared" si="177"/>
        <v>1113224</v>
      </c>
      <c r="AW139" t="str">
        <f t="shared" si="183"/>
        <v>CAMS</v>
      </c>
      <c r="AX139" s="37">
        <f t="shared" si="184"/>
        <v>-2088</v>
      </c>
      <c r="AY139" s="37">
        <f t="shared" si="178"/>
        <v>-263064</v>
      </c>
    </row>
    <row r="140" spans="1:51" x14ac:dyDescent="0.25">
      <c r="B140" s="2" t="s">
        <v>11</v>
      </c>
      <c r="C140" s="2">
        <v>2020</v>
      </c>
      <c r="D140" s="1">
        <v>5644</v>
      </c>
      <c r="E140" s="11">
        <v>584362</v>
      </c>
      <c r="F140" s="1">
        <v>2525</v>
      </c>
      <c r="G140" s="11">
        <v>326967</v>
      </c>
      <c r="H140" s="1">
        <v>322</v>
      </c>
      <c r="I140" s="11">
        <v>42348</v>
      </c>
      <c r="J140" s="1">
        <v>0</v>
      </c>
      <c r="K140" s="11">
        <v>0</v>
      </c>
      <c r="L140" s="1">
        <v>0</v>
      </c>
      <c r="M140" s="11">
        <v>0</v>
      </c>
      <c r="N140" s="1">
        <v>3922</v>
      </c>
      <c r="O140" s="11">
        <v>620500</v>
      </c>
      <c r="P140" s="1">
        <v>0</v>
      </c>
      <c r="Q140" s="11">
        <v>0</v>
      </c>
      <c r="R140" s="8">
        <f t="shared" si="168"/>
        <v>12413</v>
      </c>
      <c r="S140" s="11">
        <f t="shared" si="169"/>
        <v>1574177</v>
      </c>
      <c r="T140" t="s">
        <v>62</v>
      </c>
      <c r="W140" s="17">
        <f t="shared" si="185"/>
        <v>0.48062515105131715</v>
      </c>
      <c r="X140" s="17">
        <f t="shared" si="186"/>
        <v>0.51937484894868291</v>
      </c>
      <c r="Y140" s="17">
        <f t="shared" si="187"/>
        <v>0</v>
      </c>
      <c r="Z140" s="17">
        <f t="shared" si="188"/>
        <v>0</v>
      </c>
      <c r="AA140" s="17">
        <f t="shared" si="189"/>
        <v>0.31595907516313543</v>
      </c>
      <c r="AB140" s="17">
        <f t="shared" si="190"/>
        <v>0</v>
      </c>
      <c r="AI140" s="2" t="s">
        <v>11</v>
      </c>
      <c r="AJ140" s="2">
        <v>2020</v>
      </c>
      <c r="AK140" s="1">
        <f t="shared" si="179"/>
        <v>5966</v>
      </c>
      <c r="AL140" s="11">
        <f t="shared" si="180"/>
        <v>626710</v>
      </c>
      <c r="AM140" s="1">
        <f t="shared" si="181"/>
        <v>0</v>
      </c>
      <c r="AN140" s="11">
        <f t="shared" si="170"/>
        <v>0</v>
      </c>
      <c r="AO140" s="8">
        <f t="shared" si="171"/>
        <v>0</v>
      </c>
      <c r="AP140" s="11">
        <f t="shared" si="172"/>
        <v>0</v>
      </c>
      <c r="AQ140" s="8">
        <f t="shared" si="173"/>
        <v>3922</v>
      </c>
      <c r="AR140" s="11">
        <f t="shared" si="174"/>
        <v>620500</v>
      </c>
      <c r="AS140" s="8">
        <f t="shared" si="175"/>
        <v>0</v>
      </c>
      <c r="AT140" s="11">
        <f t="shared" si="176"/>
        <v>0</v>
      </c>
      <c r="AU140" s="8">
        <f t="shared" si="182"/>
        <v>9888</v>
      </c>
      <c r="AV140" s="11">
        <f t="shared" si="177"/>
        <v>1247210</v>
      </c>
      <c r="AW140" t="str">
        <f t="shared" si="183"/>
        <v>CAMS</v>
      </c>
      <c r="AX140" s="37">
        <f t="shared" si="184"/>
        <v>-2525</v>
      </c>
      <c r="AY140" s="37">
        <f t="shared" si="178"/>
        <v>-326967</v>
      </c>
    </row>
    <row r="141" spans="1:51" x14ac:dyDescent="0.25">
      <c r="B141" s="2" t="s">
        <v>4</v>
      </c>
      <c r="C141" s="2">
        <v>2020</v>
      </c>
      <c r="D141" s="1">
        <v>6083</v>
      </c>
      <c r="E141" s="11">
        <v>640335</v>
      </c>
      <c r="F141" s="1">
        <v>2670</v>
      </c>
      <c r="G141" s="11">
        <v>345155</v>
      </c>
      <c r="H141" s="1">
        <v>386</v>
      </c>
      <c r="I141" s="11">
        <v>51202</v>
      </c>
      <c r="J141" s="1">
        <v>0</v>
      </c>
      <c r="K141" s="11">
        <v>0</v>
      </c>
      <c r="L141" s="1">
        <v>0</v>
      </c>
      <c r="M141" s="11">
        <v>0</v>
      </c>
      <c r="N141" s="1">
        <v>4419</v>
      </c>
      <c r="O141" s="11">
        <v>718468</v>
      </c>
      <c r="P141" s="1">
        <v>0</v>
      </c>
      <c r="Q141" s="11">
        <v>0</v>
      </c>
      <c r="R141" s="8">
        <f t="shared" si="168"/>
        <v>13558</v>
      </c>
      <c r="S141" s="11">
        <f t="shared" si="169"/>
        <v>1755160</v>
      </c>
      <c r="T141" t="s">
        <v>62</v>
      </c>
      <c r="W141" s="17">
        <f t="shared" si="185"/>
        <v>0.47713527068889217</v>
      </c>
      <c r="X141" s="17">
        <f t="shared" si="186"/>
        <v>0.52286472931110783</v>
      </c>
      <c r="Y141" s="17">
        <f t="shared" si="187"/>
        <v>0</v>
      </c>
      <c r="Z141" s="17">
        <f t="shared" si="188"/>
        <v>0</v>
      </c>
      <c r="AA141" s="17">
        <f t="shared" si="189"/>
        <v>0.32593302847027583</v>
      </c>
      <c r="AB141" s="17">
        <f t="shared" si="190"/>
        <v>0</v>
      </c>
      <c r="AI141" s="2" t="s">
        <v>4</v>
      </c>
      <c r="AJ141" s="2">
        <v>2020</v>
      </c>
      <c r="AK141" s="1">
        <f t="shared" si="179"/>
        <v>6469</v>
      </c>
      <c r="AL141" s="11">
        <f t="shared" si="180"/>
        <v>691537</v>
      </c>
      <c r="AM141" s="1">
        <f t="shared" si="181"/>
        <v>0</v>
      </c>
      <c r="AN141" s="11">
        <f t="shared" si="170"/>
        <v>0</v>
      </c>
      <c r="AO141" s="8">
        <f t="shared" si="171"/>
        <v>0</v>
      </c>
      <c r="AP141" s="11">
        <f t="shared" si="172"/>
        <v>0</v>
      </c>
      <c r="AQ141" s="8">
        <f t="shared" si="173"/>
        <v>4419</v>
      </c>
      <c r="AR141" s="11">
        <f t="shared" si="174"/>
        <v>718468</v>
      </c>
      <c r="AS141" s="8">
        <f t="shared" si="175"/>
        <v>0</v>
      </c>
      <c r="AT141" s="11">
        <f t="shared" si="176"/>
        <v>0</v>
      </c>
      <c r="AU141" s="8">
        <f t="shared" si="182"/>
        <v>10888</v>
      </c>
      <c r="AV141" s="11">
        <f t="shared" si="177"/>
        <v>1410005</v>
      </c>
      <c r="AW141" t="str">
        <f t="shared" si="183"/>
        <v>CAMS</v>
      </c>
      <c r="AX141" s="37">
        <f t="shared" si="184"/>
        <v>-2670</v>
      </c>
      <c r="AY141" s="37">
        <f t="shared" si="178"/>
        <v>-345155</v>
      </c>
    </row>
    <row r="142" spans="1:51" x14ac:dyDescent="0.25">
      <c r="B142" s="2" t="s">
        <v>28</v>
      </c>
      <c r="C142" s="2">
        <v>2020</v>
      </c>
      <c r="D142" s="1">
        <v>5768</v>
      </c>
      <c r="E142" s="11">
        <v>611402</v>
      </c>
      <c r="F142" s="1">
        <v>2491</v>
      </c>
      <c r="G142" s="11">
        <v>305855</v>
      </c>
      <c r="H142" s="1">
        <v>387</v>
      </c>
      <c r="I142" s="11">
        <v>51154</v>
      </c>
      <c r="J142" s="1">
        <v>0</v>
      </c>
      <c r="K142" s="11">
        <v>0</v>
      </c>
      <c r="L142" s="1">
        <v>0</v>
      </c>
      <c r="M142" s="11">
        <v>0</v>
      </c>
      <c r="N142" s="1">
        <v>4290</v>
      </c>
      <c r="O142" s="11">
        <v>680487</v>
      </c>
      <c r="P142" s="1">
        <v>0</v>
      </c>
      <c r="Q142" s="11">
        <v>0</v>
      </c>
      <c r="R142" s="8">
        <f t="shared" si="168"/>
        <v>12936</v>
      </c>
      <c r="S142" s="11">
        <f t="shared" si="169"/>
        <v>1648898</v>
      </c>
      <c r="T142" t="s">
        <v>62</v>
      </c>
      <c r="W142" s="17">
        <f t="shared" si="185"/>
        <v>0.47580395794681507</v>
      </c>
      <c r="X142" s="17">
        <f t="shared" si="186"/>
        <v>0.52419604205318493</v>
      </c>
      <c r="Y142" s="17">
        <f t="shared" si="187"/>
        <v>0</v>
      </c>
      <c r="Z142" s="17">
        <f t="shared" si="188"/>
        <v>0</v>
      </c>
      <c r="AA142" s="17">
        <f t="shared" si="189"/>
        <v>0.33163265306122447</v>
      </c>
      <c r="AB142" s="17">
        <f t="shared" si="190"/>
        <v>0</v>
      </c>
      <c r="AI142" s="2" t="s">
        <v>28</v>
      </c>
      <c r="AJ142" s="2">
        <v>2020</v>
      </c>
      <c r="AK142" s="1">
        <f t="shared" si="179"/>
        <v>6155</v>
      </c>
      <c r="AL142" s="11">
        <f t="shared" si="180"/>
        <v>662556</v>
      </c>
      <c r="AM142" s="1">
        <f t="shared" si="181"/>
        <v>0</v>
      </c>
      <c r="AN142" s="11">
        <f t="shared" si="170"/>
        <v>0</v>
      </c>
      <c r="AO142" s="8">
        <f t="shared" si="171"/>
        <v>0</v>
      </c>
      <c r="AP142" s="11">
        <f t="shared" si="172"/>
        <v>0</v>
      </c>
      <c r="AQ142" s="8">
        <f t="shared" si="173"/>
        <v>4290</v>
      </c>
      <c r="AR142" s="11">
        <f t="shared" si="174"/>
        <v>680487</v>
      </c>
      <c r="AS142" s="8">
        <f t="shared" si="175"/>
        <v>0</v>
      </c>
      <c r="AT142" s="11">
        <f t="shared" si="176"/>
        <v>0</v>
      </c>
      <c r="AU142" s="8">
        <f t="shared" si="182"/>
        <v>10445</v>
      </c>
      <c r="AV142" s="11">
        <f t="shared" si="177"/>
        <v>1343043</v>
      </c>
      <c r="AW142" t="str">
        <f t="shared" si="183"/>
        <v>CAMS</v>
      </c>
      <c r="AX142" s="37">
        <f t="shared" si="184"/>
        <v>-2491</v>
      </c>
      <c r="AY142" s="37">
        <f t="shared" si="178"/>
        <v>-305855</v>
      </c>
    </row>
    <row r="143" spans="1:51" x14ac:dyDescent="0.25">
      <c r="B143" s="2" t="s">
        <v>29</v>
      </c>
      <c r="C143" s="2">
        <v>2020</v>
      </c>
      <c r="D143" s="1">
        <v>6375</v>
      </c>
      <c r="E143" s="11">
        <v>663026</v>
      </c>
      <c r="F143" s="1">
        <v>2805</v>
      </c>
      <c r="G143" s="11">
        <v>346692</v>
      </c>
      <c r="H143" s="1">
        <v>656</v>
      </c>
      <c r="I143" s="11">
        <v>108024</v>
      </c>
      <c r="J143" s="1">
        <v>0</v>
      </c>
      <c r="K143" s="11">
        <v>0</v>
      </c>
      <c r="L143" s="1">
        <v>0</v>
      </c>
      <c r="M143" s="11">
        <v>0</v>
      </c>
      <c r="N143" s="1">
        <v>4971</v>
      </c>
      <c r="O143" s="11">
        <v>812740</v>
      </c>
      <c r="P143" s="1">
        <v>0</v>
      </c>
      <c r="Q143" s="11">
        <v>0</v>
      </c>
      <c r="R143" s="8">
        <f t="shared" si="168"/>
        <v>14807</v>
      </c>
      <c r="S143" s="11">
        <f t="shared" si="169"/>
        <v>1930482</v>
      </c>
      <c r="T143" t="s">
        <v>62</v>
      </c>
      <c r="W143" s="17">
        <f t="shared" si="185"/>
        <v>0.47484297967177685</v>
      </c>
      <c r="X143" s="17">
        <f t="shared" si="186"/>
        <v>0.5251570203282232</v>
      </c>
      <c r="Y143" s="17">
        <f t="shared" si="187"/>
        <v>0</v>
      </c>
      <c r="Z143" s="17">
        <f t="shared" si="188"/>
        <v>0</v>
      </c>
      <c r="AA143" s="17">
        <f t="shared" si="189"/>
        <v>0.33571959208482477</v>
      </c>
      <c r="AB143" s="17">
        <f t="shared" si="190"/>
        <v>0</v>
      </c>
      <c r="AI143" s="2" t="s">
        <v>29</v>
      </c>
      <c r="AJ143" s="2">
        <v>2020</v>
      </c>
      <c r="AK143" s="1">
        <f t="shared" si="179"/>
        <v>7031</v>
      </c>
      <c r="AL143" s="11">
        <f t="shared" si="180"/>
        <v>771050</v>
      </c>
      <c r="AM143" s="1">
        <f t="shared" si="181"/>
        <v>0</v>
      </c>
      <c r="AN143" s="11">
        <f t="shared" si="170"/>
        <v>0</v>
      </c>
      <c r="AO143" s="8">
        <f t="shared" si="171"/>
        <v>0</v>
      </c>
      <c r="AP143" s="11">
        <f t="shared" si="172"/>
        <v>0</v>
      </c>
      <c r="AQ143" s="8">
        <f t="shared" si="173"/>
        <v>4971</v>
      </c>
      <c r="AR143" s="11">
        <f t="shared" si="174"/>
        <v>812740</v>
      </c>
      <c r="AS143" s="8">
        <f t="shared" si="175"/>
        <v>0</v>
      </c>
      <c r="AT143" s="11">
        <f t="shared" si="176"/>
        <v>0</v>
      </c>
      <c r="AU143" s="8">
        <f t="shared" si="182"/>
        <v>12002</v>
      </c>
      <c r="AV143" s="11">
        <f t="shared" si="177"/>
        <v>1583790</v>
      </c>
      <c r="AW143" t="str">
        <f t="shared" si="183"/>
        <v>CAMS</v>
      </c>
      <c r="AX143" s="37">
        <f t="shared" si="184"/>
        <v>-2805</v>
      </c>
      <c r="AY143" s="37">
        <f t="shared" si="178"/>
        <v>-346692</v>
      </c>
    </row>
    <row r="144" spans="1:51" x14ac:dyDescent="0.25">
      <c r="B144" s="2" t="s">
        <v>30</v>
      </c>
      <c r="C144" s="2">
        <v>2020</v>
      </c>
      <c r="D144" s="1">
        <v>6061</v>
      </c>
      <c r="E144" s="11">
        <v>617104</v>
      </c>
      <c r="F144" s="1">
        <v>2644</v>
      </c>
      <c r="G144" s="11">
        <v>331051</v>
      </c>
      <c r="H144" s="1">
        <v>585</v>
      </c>
      <c r="I144" s="11">
        <v>95986</v>
      </c>
      <c r="J144" s="1">
        <v>0</v>
      </c>
      <c r="K144" s="11">
        <v>0</v>
      </c>
      <c r="L144" s="1">
        <v>0</v>
      </c>
      <c r="M144" s="11">
        <v>0</v>
      </c>
      <c r="N144" s="1">
        <v>5120</v>
      </c>
      <c r="O144" s="11">
        <v>813559</v>
      </c>
      <c r="P144" s="8">
        <v>0</v>
      </c>
      <c r="Q144" s="11">
        <v>0</v>
      </c>
      <c r="R144" s="8">
        <f t="shared" si="168"/>
        <v>14410</v>
      </c>
      <c r="S144" s="11">
        <f t="shared" si="169"/>
        <v>1857700</v>
      </c>
      <c r="T144" t="s">
        <v>62</v>
      </c>
      <c r="W144" s="17">
        <f t="shared" si="185"/>
        <v>0.46120749479528106</v>
      </c>
      <c r="X144" s="17">
        <f t="shared" si="186"/>
        <v>0.53879250520471889</v>
      </c>
      <c r="Y144" s="17">
        <f t="shared" si="187"/>
        <v>0</v>
      </c>
      <c r="Z144" s="17">
        <f t="shared" si="188"/>
        <v>0</v>
      </c>
      <c r="AA144" s="17">
        <f t="shared" si="189"/>
        <v>0.35530881332408049</v>
      </c>
      <c r="AB144" s="17">
        <f t="shared" si="190"/>
        <v>0</v>
      </c>
      <c r="AI144" s="2" t="s">
        <v>30</v>
      </c>
      <c r="AJ144" s="2">
        <v>2020</v>
      </c>
      <c r="AK144" s="1">
        <f t="shared" si="179"/>
        <v>6646</v>
      </c>
      <c r="AL144" s="11">
        <f t="shared" si="180"/>
        <v>713090</v>
      </c>
      <c r="AM144" s="1">
        <f t="shared" si="181"/>
        <v>0</v>
      </c>
      <c r="AN144" s="11">
        <f t="shared" si="170"/>
        <v>0</v>
      </c>
      <c r="AO144" s="8">
        <f t="shared" si="171"/>
        <v>0</v>
      </c>
      <c r="AP144" s="11">
        <f t="shared" si="172"/>
        <v>0</v>
      </c>
      <c r="AQ144" s="8">
        <f t="shared" si="173"/>
        <v>5120</v>
      </c>
      <c r="AR144" s="11">
        <f t="shared" si="174"/>
        <v>813559</v>
      </c>
      <c r="AS144" s="8">
        <f t="shared" si="175"/>
        <v>0</v>
      </c>
      <c r="AT144" s="11">
        <f t="shared" si="176"/>
        <v>0</v>
      </c>
      <c r="AU144" s="8">
        <f t="shared" si="182"/>
        <v>11766</v>
      </c>
      <c r="AV144" s="11">
        <f t="shared" si="177"/>
        <v>1526649</v>
      </c>
      <c r="AW144" t="str">
        <f t="shared" si="183"/>
        <v>CAMS</v>
      </c>
      <c r="AX144" s="37">
        <f t="shared" si="184"/>
        <v>-2644</v>
      </c>
      <c r="AY144" s="37">
        <f t="shared" si="178"/>
        <v>-331051</v>
      </c>
    </row>
    <row r="145" spans="1:51" x14ac:dyDescent="0.25">
      <c r="B145" s="2" t="s">
        <v>31</v>
      </c>
      <c r="C145" s="2">
        <v>2020</v>
      </c>
      <c r="D145" s="1">
        <v>6850</v>
      </c>
      <c r="E145" s="11">
        <v>681885</v>
      </c>
      <c r="F145" s="1">
        <v>2404</v>
      </c>
      <c r="G145" s="11">
        <v>282605</v>
      </c>
      <c r="H145" s="1">
        <v>695</v>
      </c>
      <c r="I145" s="11">
        <v>116494</v>
      </c>
      <c r="J145" s="1">
        <v>0</v>
      </c>
      <c r="K145" s="11">
        <v>0</v>
      </c>
      <c r="L145" s="1">
        <v>0</v>
      </c>
      <c r="M145" s="11">
        <v>0</v>
      </c>
      <c r="N145" s="1">
        <v>5212</v>
      </c>
      <c r="O145" s="11">
        <v>815039</v>
      </c>
      <c r="P145" s="8">
        <v>0</v>
      </c>
      <c r="Q145" s="11">
        <v>0</v>
      </c>
      <c r="R145" s="8">
        <f t="shared" si="168"/>
        <v>15161</v>
      </c>
      <c r="S145" s="11">
        <f t="shared" si="169"/>
        <v>1896023</v>
      </c>
      <c r="T145" t="s">
        <v>62</v>
      </c>
      <c r="W145" s="17">
        <f t="shared" si="185"/>
        <v>0.49765846580040896</v>
      </c>
      <c r="X145" s="17">
        <f t="shared" si="186"/>
        <v>0.50234153419959104</v>
      </c>
      <c r="Y145" s="17">
        <f t="shared" si="187"/>
        <v>0</v>
      </c>
      <c r="Z145" s="17">
        <f t="shared" si="188"/>
        <v>0</v>
      </c>
      <c r="AA145" s="17">
        <f t="shared" si="189"/>
        <v>0.34377679572587561</v>
      </c>
      <c r="AB145" s="17">
        <f t="shared" si="190"/>
        <v>0</v>
      </c>
      <c r="AI145" s="2" t="s">
        <v>31</v>
      </c>
      <c r="AJ145" s="2">
        <v>2020</v>
      </c>
      <c r="AK145" s="1">
        <f t="shared" si="179"/>
        <v>7545</v>
      </c>
      <c r="AL145" s="11">
        <f t="shared" si="180"/>
        <v>798379</v>
      </c>
      <c r="AM145" s="1">
        <f t="shared" si="181"/>
        <v>0</v>
      </c>
      <c r="AN145" s="11">
        <f t="shared" si="170"/>
        <v>0</v>
      </c>
      <c r="AO145" s="8">
        <f t="shared" si="171"/>
        <v>0</v>
      </c>
      <c r="AP145" s="11">
        <f t="shared" si="172"/>
        <v>0</v>
      </c>
      <c r="AQ145" s="8">
        <f t="shared" si="173"/>
        <v>5212</v>
      </c>
      <c r="AR145" s="11">
        <f t="shared" si="174"/>
        <v>815039</v>
      </c>
      <c r="AS145" s="8">
        <f t="shared" si="175"/>
        <v>0</v>
      </c>
      <c r="AT145" s="11">
        <f t="shared" si="176"/>
        <v>0</v>
      </c>
      <c r="AU145" s="8">
        <f t="shared" si="182"/>
        <v>12757</v>
      </c>
      <c r="AV145" s="11">
        <f t="shared" si="177"/>
        <v>1613418</v>
      </c>
      <c r="AW145" t="str">
        <f t="shared" si="183"/>
        <v>CAMS</v>
      </c>
      <c r="AX145" s="37">
        <f t="shared" si="184"/>
        <v>-2404</v>
      </c>
      <c r="AY145" s="37">
        <f t="shared" si="178"/>
        <v>-282605</v>
      </c>
    </row>
    <row r="146" spans="1:51" x14ac:dyDescent="0.25">
      <c r="W146" s="18"/>
      <c r="X146" s="19"/>
      <c r="Y146" s="18"/>
      <c r="Z146" s="18"/>
      <c r="AA146" s="18"/>
      <c r="AB146" s="18"/>
      <c r="AL146" s="9"/>
      <c r="AN146" s="9"/>
      <c r="AP146" s="9"/>
      <c r="AR146" s="9"/>
      <c r="AS146" s="9"/>
      <c r="AT146" s="9"/>
      <c r="AV146" s="9"/>
    </row>
    <row r="147" spans="1:51" x14ac:dyDescent="0.25">
      <c r="B147" s="3" t="s">
        <v>12</v>
      </c>
      <c r="C147" s="3"/>
      <c r="D147" s="4">
        <f t="shared" ref="D147:S147" si="191">SUM(D134:D146)</f>
        <v>58061</v>
      </c>
      <c r="E147" s="12">
        <f t="shared" si="191"/>
        <v>5795531</v>
      </c>
      <c r="F147" s="4">
        <f t="shared" ref="F147:G147" si="192">SUM(F134:F146)</f>
        <v>25604</v>
      </c>
      <c r="G147" s="12">
        <f t="shared" si="192"/>
        <v>3186484</v>
      </c>
      <c r="H147" s="4">
        <f t="shared" si="191"/>
        <v>5406</v>
      </c>
      <c r="I147" s="12">
        <f t="shared" si="191"/>
        <v>794397</v>
      </c>
      <c r="J147" s="4">
        <f t="shared" si="191"/>
        <v>0</v>
      </c>
      <c r="K147" s="12">
        <f t="shared" si="191"/>
        <v>0</v>
      </c>
      <c r="L147" s="4">
        <f t="shared" si="191"/>
        <v>0</v>
      </c>
      <c r="M147" s="12">
        <f t="shared" si="191"/>
        <v>0</v>
      </c>
      <c r="N147" s="4">
        <f t="shared" si="191"/>
        <v>47796</v>
      </c>
      <c r="O147" s="12">
        <f t="shared" si="191"/>
        <v>7717480</v>
      </c>
      <c r="P147" s="4">
        <f t="shared" si="191"/>
        <v>186</v>
      </c>
      <c r="Q147" s="12">
        <f t="shared" si="191"/>
        <v>22376</v>
      </c>
      <c r="R147" s="4">
        <f t="shared" si="191"/>
        <v>137053</v>
      </c>
      <c r="S147" s="12">
        <f t="shared" si="191"/>
        <v>17516268</v>
      </c>
      <c r="W147" s="16">
        <f>+(D147+H147)/R147</f>
        <v>0.46308362458319047</v>
      </c>
      <c r="X147" s="16">
        <f>1-W147</f>
        <v>0.53691637541680959</v>
      </c>
      <c r="Y147" s="16">
        <f>+J147/R147</f>
        <v>0</v>
      </c>
      <c r="Z147" s="16">
        <f>+L147/R147</f>
        <v>0</v>
      </c>
      <c r="AA147" s="16">
        <f>+N147/R147</f>
        <v>0.34874099800806985</v>
      </c>
      <c r="AB147" s="16">
        <f>+P147/R147</f>
        <v>1.3571392089191774E-3</v>
      </c>
      <c r="AI147" s="3" t="s">
        <v>12</v>
      </c>
      <c r="AJ147" s="3"/>
      <c r="AK147" s="4">
        <f t="shared" ref="AK147:AV147" si="193">SUM(AK134:AK146)</f>
        <v>63467</v>
      </c>
      <c r="AL147" s="12">
        <f t="shared" si="193"/>
        <v>6589928</v>
      </c>
      <c r="AM147" s="4">
        <f t="shared" si="193"/>
        <v>0</v>
      </c>
      <c r="AN147" s="12">
        <f t="shared" si="193"/>
        <v>0</v>
      </c>
      <c r="AO147" s="4">
        <f t="shared" si="193"/>
        <v>0</v>
      </c>
      <c r="AP147" s="12">
        <f t="shared" si="193"/>
        <v>0</v>
      </c>
      <c r="AQ147" s="4">
        <f t="shared" si="193"/>
        <v>47796</v>
      </c>
      <c r="AR147" s="12">
        <f t="shared" si="193"/>
        <v>7717480</v>
      </c>
      <c r="AS147" s="4">
        <f t="shared" si="193"/>
        <v>186</v>
      </c>
      <c r="AT147" s="12">
        <f t="shared" si="193"/>
        <v>22376</v>
      </c>
      <c r="AU147" s="4">
        <f t="shared" si="193"/>
        <v>111449</v>
      </c>
      <c r="AV147" s="12">
        <f t="shared" si="193"/>
        <v>14329784</v>
      </c>
    </row>
    <row r="148" spans="1:51" x14ac:dyDescent="0.25">
      <c r="L148" s="28">
        <f>AVERAGE(L134:L143)</f>
        <v>0</v>
      </c>
      <c r="M148" s="28">
        <f>AVERAGE(M134:M143)</f>
        <v>0</v>
      </c>
      <c r="R148" s="28">
        <f>AVERAGE(R134:R143)</f>
        <v>10748.2</v>
      </c>
      <c r="S148" s="28">
        <f>AVERAGE(S134:S143)</f>
        <v>1376254.5</v>
      </c>
    </row>
    <row r="149" spans="1:51" x14ac:dyDescent="0.25">
      <c r="B149" s="5" t="s">
        <v>14</v>
      </c>
      <c r="L149" s="28"/>
      <c r="M149" s="28"/>
      <c r="R149" s="44">
        <f>+L148/R148</f>
        <v>0</v>
      </c>
      <c r="S149" s="44">
        <f>+M148/S148</f>
        <v>0</v>
      </c>
    </row>
    <row r="150" spans="1:51" x14ac:dyDescent="0.25">
      <c r="B150" s="5" t="s">
        <v>49</v>
      </c>
    </row>
    <row r="151" spans="1:51" x14ac:dyDescent="0.25">
      <c r="B151" s="5"/>
    </row>
    <row r="152" spans="1:51" x14ac:dyDescent="0.25">
      <c r="D152" s="89" t="s">
        <v>15</v>
      </c>
      <c r="E152" s="90"/>
      <c r="F152" s="89" t="s">
        <v>71</v>
      </c>
      <c r="G152" s="90"/>
      <c r="H152" s="89" t="s">
        <v>16</v>
      </c>
      <c r="I152" s="90"/>
      <c r="J152" s="89" t="s">
        <v>17</v>
      </c>
      <c r="K152" s="93"/>
      <c r="L152" s="89" t="s">
        <v>18</v>
      </c>
      <c r="M152" s="93"/>
      <c r="N152" s="89" t="s">
        <v>13</v>
      </c>
      <c r="O152" s="93"/>
      <c r="P152" s="89" t="s">
        <v>34</v>
      </c>
      <c r="Q152" s="93"/>
      <c r="R152" s="89" t="s">
        <v>12</v>
      </c>
      <c r="S152" s="93"/>
      <c r="W152" s="91" t="s">
        <v>42</v>
      </c>
      <c r="X152" s="92"/>
      <c r="Y152" s="92"/>
      <c r="Z152" s="92"/>
      <c r="AA152" s="92"/>
      <c r="AB152" s="92"/>
      <c r="AK152" s="89" t="s">
        <v>69</v>
      </c>
      <c r="AL152" s="90"/>
      <c r="AM152" s="89" t="s">
        <v>17</v>
      </c>
      <c r="AN152" s="93"/>
      <c r="AO152" s="89" t="s">
        <v>18</v>
      </c>
      <c r="AP152" s="93"/>
      <c r="AQ152" s="89" t="s">
        <v>13</v>
      </c>
      <c r="AR152" s="93"/>
      <c r="AS152" s="89" t="s">
        <v>34</v>
      </c>
      <c r="AT152" s="93"/>
      <c r="AU152" s="89" t="s">
        <v>12</v>
      </c>
      <c r="AV152" s="93"/>
    </row>
    <row r="153" spans="1:5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W153" s="7" t="s">
        <v>38</v>
      </c>
      <c r="X153" s="10" t="s">
        <v>39</v>
      </c>
      <c r="Y153" s="10" t="s">
        <v>40</v>
      </c>
      <c r="Z153" s="10" t="s">
        <v>18</v>
      </c>
      <c r="AA153" s="10" t="s">
        <v>13</v>
      </c>
      <c r="AB153" s="10" t="s">
        <v>41</v>
      </c>
      <c r="AD153" s="33">
        <v>2019</v>
      </c>
      <c r="AE153" s="34">
        <v>0.65767428729760102</v>
      </c>
      <c r="AF153" s="33">
        <v>2019</v>
      </c>
      <c r="AG153" s="35">
        <v>7.1798588754356319E-3</v>
      </c>
      <c r="AI153" s="7" t="s">
        <v>0</v>
      </c>
      <c r="AJ153" s="7" t="s">
        <v>1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  <c r="AU153" s="7" t="s">
        <v>2</v>
      </c>
      <c r="AV153" s="10" t="s">
        <v>3</v>
      </c>
    </row>
    <row r="154" spans="1:51" x14ac:dyDescent="0.25">
      <c r="X154" s="9"/>
      <c r="AL154" s="9"/>
      <c r="AN154" s="9"/>
      <c r="AP154" s="9"/>
      <c r="AR154" s="9"/>
      <c r="AS154" s="9"/>
      <c r="AT154" s="9"/>
      <c r="AV154" s="9"/>
    </row>
    <row r="155" spans="1:51" x14ac:dyDescent="0.25">
      <c r="B155" s="2" t="s">
        <v>5</v>
      </c>
      <c r="C155" s="2">
        <v>2020</v>
      </c>
      <c r="D155" s="1">
        <v>58</v>
      </c>
      <c r="E155" s="11">
        <v>14550</v>
      </c>
      <c r="F155" s="8">
        <v>12</v>
      </c>
      <c r="G155" s="11">
        <v>3320</v>
      </c>
      <c r="H155" s="1">
        <v>30</v>
      </c>
      <c r="I155" s="11">
        <v>10567</v>
      </c>
      <c r="J155" s="1">
        <v>22569</v>
      </c>
      <c r="K155" s="11">
        <v>8371404</v>
      </c>
      <c r="L155" s="1">
        <v>2896</v>
      </c>
      <c r="M155" s="11">
        <v>1035451</v>
      </c>
      <c r="N155" s="1">
        <v>417</v>
      </c>
      <c r="O155" s="11">
        <v>144236</v>
      </c>
      <c r="P155" s="1">
        <v>0</v>
      </c>
      <c r="Q155" s="11">
        <v>0</v>
      </c>
      <c r="R155" s="8">
        <f t="shared" ref="R155:R166" si="194">N155+L155+J155+H155+D155+P155+F155</f>
        <v>25982</v>
      </c>
      <c r="S155" s="11">
        <f t="shared" ref="S155:S166" si="195">O155+M155+K155+I155+E155+Q155+G155</f>
        <v>9579528</v>
      </c>
      <c r="T155" t="s">
        <v>63</v>
      </c>
      <c r="W155" s="17">
        <f>+(D155+H155)/R155</f>
        <v>3.3869602032176121E-3</v>
      </c>
      <c r="X155" s="17">
        <f t="shared" ref="X155:X166" si="196">1-W155</f>
        <v>0.9966130397967824</v>
      </c>
      <c r="Y155" s="17">
        <f>+J155/R155</f>
        <v>0.86863982757293512</v>
      </c>
      <c r="Z155" s="17">
        <f>+L155/R155</f>
        <v>0.11146178123316142</v>
      </c>
      <c r="AA155" s="17">
        <f>+N155/R155</f>
        <v>1.6049572781156186E-2</v>
      </c>
      <c r="AB155" s="17">
        <f>+P155/R155</f>
        <v>0</v>
      </c>
      <c r="AD155" s="30">
        <v>15031</v>
      </c>
      <c r="AE155" s="30">
        <f t="shared" ref="AE155:AE166" si="197">+AD155/J155</f>
        <v>0.66600203819398285</v>
      </c>
      <c r="AF155" s="31">
        <v>57905.432499999995</v>
      </c>
      <c r="AG155" s="32">
        <f t="shared" ref="AG155:AG166" si="198">+AF155/K155</f>
        <v>6.9170514886152902E-3</v>
      </c>
      <c r="AI155" s="2" t="s">
        <v>5</v>
      </c>
      <c r="AJ155" s="2">
        <v>2020</v>
      </c>
      <c r="AK155" s="1">
        <f>D155+H155</f>
        <v>88</v>
      </c>
      <c r="AL155" s="11">
        <f>E155+I155</f>
        <v>25117</v>
      </c>
      <c r="AM155" s="1">
        <f>+J155</f>
        <v>22569</v>
      </c>
      <c r="AN155" s="11">
        <f t="shared" ref="AN155:AN166" si="199">+K155</f>
        <v>8371404</v>
      </c>
      <c r="AO155" s="8">
        <f t="shared" ref="AO155:AO166" si="200">+L155</f>
        <v>2896</v>
      </c>
      <c r="AP155" s="11">
        <f t="shared" ref="AP155:AP166" si="201">+M155</f>
        <v>1035451</v>
      </c>
      <c r="AQ155" s="8">
        <f t="shared" ref="AQ155:AQ166" si="202">+N155</f>
        <v>417</v>
      </c>
      <c r="AR155" s="11">
        <f t="shared" ref="AR155:AR166" si="203">+O155</f>
        <v>144236</v>
      </c>
      <c r="AS155" s="8">
        <f t="shared" ref="AS155:AS166" si="204">+P155</f>
        <v>0</v>
      </c>
      <c r="AT155" s="11">
        <f t="shared" ref="AT155:AT166" si="205">+Q155</f>
        <v>0</v>
      </c>
      <c r="AU155" s="8">
        <f>AS155+AQ155+AO155+AM155+AK155</f>
        <v>25970</v>
      </c>
      <c r="AV155" s="11">
        <f t="shared" ref="AV155:AV166" si="206">AT155+AR155+AP155+AN155+AL155</f>
        <v>9576208</v>
      </c>
      <c r="AW155" t="str">
        <f>+T155</f>
        <v>CALH</v>
      </c>
      <c r="AX155" s="37">
        <f>+AU155-R155</f>
        <v>-12</v>
      </c>
      <c r="AY155" s="37">
        <f t="shared" ref="AY155:AY166" si="207">+AV155-S155</f>
        <v>-3320</v>
      </c>
    </row>
    <row r="156" spans="1:51" x14ac:dyDescent="0.25">
      <c r="B156" s="2" t="s">
        <v>6</v>
      </c>
      <c r="C156" s="2">
        <v>2020</v>
      </c>
      <c r="D156" s="1">
        <v>55</v>
      </c>
      <c r="E156" s="11">
        <v>16811</v>
      </c>
      <c r="F156" s="8">
        <v>42</v>
      </c>
      <c r="G156" s="11">
        <v>12517</v>
      </c>
      <c r="H156" s="1">
        <v>53</v>
      </c>
      <c r="I156" s="11">
        <v>18730</v>
      </c>
      <c r="J156" s="1">
        <v>24017</v>
      </c>
      <c r="K156" s="11">
        <v>9034166</v>
      </c>
      <c r="L156" s="1">
        <v>3512</v>
      </c>
      <c r="M156" s="11">
        <v>1275513</v>
      </c>
      <c r="N156" s="1">
        <v>373</v>
      </c>
      <c r="O156" s="11">
        <v>138947</v>
      </c>
      <c r="P156" s="1">
        <v>0</v>
      </c>
      <c r="Q156" s="11">
        <v>0</v>
      </c>
      <c r="R156" s="8">
        <f t="shared" si="194"/>
        <v>28052</v>
      </c>
      <c r="S156" s="11">
        <f t="shared" si="195"/>
        <v>10496684</v>
      </c>
      <c r="T156" t="s">
        <v>63</v>
      </c>
      <c r="W156" s="17">
        <f>+(D156+H156)/R156</f>
        <v>3.8499928703835734E-3</v>
      </c>
      <c r="X156" s="17">
        <f t="shared" si="196"/>
        <v>0.99615000712961643</v>
      </c>
      <c r="Y156" s="17">
        <f>+J156/R156</f>
        <v>0.85615998859261366</v>
      </c>
      <c r="Z156" s="17">
        <f>+L156/R156</f>
        <v>0.12519606445173251</v>
      </c>
      <c r="AA156" s="17">
        <f>+N156/R156</f>
        <v>1.3296734635676601E-2</v>
      </c>
      <c r="AB156" s="17">
        <f>+P156/R156</f>
        <v>0</v>
      </c>
      <c r="AD156" s="30">
        <v>15751.75</v>
      </c>
      <c r="AE156" s="30">
        <f t="shared" si="197"/>
        <v>0.65585835033517925</v>
      </c>
      <c r="AF156" s="31">
        <v>64372.332499999997</v>
      </c>
      <c r="AG156" s="32">
        <f t="shared" si="198"/>
        <v>7.1254316668522581E-3</v>
      </c>
      <c r="AI156" s="2" t="s">
        <v>6</v>
      </c>
      <c r="AJ156" s="2">
        <v>2020</v>
      </c>
      <c r="AK156" s="1">
        <f t="shared" ref="AK156:AK166" si="208">D156+H156</f>
        <v>108</v>
      </c>
      <c r="AL156" s="11">
        <f t="shared" ref="AL156:AL166" si="209">E156+I156</f>
        <v>35541</v>
      </c>
      <c r="AM156" s="1">
        <f t="shared" ref="AM156:AM166" si="210">+J156</f>
        <v>24017</v>
      </c>
      <c r="AN156" s="11">
        <f t="shared" si="199"/>
        <v>9034166</v>
      </c>
      <c r="AO156" s="8">
        <f t="shared" si="200"/>
        <v>3512</v>
      </c>
      <c r="AP156" s="11">
        <f t="shared" si="201"/>
        <v>1275513</v>
      </c>
      <c r="AQ156" s="8">
        <f t="shared" si="202"/>
        <v>373</v>
      </c>
      <c r="AR156" s="11">
        <f t="shared" si="203"/>
        <v>138947</v>
      </c>
      <c r="AS156" s="8">
        <f t="shared" si="204"/>
        <v>0</v>
      </c>
      <c r="AT156" s="11">
        <f t="shared" si="205"/>
        <v>0</v>
      </c>
      <c r="AU156" s="8">
        <f t="shared" ref="AU156:AU166" si="211">AS156+AQ156+AO156+AM156+AK156</f>
        <v>28010</v>
      </c>
      <c r="AV156" s="11">
        <f t="shared" si="206"/>
        <v>10484167</v>
      </c>
      <c r="AW156" t="str">
        <f t="shared" ref="AW156:AW166" si="212">+T156</f>
        <v>CALH</v>
      </c>
      <c r="AX156" s="37">
        <f t="shared" ref="AX156:AX166" si="213">+AU156-R156</f>
        <v>-42</v>
      </c>
      <c r="AY156" s="37">
        <f t="shared" si="207"/>
        <v>-12517</v>
      </c>
    </row>
    <row r="157" spans="1:51" x14ac:dyDescent="0.25">
      <c r="B157" s="2" t="s">
        <v>7</v>
      </c>
      <c r="C157" s="2">
        <v>2020</v>
      </c>
      <c r="D157" s="1">
        <v>75</v>
      </c>
      <c r="E157" s="11">
        <v>23289</v>
      </c>
      <c r="F157" s="8">
        <v>188</v>
      </c>
      <c r="G157" s="11">
        <v>74179</v>
      </c>
      <c r="H157" s="1">
        <v>40</v>
      </c>
      <c r="I157" s="11">
        <v>13064</v>
      </c>
      <c r="J157" s="1">
        <v>26315</v>
      </c>
      <c r="K157" s="11">
        <v>9809315</v>
      </c>
      <c r="L157" s="1">
        <v>3793</v>
      </c>
      <c r="M157" s="11">
        <v>1389728</v>
      </c>
      <c r="N157" s="1">
        <v>501</v>
      </c>
      <c r="O157" s="11">
        <v>178958</v>
      </c>
      <c r="P157" s="1">
        <v>0</v>
      </c>
      <c r="Q157" s="11">
        <v>0</v>
      </c>
      <c r="R157" s="8">
        <f t="shared" si="194"/>
        <v>30912</v>
      </c>
      <c r="S157" s="11">
        <f t="shared" si="195"/>
        <v>11488533</v>
      </c>
      <c r="T157" t="s">
        <v>63</v>
      </c>
      <c r="W157" s="17">
        <f>+(D157+H157)/R157</f>
        <v>3.720238095238095E-3</v>
      </c>
      <c r="X157" s="17">
        <f t="shared" si="196"/>
        <v>0.99627976190476186</v>
      </c>
      <c r="Y157" s="17">
        <f>+J157/R157</f>
        <v>0.85128752587991718</v>
      </c>
      <c r="Z157" s="17">
        <f>+L157/R157</f>
        <v>0.12270315734989648</v>
      </c>
      <c r="AA157" s="17">
        <f>+N157/R157</f>
        <v>1.6207298136645964E-2</v>
      </c>
      <c r="AB157" s="17">
        <f>+P157/R157</f>
        <v>0</v>
      </c>
      <c r="AD157" s="30">
        <v>17364.25</v>
      </c>
      <c r="AE157" s="30">
        <f t="shared" si="197"/>
        <v>0.65986129583887521</v>
      </c>
      <c r="AF157" s="31">
        <v>69270.625</v>
      </c>
      <c r="AG157" s="32">
        <f t="shared" si="198"/>
        <v>7.061718886588921E-3</v>
      </c>
      <c r="AI157" s="2" t="s">
        <v>7</v>
      </c>
      <c r="AJ157" s="2">
        <v>2020</v>
      </c>
      <c r="AK157" s="1">
        <f t="shared" si="208"/>
        <v>115</v>
      </c>
      <c r="AL157" s="11">
        <f t="shared" si="209"/>
        <v>36353</v>
      </c>
      <c r="AM157" s="1">
        <f t="shared" si="210"/>
        <v>26315</v>
      </c>
      <c r="AN157" s="11">
        <f t="shared" si="199"/>
        <v>9809315</v>
      </c>
      <c r="AO157" s="8">
        <f t="shared" si="200"/>
        <v>3793</v>
      </c>
      <c r="AP157" s="11">
        <f t="shared" si="201"/>
        <v>1389728</v>
      </c>
      <c r="AQ157" s="8">
        <f t="shared" si="202"/>
        <v>501</v>
      </c>
      <c r="AR157" s="11">
        <f t="shared" si="203"/>
        <v>178958</v>
      </c>
      <c r="AS157" s="8">
        <f t="shared" si="204"/>
        <v>0</v>
      </c>
      <c r="AT157" s="11">
        <f t="shared" si="205"/>
        <v>0</v>
      </c>
      <c r="AU157" s="8">
        <f t="shared" si="211"/>
        <v>30724</v>
      </c>
      <c r="AV157" s="11">
        <f t="shared" si="206"/>
        <v>11414354</v>
      </c>
      <c r="AW157" t="str">
        <f t="shared" si="212"/>
        <v>CALH</v>
      </c>
      <c r="AX157" s="37">
        <f t="shared" si="213"/>
        <v>-188</v>
      </c>
      <c r="AY157" s="37">
        <f t="shared" si="207"/>
        <v>-74179</v>
      </c>
    </row>
    <row r="158" spans="1:51" x14ac:dyDescent="0.25">
      <c r="B158" s="2" t="s">
        <v>8</v>
      </c>
      <c r="C158" s="2">
        <v>2020</v>
      </c>
      <c r="D158" s="1">
        <v>138</v>
      </c>
      <c r="E158" s="11">
        <v>32008</v>
      </c>
      <c r="F158" s="8">
        <v>96</v>
      </c>
      <c r="G158" s="11">
        <v>36833</v>
      </c>
      <c r="H158" s="1">
        <v>30</v>
      </c>
      <c r="I158" s="11">
        <v>9766</v>
      </c>
      <c r="J158" s="1">
        <v>21268</v>
      </c>
      <c r="K158" s="11">
        <v>7982204</v>
      </c>
      <c r="L158" s="1">
        <v>2932</v>
      </c>
      <c r="M158" s="11">
        <v>1114459</v>
      </c>
      <c r="N158" s="1">
        <v>464</v>
      </c>
      <c r="O158" s="11">
        <v>166223</v>
      </c>
      <c r="P158" s="8">
        <v>0</v>
      </c>
      <c r="Q158" s="11">
        <v>0</v>
      </c>
      <c r="R158" s="8">
        <f t="shared" si="194"/>
        <v>24928</v>
      </c>
      <c r="S158" s="11">
        <f t="shared" si="195"/>
        <v>9341493</v>
      </c>
      <c r="T158" t="s">
        <v>63</v>
      </c>
      <c r="W158" s="17">
        <f t="shared" ref="W158:W166" si="214">+(D158+H158)/R158</f>
        <v>6.7394094993581512E-3</v>
      </c>
      <c r="X158" s="17">
        <f t="shared" si="196"/>
        <v>0.99326059050064186</v>
      </c>
      <c r="Y158" s="17">
        <f t="shared" ref="Y158:Y166" si="215">+J158/R158</f>
        <v>0.85317715019255458</v>
      </c>
      <c r="Z158" s="17">
        <f t="shared" ref="Z158:Z166" si="216">+L158/R158</f>
        <v>0.11761874197689345</v>
      </c>
      <c r="AA158" s="17">
        <f t="shared" ref="AA158:AA166" si="217">+N158/R158</f>
        <v>1.8613607188703467E-2</v>
      </c>
      <c r="AB158" s="17">
        <f t="shared" ref="AB158:AB166" si="218">+P158/R158</f>
        <v>0</v>
      </c>
      <c r="AD158" s="30">
        <v>13929</v>
      </c>
      <c r="AE158" s="30">
        <f t="shared" si="197"/>
        <v>0.65492759074666163</v>
      </c>
      <c r="AF158" s="31">
        <v>57397.770000000004</v>
      </c>
      <c r="AG158" s="32">
        <f t="shared" si="198"/>
        <v>7.1907169999664254E-3</v>
      </c>
      <c r="AI158" s="2" t="s">
        <v>8</v>
      </c>
      <c r="AJ158" s="2">
        <v>2020</v>
      </c>
      <c r="AK158" s="1">
        <f t="shared" si="208"/>
        <v>168</v>
      </c>
      <c r="AL158" s="11">
        <f t="shared" si="209"/>
        <v>41774</v>
      </c>
      <c r="AM158" s="1">
        <f t="shared" si="210"/>
        <v>21268</v>
      </c>
      <c r="AN158" s="11">
        <f t="shared" si="199"/>
        <v>7982204</v>
      </c>
      <c r="AO158" s="8">
        <f t="shared" si="200"/>
        <v>2932</v>
      </c>
      <c r="AP158" s="11">
        <f t="shared" si="201"/>
        <v>1114459</v>
      </c>
      <c r="AQ158" s="8">
        <f t="shared" si="202"/>
        <v>464</v>
      </c>
      <c r="AR158" s="11">
        <f t="shared" si="203"/>
        <v>166223</v>
      </c>
      <c r="AS158" s="8">
        <f t="shared" si="204"/>
        <v>0</v>
      </c>
      <c r="AT158" s="11">
        <f t="shared" si="205"/>
        <v>0</v>
      </c>
      <c r="AU158" s="8">
        <f t="shared" si="211"/>
        <v>24832</v>
      </c>
      <c r="AV158" s="11">
        <f t="shared" si="206"/>
        <v>9304660</v>
      </c>
      <c r="AW158" t="str">
        <f t="shared" si="212"/>
        <v>CALH</v>
      </c>
      <c r="AX158" s="37">
        <f t="shared" si="213"/>
        <v>-96</v>
      </c>
      <c r="AY158" s="37">
        <f t="shared" si="207"/>
        <v>-36833</v>
      </c>
    </row>
    <row r="159" spans="1:51" x14ac:dyDescent="0.25">
      <c r="B159" s="2" t="s">
        <v>9</v>
      </c>
      <c r="C159" s="2">
        <v>2020</v>
      </c>
      <c r="D159" s="1">
        <v>106</v>
      </c>
      <c r="E159" s="11">
        <v>28184</v>
      </c>
      <c r="F159" s="8">
        <v>85</v>
      </c>
      <c r="G159" s="11">
        <v>31010</v>
      </c>
      <c r="H159" s="1">
        <v>27</v>
      </c>
      <c r="I159" s="11">
        <v>9830</v>
      </c>
      <c r="J159" s="1">
        <v>19648</v>
      </c>
      <c r="K159" s="11">
        <v>7310417</v>
      </c>
      <c r="L159" s="1">
        <v>2697</v>
      </c>
      <c r="M159" s="11">
        <v>1027767</v>
      </c>
      <c r="N159" s="1">
        <v>557</v>
      </c>
      <c r="O159" s="11">
        <v>200921</v>
      </c>
      <c r="P159" s="8">
        <v>0</v>
      </c>
      <c r="Q159" s="11">
        <v>0</v>
      </c>
      <c r="R159" s="8">
        <f t="shared" si="194"/>
        <v>23120</v>
      </c>
      <c r="S159" s="11">
        <f t="shared" si="195"/>
        <v>8608129</v>
      </c>
      <c r="T159" t="s">
        <v>63</v>
      </c>
      <c r="W159" s="17">
        <f t="shared" si="214"/>
        <v>5.7525951557093422E-3</v>
      </c>
      <c r="X159" s="17">
        <f t="shared" si="196"/>
        <v>0.99424740484429064</v>
      </c>
      <c r="Y159" s="17">
        <f t="shared" si="215"/>
        <v>0.84982698961937719</v>
      </c>
      <c r="Z159" s="17">
        <f t="shared" si="216"/>
        <v>0.11665224913494809</v>
      </c>
      <c r="AA159" s="17">
        <f t="shared" si="217"/>
        <v>2.4091695501730105E-2</v>
      </c>
      <c r="AB159" s="17">
        <f t="shared" si="218"/>
        <v>0</v>
      </c>
      <c r="AD159" s="30">
        <v>12856</v>
      </c>
      <c r="AE159" s="30">
        <f t="shared" si="197"/>
        <v>0.65431596091205213</v>
      </c>
      <c r="AF159" s="31">
        <v>52651.69</v>
      </c>
      <c r="AG159" s="32">
        <f t="shared" si="198"/>
        <v>7.2022827151994205E-3</v>
      </c>
      <c r="AI159" s="2" t="s">
        <v>9</v>
      </c>
      <c r="AJ159" s="2">
        <v>2020</v>
      </c>
      <c r="AK159" s="1">
        <f t="shared" si="208"/>
        <v>133</v>
      </c>
      <c r="AL159" s="11">
        <f t="shared" si="209"/>
        <v>38014</v>
      </c>
      <c r="AM159" s="1">
        <f t="shared" si="210"/>
        <v>19648</v>
      </c>
      <c r="AN159" s="11">
        <f t="shared" si="199"/>
        <v>7310417</v>
      </c>
      <c r="AO159" s="8">
        <f t="shared" si="200"/>
        <v>2697</v>
      </c>
      <c r="AP159" s="11">
        <f t="shared" si="201"/>
        <v>1027767</v>
      </c>
      <c r="AQ159" s="8">
        <f t="shared" si="202"/>
        <v>557</v>
      </c>
      <c r="AR159" s="11">
        <f t="shared" si="203"/>
        <v>200921</v>
      </c>
      <c r="AS159" s="8">
        <f t="shared" si="204"/>
        <v>0</v>
      </c>
      <c r="AT159" s="11">
        <f t="shared" si="205"/>
        <v>0</v>
      </c>
      <c r="AU159" s="8">
        <f t="shared" si="211"/>
        <v>23035</v>
      </c>
      <c r="AV159" s="11">
        <f t="shared" si="206"/>
        <v>8577119</v>
      </c>
      <c r="AW159" t="str">
        <f t="shared" si="212"/>
        <v>CALH</v>
      </c>
      <c r="AX159" s="37">
        <f t="shared" si="213"/>
        <v>-85</v>
      </c>
      <c r="AY159" s="37">
        <f t="shared" si="207"/>
        <v>-31010</v>
      </c>
    </row>
    <row r="160" spans="1:51" x14ac:dyDescent="0.25">
      <c r="B160" s="2" t="s">
        <v>10</v>
      </c>
      <c r="C160" s="2">
        <v>2020</v>
      </c>
      <c r="D160" s="1">
        <v>134</v>
      </c>
      <c r="E160" s="11">
        <v>36995</v>
      </c>
      <c r="F160" s="8">
        <v>291</v>
      </c>
      <c r="G160" s="11">
        <v>119295</v>
      </c>
      <c r="H160" s="1">
        <v>36</v>
      </c>
      <c r="I160" s="11">
        <v>12891</v>
      </c>
      <c r="J160" s="1">
        <v>19163</v>
      </c>
      <c r="K160" s="11">
        <v>7007623</v>
      </c>
      <c r="L160" s="1">
        <v>2727</v>
      </c>
      <c r="M160" s="11">
        <v>1016902</v>
      </c>
      <c r="N160" s="1">
        <v>507</v>
      </c>
      <c r="O160" s="11">
        <v>183417</v>
      </c>
      <c r="P160" s="8">
        <v>0</v>
      </c>
      <c r="Q160" s="11">
        <v>0</v>
      </c>
      <c r="R160" s="8">
        <f t="shared" si="194"/>
        <v>22858</v>
      </c>
      <c r="S160" s="11">
        <f t="shared" si="195"/>
        <v>8377123</v>
      </c>
      <c r="T160" t="s">
        <v>63</v>
      </c>
      <c r="W160" s="17">
        <f t="shared" si="214"/>
        <v>7.4372211042085922E-3</v>
      </c>
      <c r="X160" s="17">
        <f t="shared" si="196"/>
        <v>0.99256277889579136</v>
      </c>
      <c r="Y160" s="17">
        <f t="shared" si="215"/>
        <v>0.83834981188205437</v>
      </c>
      <c r="Z160" s="17">
        <f t="shared" si="216"/>
        <v>0.11930177618339312</v>
      </c>
      <c r="AA160" s="17">
        <f t="shared" si="217"/>
        <v>2.2180418234316213E-2</v>
      </c>
      <c r="AB160" s="17">
        <f t="shared" si="218"/>
        <v>0</v>
      </c>
      <c r="AD160" s="30">
        <v>12407.75</v>
      </c>
      <c r="AE160" s="30">
        <f t="shared" si="197"/>
        <v>0.64748473621040548</v>
      </c>
      <c r="AF160" s="31">
        <v>51803.11</v>
      </c>
      <c r="AG160" s="32">
        <f t="shared" si="198"/>
        <v>7.392393968682391E-3</v>
      </c>
      <c r="AI160" s="2" t="s">
        <v>10</v>
      </c>
      <c r="AJ160" s="2">
        <v>2020</v>
      </c>
      <c r="AK160" s="1">
        <f t="shared" si="208"/>
        <v>170</v>
      </c>
      <c r="AL160" s="11">
        <f t="shared" si="209"/>
        <v>49886</v>
      </c>
      <c r="AM160" s="1">
        <f t="shared" si="210"/>
        <v>19163</v>
      </c>
      <c r="AN160" s="11">
        <f t="shared" si="199"/>
        <v>7007623</v>
      </c>
      <c r="AO160" s="8">
        <f t="shared" si="200"/>
        <v>2727</v>
      </c>
      <c r="AP160" s="11">
        <f t="shared" si="201"/>
        <v>1016902</v>
      </c>
      <c r="AQ160" s="8">
        <f t="shared" si="202"/>
        <v>507</v>
      </c>
      <c r="AR160" s="11">
        <f t="shared" si="203"/>
        <v>183417</v>
      </c>
      <c r="AS160" s="8">
        <f t="shared" si="204"/>
        <v>0</v>
      </c>
      <c r="AT160" s="11">
        <f t="shared" si="205"/>
        <v>0</v>
      </c>
      <c r="AU160" s="8">
        <f t="shared" si="211"/>
        <v>22567</v>
      </c>
      <c r="AV160" s="11">
        <f t="shared" si="206"/>
        <v>8257828</v>
      </c>
      <c r="AW160" t="str">
        <f t="shared" si="212"/>
        <v>CALH</v>
      </c>
      <c r="AX160" s="37">
        <f t="shared" si="213"/>
        <v>-291</v>
      </c>
      <c r="AY160" s="37">
        <f t="shared" si="207"/>
        <v>-119295</v>
      </c>
    </row>
    <row r="161" spans="1:51" x14ac:dyDescent="0.25">
      <c r="B161" s="2" t="s">
        <v>11</v>
      </c>
      <c r="C161" s="2">
        <v>2020</v>
      </c>
      <c r="D161" s="1">
        <v>114</v>
      </c>
      <c r="E161" s="11">
        <v>34058</v>
      </c>
      <c r="F161" s="8">
        <v>383</v>
      </c>
      <c r="G161" s="11">
        <v>157316</v>
      </c>
      <c r="H161" s="1">
        <v>30</v>
      </c>
      <c r="I161" s="11">
        <v>9990</v>
      </c>
      <c r="J161" s="1">
        <v>20130</v>
      </c>
      <c r="K161" s="11">
        <v>7304713</v>
      </c>
      <c r="L161" s="1">
        <v>2518</v>
      </c>
      <c r="M161" s="11">
        <v>922625</v>
      </c>
      <c r="N161" s="1">
        <v>403</v>
      </c>
      <c r="O161" s="11">
        <v>146415</v>
      </c>
      <c r="P161" s="8">
        <v>0</v>
      </c>
      <c r="Q161" s="11">
        <v>0</v>
      </c>
      <c r="R161" s="8">
        <f t="shared" si="194"/>
        <v>23578</v>
      </c>
      <c r="S161" s="11">
        <f t="shared" si="195"/>
        <v>8575117</v>
      </c>
      <c r="T161" t="s">
        <v>63</v>
      </c>
      <c r="W161" s="17">
        <f t="shared" si="214"/>
        <v>6.1073882432776316E-3</v>
      </c>
      <c r="X161" s="17">
        <f t="shared" si="196"/>
        <v>0.99389261175672239</v>
      </c>
      <c r="Y161" s="17">
        <f t="shared" si="215"/>
        <v>0.85376198150818561</v>
      </c>
      <c r="Z161" s="17">
        <f t="shared" si="216"/>
        <v>0.10679446942064637</v>
      </c>
      <c r="AA161" s="17">
        <f t="shared" si="217"/>
        <v>1.7092204597506148E-2</v>
      </c>
      <c r="AB161" s="17">
        <f t="shared" si="218"/>
        <v>0</v>
      </c>
      <c r="AD161" s="30">
        <v>12940.5</v>
      </c>
      <c r="AE161" s="30">
        <f t="shared" si="197"/>
        <v>0.64284649776453051</v>
      </c>
      <c r="AF161" s="31">
        <v>54648.777499999997</v>
      </c>
      <c r="AG161" s="32">
        <f t="shared" si="198"/>
        <v>7.4813038513628118E-3</v>
      </c>
      <c r="AI161" s="2" t="s">
        <v>11</v>
      </c>
      <c r="AJ161" s="2">
        <v>2020</v>
      </c>
      <c r="AK161" s="1">
        <f t="shared" si="208"/>
        <v>144</v>
      </c>
      <c r="AL161" s="11">
        <f t="shared" si="209"/>
        <v>44048</v>
      </c>
      <c r="AM161" s="1">
        <f t="shared" si="210"/>
        <v>20130</v>
      </c>
      <c r="AN161" s="11">
        <f t="shared" si="199"/>
        <v>7304713</v>
      </c>
      <c r="AO161" s="8">
        <f t="shared" si="200"/>
        <v>2518</v>
      </c>
      <c r="AP161" s="11">
        <f t="shared" si="201"/>
        <v>922625</v>
      </c>
      <c r="AQ161" s="8">
        <f t="shared" si="202"/>
        <v>403</v>
      </c>
      <c r="AR161" s="11">
        <f t="shared" si="203"/>
        <v>146415</v>
      </c>
      <c r="AS161" s="8">
        <f t="shared" si="204"/>
        <v>0</v>
      </c>
      <c r="AT161" s="11">
        <f t="shared" si="205"/>
        <v>0</v>
      </c>
      <c r="AU161" s="8">
        <f t="shared" si="211"/>
        <v>23195</v>
      </c>
      <c r="AV161" s="11">
        <f t="shared" si="206"/>
        <v>8417801</v>
      </c>
      <c r="AW161" t="str">
        <f t="shared" si="212"/>
        <v>CALH</v>
      </c>
      <c r="AX161" s="37">
        <f t="shared" si="213"/>
        <v>-383</v>
      </c>
      <c r="AY161" s="37">
        <f t="shared" si="207"/>
        <v>-157316</v>
      </c>
    </row>
    <row r="162" spans="1:51" x14ac:dyDescent="0.25">
      <c r="B162" s="2" t="s">
        <v>4</v>
      </c>
      <c r="C162" s="2">
        <v>2020</v>
      </c>
      <c r="D162" s="1">
        <v>109</v>
      </c>
      <c r="E162" s="11">
        <v>34306</v>
      </c>
      <c r="F162" s="8">
        <v>294</v>
      </c>
      <c r="G162" s="11">
        <v>119420</v>
      </c>
      <c r="H162" s="1">
        <v>38</v>
      </c>
      <c r="I162" s="11">
        <v>13427</v>
      </c>
      <c r="J162" s="1">
        <v>21335</v>
      </c>
      <c r="K162" s="11">
        <v>7750202</v>
      </c>
      <c r="L162" s="1">
        <v>2352</v>
      </c>
      <c r="M162" s="11">
        <v>851962</v>
      </c>
      <c r="N162" s="1">
        <v>471</v>
      </c>
      <c r="O162" s="11">
        <v>165110</v>
      </c>
      <c r="P162" s="8">
        <v>0</v>
      </c>
      <c r="Q162" s="11">
        <v>0</v>
      </c>
      <c r="R162" s="8">
        <f t="shared" si="194"/>
        <v>24599</v>
      </c>
      <c r="S162" s="11">
        <f t="shared" si="195"/>
        <v>8934427</v>
      </c>
      <c r="T162" t="s">
        <v>63</v>
      </c>
      <c r="W162" s="17">
        <f t="shared" si="214"/>
        <v>5.9758526769380866E-3</v>
      </c>
      <c r="X162" s="17">
        <f t="shared" si="196"/>
        <v>0.99402414732306188</v>
      </c>
      <c r="Y162" s="17">
        <f t="shared" si="215"/>
        <v>0.86731167933655839</v>
      </c>
      <c r="Z162" s="17">
        <f t="shared" si="216"/>
        <v>9.5613642831009385E-2</v>
      </c>
      <c r="AA162" s="17">
        <f t="shared" si="217"/>
        <v>1.9147119801617953E-2</v>
      </c>
      <c r="AB162" s="17">
        <f t="shared" si="218"/>
        <v>0</v>
      </c>
      <c r="AD162" s="30">
        <v>13663</v>
      </c>
      <c r="AE162" s="30">
        <f t="shared" si="197"/>
        <v>0.6404030935083197</v>
      </c>
      <c r="AF162" s="31">
        <v>58747.317499999997</v>
      </c>
      <c r="AG162" s="32">
        <f t="shared" si="198"/>
        <v>7.5801014605812855E-3</v>
      </c>
      <c r="AI162" s="2" t="s">
        <v>4</v>
      </c>
      <c r="AJ162" s="2">
        <v>2020</v>
      </c>
      <c r="AK162" s="1">
        <f t="shared" si="208"/>
        <v>147</v>
      </c>
      <c r="AL162" s="11">
        <f t="shared" si="209"/>
        <v>47733</v>
      </c>
      <c r="AM162" s="1">
        <f t="shared" si="210"/>
        <v>21335</v>
      </c>
      <c r="AN162" s="11">
        <f t="shared" si="199"/>
        <v>7750202</v>
      </c>
      <c r="AO162" s="8">
        <f t="shared" si="200"/>
        <v>2352</v>
      </c>
      <c r="AP162" s="11">
        <f t="shared" si="201"/>
        <v>851962</v>
      </c>
      <c r="AQ162" s="8">
        <f t="shared" si="202"/>
        <v>471</v>
      </c>
      <c r="AR162" s="11">
        <f t="shared" si="203"/>
        <v>165110</v>
      </c>
      <c r="AS162" s="8">
        <f t="shared" si="204"/>
        <v>0</v>
      </c>
      <c r="AT162" s="11">
        <f t="shared" si="205"/>
        <v>0</v>
      </c>
      <c r="AU162" s="8">
        <f t="shared" si="211"/>
        <v>24305</v>
      </c>
      <c r="AV162" s="11">
        <f t="shared" si="206"/>
        <v>8815007</v>
      </c>
      <c r="AW162" t="str">
        <f t="shared" si="212"/>
        <v>CALH</v>
      </c>
      <c r="AX162" s="37">
        <f t="shared" si="213"/>
        <v>-294</v>
      </c>
      <c r="AY162" s="37">
        <f t="shared" si="207"/>
        <v>-119420</v>
      </c>
    </row>
    <row r="163" spans="1:51" x14ac:dyDescent="0.25">
      <c r="B163" s="2" t="s">
        <v>28</v>
      </c>
      <c r="C163" s="2">
        <v>2020</v>
      </c>
      <c r="D163" s="1">
        <v>104</v>
      </c>
      <c r="E163" s="11">
        <v>31998</v>
      </c>
      <c r="F163" s="8">
        <v>260</v>
      </c>
      <c r="G163" s="11">
        <v>105664</v>
      </c>
      <c r="H163" s="1">
        <v>32</v>
      </c>
      <c r="I163" s="11">
        <v>11261</v>
      </c>
      <c r="J163" s="1">
        <v>20321</v>
      </c>
      <c r="K163" s="11">
        <v>7386861</v>
      </c>
      <c r="L163" s="1">
        <v>2366</v>
      </c>
      <c r="M163" s="11">
        <v>832404</v>
      </c>
      <c r="N163" s="1">
        <v>468</v>
      </c>
      <c r="O163" s="11">
        <v>166285</v>
      </c>
      <c r="P163" s="8">
        <v>0</v>
      </c>
      <c r="Q163" s="11">
        <v>0</v>
      </c>
      <c r="R163" s="8">
        <f t="shared" si="194"/>
        <v>23551</v>
      </c>
      <c r="S163" s="11">
        <f t="shared" si="195"/>
        <v>8534473</v>
      </c>
      <c r="T163" t="s">
        <v>63</v>
      </c>
      <c r="W163" s="17">
        <f t="shared" si="214"/>
        <v>5.7747017111799926E-3</v>
      </c>
      <c r="X163" s="17">
        <f t="shared" si="196"/>
        <v>0.99422529828882</v>
      </c>
      <c r="Y163" s="17">
        <f t="shared" si="215"/>
        <v>0.86285083435947518</v>
      </c>
      <c r="Z163" s="17">
        <f t="shared" si="216"/>
        <v>0.10046282535773428</v>
      </c>
      <c r="AA163" s="17">
        <f t="shared" si="217"/>
        <v>1.9871767653178208E-2</v>
      </c>
      <c r="AB163" s="17">
        <f t="shared" si="218"/>
        <v>0</v>
      </c>
      <c r="AD163" s="30">
        <v>13026</v>
      </c>
      <c r="AE163" s="30">
        <f t="shared" si="197"/>
        <v>0.64101176123222281</v>
      </c>
      <c r="AF163" s="31">
        <v>55922.842499999999</v>
      </c>
      <c r="AG163" s="32">
        <f t="shared" si="198"/>
        <v>7.5705827549753541E-3</v>
      </c>
      <c r="AI163" s="2" t="s">
        <v>28</v>
      </c>
      <c r="AJ163" s="2">
        <v>2020</v>
      </c>
      <c r="AK163" s="1">
        <f t="shared" si="208"/>
        <v>136</v>
      </c>
      <c r="AL163" s="11">
        <f t="shared" si="209"/>
        <v>43259</v>
      </c>
      <c r="AM163" s="1">
        <f t="shared" si="210"/>
        <v>20321</v>
      </c>
      <c r="AN163" s="11">
        <f t="shared" si="199"/>
        <v>7386861</v>
      </c>
      <c r="AO163" s="8">
        <f t="shared" si="200"/>
        <v>2366</v>
      </c>
      <c r="AP163" s="11">
        <f t="shared" si="201"/>
        <v>832404</v>
      </c>
      <c r="AQ163" s="8">
        <f t="shared" si="202"/>
        <v>468</v>
      </c>
      <c r="AR163" s="11">
        <f t="shared" si="203"/>
        <v>166285</v>
      </c>
      <c r="AS163" s="8">
        <f t="shared" si="204"/>
        <v>0</v>
      </c>
      <c r="AT163" s="11">
        <f t="shared" si="205"/>
        <v>0</v>
      </c>
      <c r="AU163" s="8">
        <f t="shared" si="211"/>
        <v>23291</v>
      </c>
      <c r="AV163" s="11">
        <f t="shared" si="206"/>
        <v>8428809</v>
      </c>
      <c r="AW163" t="str">
        <f t="shared" si="212"/>
        <v>CALH</v>
      </c>
      <c r="AX163" s="37">
        <f t="shared" si="213"/>
        <v>-260</v>
      </c>
      <c r="AY163" s="37">
        <f t="shared" si="207"/>
        <v>-105664</v>
      </c>
    </row>
    <row r="164" spans="1:51" x14ac:dyDescent="0.25">
      <c r="B164" s="2" t="s">
        <v>29</v>
      </c>
      <c r="C164" s="2">
        <v>2020</v>
      </c>
      <c r="D164" s="1">
        <v>168</v>
      </c>
      <c r="E164" s="11">
        <v>53138</v>
      </c>
      <c r="F164" s="8">
        <v>215</v>
      </c>
      <c r="G164" s="11">
        <v>86725</v>
      </c>
      <c r="H164" s="1">
        <v>30</v>
      </c>
      <c r="I164" s="11">
        <v>10792</v>
      </c>
      <c r="J164" s="1">
        <v>22241</v>
      </c>
      <c r="K164" s="11">
        <v>8109482</v>
      </c>
      <c r="L164" s="1">
        <v>2475</v>
      </c>
      <c r="M164" s="11">
        <v>867640</v>
      </c>
      <c r="N164" s="1">
        <v>488</v>
      </c>
      <c r="O164" s="11">
        <v>172242</v>
      </c>
      <c r="P164" s="8">
        <v>0</v>
      </c>
      <c r="Q164" s="11">
        <v>0</v>
      </c>
      <c r="R164" s="8">
        <f t="shared" si="194"/>
        <v>25617</v>
      </c>
      <c r="S164" s="11">
        <f t="shared" si="195"/>
        <v>9300019</v>
      </c>
      <c r="T164" t="s">
        <v>63</v>
      </c>
      <c r="W164" s="17">
        <f t="shared" si="214"/>
        <v>7.7292423000351329E-3</v>
      </c>
      <c r="X164" s="17">
        <f t="shared" si="196"/>
        <v>0.99227075769996487</v>
      </c>
      <c r="Y164" s="17">
        <f t="shared" si="215"/>
        <v>0.86821251512667375</v>
      </c>
      <c r="Z164" s="17">
        <f t="shared" si="216"/>
        <v>9.6615528750439161E-2</v>
      </c>
      <c r="AA164" s="17">
        <f t="shared" si="217"/>
        <v>1.9049849709177499E-2</v>
      </c>
      <c r="AB164" s="17">
        <f t="shared" si="218"/>
        <v>0</v>
      </c>
      <c r="AD164" s="30">
        <v>14451.5</v>
      </c>
      <c r="AE164" s="30">
        <f t="shared" si="197"/>
        <v>0.64976844566341441</v>
      </c>
      <c r="AF164" s="31">
        <v>59680.979999999996</v>
      </c>
      <c r="AG164" s="32">
        <f t="shared" si="198"/>
        <v>7.3594071729858939E-3</v>
      </c>
      <c r="AI164" s="2" t="s">
        <v>29</v>
      </c>
      <c r="AJ164" s="2">
        <v>2020</v>
      </c>
      <c r="AK164" s="1">
        <f t="shared" si="208"/>
        <v>198</v>
      </c>
      <c r="AL164" s="11">
        <f t="shared" si="209"/>
        <v>63930</v>
      </c>
      <c r="AM164" s="1">
        <f t="shared" si="210"/>
        <v>22241</v>
      </c>
      <c r="AN164" s="11">
        <f t="shared" si="199"/>
        <v>8109482</v>
      </c>
      <c r="AO164" s="8">
        <f t="shared" si="200"/>
        <v>2475</v>
      </c>
      <c r="AP164" s="11">
        <f t="shared" si="201"/>
        <v>867640</v>
      </c>
      <c r="AQ164" s="8">
        <f t="shared" si="202"/>
        <v>488</v>
      </c>
      <c r="AR164" s="11">
        <f t="shared" si="203"/>
        <v>172242</v>
      </c>
      <c r="AS164" s="8">
        <f t="shared" si="204"/>
        <v>0</v>
      </c>
      <c r="AT164" s="11">
        <f t="shared" si="205"/>
        <v>0</v>
      </c>
      <c r="AU164" s="8">
        <f t="shared" si="211"/>
        <v>25402</v>
      </c>
      <c r="AV164" s="11">
        <f t="shared" si="206"/>
        <v>9213294</v>
      </c>
      <c r="AW164" t="str">
        <f t="shared" si="212"/>
        <v>CALH</v>
      </c>
      <c r="AX164" s="37">
        <f t="shared" si="213"/>
        <v>-215</v>
      </c>
      <c r="AY164" s="37">
        <f t="shared" si="207"/>
        <v>-86725</v>
      </c>
    </row>
    <row r="165" spans="1:51" x14ac:dyDescent="0.25">
      <c r="B165" s="2" t="s">
        <v>30</v>
      </c>
      <c r="C165" s="2">
        <v>2020</v>
      </c>
      <c r="D165" s="1">
        <v>130</v>
      </c>
      <c r="E165" s="11">
        <v>44636</v>
      </c>
      <c r="F165" s="8">
        <v>242</v>
      </c>
      <c r="G165" s="11">
        <v>98202</v>
      </c>
      <c r="H165" s="1">
        <v>32</v>
      </c>
      <c r="I165" s="11">
        <v>11890</v>
      </c>
      <c r="J165" s="1">
        <v>22360</v>
      </c>
      <c r="K165" s="11">
        <v>8142909</v>
      </c>
      <c r="L165" s="1">
        <v>2834</v>
      </c>
      <c r="M165" s="11">
        <v>1013163</v>
      </c>
      <c r="N165" s="1">
        <v>579</v>
      </c>
      <c r="O165" s="11">
        <v>210910</v>
      </c>
      <c r="P165" s="8">
        <v>0</v>
      </c>
      <c r="Q165" s="11">
        <v>0</v>
      </c>
      <c r="R165" s="8">
        <f t="shared" si="194"/>
        <v>26177</v>
      </c>
      <c r="S165" s="11">
        <f t="shared" si="195"/>
        <v>9521710</v>
      </c>
      <c r="T165" t="s">
        <v>63</v>
      </c>
      <c r="W165" s="17">
        <f t="shared" si="214"/>
        <v>6.1886388814608242E-3</v>
      </c>
      <c r="X165" s="17">
        <f t="shared" si="196"/>
        <v>0.99381136111853918</v>
      </c>
      <c r="Y165" s="17">
        <f t="shared" si="215"/>
        <v>0.85418497153990147</v>
      </c>
      <c r="Z165" s="17">
        <f t="shared" si="216"/>
        <v>0.10826297895098751</v>
      </c>
      <c r="AA165" s="17">
        <f t="shared" si="217"/>
        <v>2.2118653780035909E-2</v>
      </c>
      <c r="AB165" s="17">
        <f t="shared" si="218"/>
        <v>0</v>
      </c>
      <c r="AD165" s="30">
        <v>14632</v>
      </c>
      <c r="AE165" s="30">
        <f t="shared" si="197"/>
        <v>0.65438282647584978</v>
      </c>
      <c r="AF165" s="31">
        <v>59203.627500000002</v>
      </c>
      <c r="AG165" s="32">
        <f t="shared" si="198"/>
        <v>7.2705746189721636E-3</v>
      </c>
      <c r="AI165" s="2" t="s">
        <v>30</v>
      </c>
      <c r="AJ165" s="2">
        <v>2020</v>
      </c>
      <c r="AK165" s="1">
        <f t="shared" si="208"/>
        <v>162</v>
      </c>
      <c r="AL165" s="11">
        <f t="shared" si="209"/>
        <v>56526</v>
      </c>
      <c r="AM165" s="1">
        <f t="shared" si="210"/>
        <v>22360</v>
      </c>
      <c r="AN165" s="11">
        <f t="shared" si="199"/>
        <v>8142909</v>
      </c>
      <c r="AO165" s="8">
        <f t="shared" si="200"/>
        <v>2834</v>
      </c>
      <c r="AP165" s="11">
        <f t="shared" si="201"/>
        <v>1013163</v>
      </c>
      <c r="AQ165" s="8">
        <f t="shared" si="202"/>
        <v>579</v>
      </c>
      <c r="AR165" s="11">
        <f t="shared" si="203"/>
        <v>210910</v>
      </c>
      <c r="AS165" s="8">
        <f t="shared" si="204"/>
        <v>0</v>
      </c>
      <c r="AT165" s="11">
        <f t="shared" si="205"/>
        <v>0</v>
      </c>
      <c r="AU165" s="8">
        <f t="shared" si="211"/>
        <v>25935</v>
      </c>
      <c r="AV165" s="11">
        <f t="shared" si="206"/>
        <v>9423508</v>
      </c>
      <c r="AW165" t="str">
        <f t="shared" si="212"/>
        <v>CALH</v>
      </c>
      <c r="AX165" s="37">
        <f t="shared" si="213"/>
        <v>-242</v>
      </c>
      <c r="AY165" s="37">
        <f t="shared" si="207"/>
        <v>-98202</v>
      </c>
    </row>
    <row r="166" spans="1:51" x14ac:dyDescent="0.25">
      <c r="B166" s="2" t="s">
        <v>31</v>
      </c>
      <c r="C166" s="2">
        <v>2020</v>
      </c>
      <c r="D166" s="1">
        <v>156</v>
      </c>
      <c r="E166" s="11">
        <v>49425</v>
      </c>
      <c r="F166" s="8">
        <v>273</v>
      </c>
      <c r="G166" s="11">
        <v>113155</v>
      </c>
      <c r="H166" s="1">
        <v>46</v>
      </c>
      <c r="I166" s="11">
        <v>15342</v>
      </c>
      <c r="J166" s="1">
        <v>24047</v>
      </c>
      <c r="K166" s="11">
        <v>8727111</v>
      </c>
      <c r="L166" s="1">
        <v>3377</v>
      </c>
      <c r="M166" s="11">
        <v>1236930</v>
      </c>
      <c r="N166" s="1">
        <v>534</v>
      </c>
      <c r="O166" s="11">
        <v>191113</v>
      </c>
      <c r="P166" s="8">
        <v>0</v>
      </c>
      <c r="Q166" s="11">
        <v>0</v>
      </c>
      <c r="R166" s="8">
        <f t="shared" si="194"/>
        <v>28433</v>
      </c>
      <c r="S166" s="11">
        <f t="shared" si="195"/>
        <v>10333076</v>
      </c>
      <c r="T166" t="s">
        <v>63</v>
      </c>
      <c r="W166" s="17">
        <f t="shared" si="214"/>
        <v>7.1044209193542717E-3</v>
      </c>
      <c r="X166" s="17">
        <f t="shared" si="196"/>
        <v>0.99289557908064574</v>
      </c>
      <c r="Y166" s="17">
        <f t="shared" si="215"/>
        <v>0.84574262300847602</v>
      </c>
      <c r="Z166" s="17">
        <f t="shared" si="216"/>
        <v>0.11877044279534343</v>
      </c>
      <c r="AA166" s="17">
        <f t="shared" si="217"/>
        <v>1.8780993915520697E-2</v>
      </c>
      <c r="AB166" s="17">
        <f t="shared" si="218"/>
        <v>0</v>
      </c>
      <c r="AD166" s="30">
        <v>15947</v>
      </c>
      <c r="AE166" s="30">
        <f t="shared" si="197"/>
        <v>0.66315964569384955</v>
      </c>
      <c r="AF166" s="31">
        <v>61316.857499999998</v>
      </c>
      <c r="AG166" s="32">
        <f t="shared" si="198"/>
        <v>7.0260201228104007E-3</v>
      </c>
      <c r="AI166" s="2" t="s">
        <v>31</v>
      </c>
      <c r="AJ166" s="2">
        <v>2020</v>
      </c>
      <c r="AK166" s="1">
        <f t="shared" si="208"/>
        <v>202</v>
      </c>
      <c r="AL166" s="11">
        <f t="shared" si="209"/>
        <v>64767</v>
      </c>
      <c r="AM166" s="1">
        <f t="shared" si="210"/>
        <v>24047</v>
      </c>
      <c r="AN166" s="11">
        <f t="shared" si="199"/>
        <v>8727111</v>
      </c>
      <c r="AO166" s="8">
        <f t="shared" si="200"/>
        <v>3377</v>
      </c>
      <c r="AP166" s="11">
        <f t="shared" si="201"/>
        <v>1236930</v>
      </c>
      <c r="AQ166" s="8">
        <f t="shared" si="202"/>
        <v>534</v>
      </c>
      <c r="AR166" s="11">
        <f t="shared" si="203"/>
        <v>191113</v>
      </c>
      <c r="AS166" s="8">
        <f t="shared" si="204"/>
        <v>0</v>
      </c>
      <c r="AT166" s="11">
        <f t="shared" si="205"/>
        <v>0</v>
      </c>
      <c r="AU166" s="8">
        <f t="shared" si="211"/>
        <v>28160</v>
      </c>
      <c r="AV166" s="11">
        <f t="shared" si="206"/>
        <v>10219921</v>
      </c>
      <c r="AW166" t="str">
        <f t="shared" si="212"/>
        <v>CALH</v>
      </c>
      <c r="AX166" s="37">
        <f t="shared" si="213"/>
        <v>-273</v>
      </c>
      <c r="AY166" s="37">
        <f t="shared" si="207"/>
        <v>-113155</v>
      </c>
    </row>
    <row r="167" spans="1:51" x14ac:dyDescent="0.25">
      <c r="W167" s="18"/>
      <c r="X167" s="19"/>
      <c r="Y167" s="18"/>
      <c r="Z167" s="18"/>
      <c r="AA167" s="18"/>
      <c r="AB167" s="18"/>
      <c r="AL167" s="9"/>
      <c r="AN167" s="9"/>
      <c r="AP167" s="9"/>
      <c r="AR167" s="9"/>
      <c r="AS167" s="9"/>
      <c r="AT167" s="9"/>
      <c r="AV167" s="9"/>
    </row>
    <row r="168" spans="1:51" x14ac:dyDescent="0.25">
      <c r="B168" s="3" t="s">
        <v>12</v>
      </c>
      <c r="C168" s="3"/>
      <c r="D168" s="4">
        <f t="shared" ref="D168:S168" si="219">SUM(D155:D167)</f>
        <v>1347</v>
      </c>
      <c r="E168" s="12">
        <f t="shared" si="219"/>
        <v>399398</v>
      </c>
      <c r="F168" s="4">
        <f t="shared" si="219"/>
        <v>2381</v>
      </c>
      <c r="G168" s="12">
        <f t="shared" si="219"/>
        <v>957636</v>
      </c>
      <c r="H168" s="4">
        <f t="shared" si="219"/>
        <v>424</v>
      </c>
      <c r="I168" s="12">
        <f t="shared" si="219"/>
        <v>147550</v>
      </c>
      <c r="J168" s="4">
        <f t="shared" si="219"/>
        <v>263414</v>
      </c>
      <c r="K168" s="12">
        <f t="shared" si="219"/>
        <v>96936407</v>
      </c>
      <c r="L168" s="4">
        <f t="shared" si="219"/>
        <v>34479</v>
      </c>
      <c r="M168" s="12">
        <f t="shared" si="219"/>
        <v>12584544</v>
      </c>
      <c r="N168" s="4">
        <f t="shared" si="219"/>
        <v>5762</v>
      </c>
      <c r="O168" s="12">
        <f t="shared" si="219"/>
        <v>2064777</v>
      </c>
      <c r="P168" s="4">
        <f t="shared" si="219"/>
        <v>0</v>
      </c>
      <c r="Q168" s="12">
        <f t="shared" si="219"/>
        <v>0</v>
      </c>
      <c r="R168" s="4">
        <f t="shared" si="219"/>
        <v>307807</v>
      </c>
      <c r="S168" s="12">
        <f t="shared" si="219"/>
        <v>113090312</v>
      </c>
      <c r="W168" s="16">
        <f>+(D168+H168)/R168</f>
        <v>5.7536053436081699E-3</v>
      </c>
      <c r="X168" s="16">
        <f>1-W168</f>
        <v>0.99424639465639186</v>
      </c>
      <c r="Y168" s="16">
        <f>+J168/R168</f>
        <v>0.85577650930615612</v>
      </c>
      <c r="Z168" s="16">
        <f>+L168/R168</f>
        <v>0.11201499641008814</v>
      </c>
      <c r="AA168" s="16">
        <f>+N168/R168</f>
        <v>1.8719522298063396E-2</v>
      </c>
      <c r="AB168" s="16">
        <f>+P168/R168</f>
        <v>0</v>
      </c>
      <c r="AD168" s="12">
        <f>AVERAGE(AD155:AD167)</f>
        <v>14333.3125</v>
      </c>
      <c r="AE168" s="12">
        <f t="shared" ref="AE168" si="220">AVERAGE(AE155:AE167)</f>
        <v>0.65250185354794532</v>
      </c>
      <c r="AF168" s="12">
        <f t="shared" ref="AF168" si="221">AVERAGE(AF155:AF167)</f>
        <v>58576.78020833333</v>
      </c>
      <c r="AG168" s="16">
        <f t="shared" ref="AG168" si="222">AVERAGE(AG155:AG167)</f>
        <v>7.2647988089660498E-3</v>
      </c>
      <c r="AI168" s="3" t="s">
        <v>12</v>
      </c>
      <c r="AJ168" s="3"/>
      <c r="AK168" s="4">
        <f t="shared" ref="AK168:AV168" si="223">SUM(AK155:AK167)</f>
        <v>1771</v>
      </c>
      <c r="AL168" s="12">
        <f t="shared" si="223"/>
        <v>546948</v>
      </c>
      <c r="AM168" s="4">
        <f t="shared" si="223"/>
        <v>263414</v>
      </c>
      <c r="AN168" s="12">
        <f t="shared" si="223"/>
        <v>96936407</v>
      </c>
      <c r="AO168" s="4">
        <f t="shared" si="223"/>
        <v>34479</v>
      </c>
      <c r="AP168" s="12">
        <f t="shared" si="223"/>
        <v>12584544</v>
      </c>
      <c r="AQ168" s="4">
        <f t="shared" si="223"/>
        <v>5762</v>
      </c>
      <c r="AR168" s="12">
        <f t="shared" si="223"/>
        <v>2064777</v>
      </c>
      <c r="AS168" s="4">
        <f t="shared" si="223"/>
        <v>0</v>
      </c>
      <c r="AT168" s="12">
        <f t="shared" si="223"/>
        <v>0</v>
      </c>
      <c r="AU168" s="4">
        <f t="shared" si="223"/>
        <v>305426</v>
      </c>
      <c r="AV168" s="12">
        <f t="shared" si="223"/>
        <v>112132676</v>
      </c>
    </row>
    <row r="169" spans="1:51" x14ac:dyDescent="0.25">
      <c r="L169" s="28">
        <f>AVERAGE(L155:L164)</f>
        <v>2826.8</v>
      </c>
      <c r="M169" s="28">
        <f>AVERAGE(M155:M164)</f>
        <v>1033445.1</v>
      </c>
      <c r="R169" s="28">
        <f>AVERAGE(R155:R164)</f>
        <v>25319.7</v>
      </c>
      <c r="S169" s="28">
        <f>AVERAGE(S155:S164)</f>
        <v>9323552.5999999996</v>
      </c>
    </row>
    <row r="170" spans="1:51" x14ac:dyDescent="0.25">
      <c r="B170" s="5" t="s">
        <v>14</v>
      </c>
      <c r="L170" s="28"/>
      <c r="M170" s="28"/>
      <c r="R170" s="44">
        <f>+L169/R169</f>
        <v>0.11164429278387974</v>
      </c>
      <c r="S170" s="44">
        <f>+M169/S169</f>
        <v>0.1108424164411321</v>
      </c>
    </row>
    <row r="171" spans="1:51" x14ac:dyDescent="0.25">
      <c r="B171" s="5" t="s">
        <v>50</v>
      </c>
      <c r="L171" s="26"/>
      <c r="M171" s="26"/>
    </row>
    <row r="172" spans="1:51" x14ac:dyDescent="0.25">
      <c r="B172" s="5"/>
    </row>
    <row r="173" spans="1:51" x14ac:dyDescent="0.25">
      <c r="D173" s="89" t="s">
        <v>15</v>
      </c>
      <c r="E173" s="90"/>
      <c r="F173" s="89" t="s">
        <v>71</v>
      </c>
      <c r="G173" s="90"/>
      <c r="H173" s="89" t="s">
        <v>16</v>
      </c>
      <c r="I173" s="90"/>
      <c r="J173" s="89" t="s">
        <v>17</v>
      </c>
      <c r="K173" s="93"/>
      <c r="L173" s="89" t="s">
        <v>18</v>
      </c>
      <c r="M173" s="93"/>
      <c r="N173" s="89" t="s">
        <v>13</v>
      </c>
      <c r="O173" s="93"/>
      <c r="P173" s="89" t="s">
        <v>34</v>
      </c>
      <c r="Q173" s="93"/>
      <c r="R173" s="89" t="s">
        <v>12</v>
      </c>
      <c r="S173" s="93"/>
      <c r="W173" s="91" t="s">
        <v>42</v>
      </c>
      <c r="X173" s="92"/>
      <c r="Y173" s="92"/>
      <c r="Z173" s="92"/>
      <c r="AA173" s="92"/>
      <c r="AB173" s="92"/>
      <c r="AK173" s="89" t="s">
        <v>69</v>
      </c>
      <c r="AL173" s="90"/>
      <c r="AM173" s="89" t="s">
        <v>17</v>
      </c>
      <c r="AN173" s="93"/>
      <c r="AO173" s="89" t="s">
        <v>18</v>
      </c>
      <c r="AP173" s="93"/>
      <c r="AQ173" s="89" t="s">
        <v>13</v>
      </c>
      <c r="AR173" s="93"/>
      <c r="AS173" s="89" t="s">
        <v>34</v>
      </c>
      <c r="AT173" s="93"/>
      <c r="AU173" s="89" t="s">
        <v>12</v>
      </c>
      <c r="AV173" s="93"/>
    </row>
    <row r="174" spans="1:5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W174" s="7" t="s">
        <v>38</v>
      </c>
      <c r="X174" s="10" t="s">
        <v>39</v>
      </c>
      <c r="Y174" s="10" t="s">
        <v>40</v>
      </c>
      <c r="Z174" s="10" t="s">
        <v>18</v>
      </c>
      <c r="AA174" s="10" t="s">
        <v>13</v>
      </c>
      <c r="AB174" s="10" t="s">
        <v>41</v>
      </c>
      <c r="AD174" s="33">
        <v>2019</v>
      </c>
      <c r="AE174" s="34">
        <v>0.59199121127819831</v>
      </c>
      <c r="AF174" s="33">
        <v>2019</v>
      </c>
      <c r="AG174" s="35">
        <v>5.8838253919918796E-3</v>
      </c>
      <c r="AI174" s="7" t="s">
        <v>0</v>
      </c>
      <c r="AJ174" s="7" t="s">
        <v>1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  <c r="AU174" s="7" t="s">
        <v>2</v>
      </c>
      <c r="AV174" s="10" t="s">
        <v>3</v>
      </c>
    </row>
    <row r="175" spans="1:51" x14ac:dyDescent="0.25">
      <c r="X175" s="9"/>
      <c r="AL175" s="9"/>
      <c r="AN175" s="9"/>
      <c r="AP175" s="9"/>
      <c r="AR175" s="9"/>
      <c r="AS175" s="9"/>
      <c r="AT175" s="9"/>
      <c r="AV175" s="9"/>
    </row>
    <row r="176" spans="1:51" x14ac:dyDescent="0.25">
      <c r="B176" s="2" t="s">
        <v>5</v>
      </c>
      <c r="C176" s="2">
        <v>2020</v>
      </c>
      <c r="D176" s="1">
        <v>2958</v>
      </c>
      <c r="E176" s="11">
        <v>117825</v>
      </c>
      <c r="F176" s="1">
        <v>1672</v>
      </c>
      <c r="G176" s="11">
        <v>70879</v>
      </c>
      <c r="H176" s="1">
        <v>794</v>
      </c>
      <c r="I176" s="11">
        <v>29623</v>
      </c>
      <c r="J176" s="1">
        <v>106349</v>
      </c>
      <c r="K176" s="11">
        <v>5378481</v>
      </c>
      <c r="L176" s="1">
        <v>16715</v>
      </c>
      <c r="M176" s="11">
        <v>854940</v>
      </c>
      <c r="N176" s="1">
        <v>1809</v>
      </c>
      <c r="O176" s="11">
        <v>94515</v>
      </c>
      <c r="P176" s="1">
        <v>70</v>
      </c>
      <c r="Q176" s="11">
        <v>3860</v>
      </c>
      <c r="R176" s="8">
        <f t="shared" ref="R176:R187" si="224">N176+L176+J176+H176+D176+P176+F176</f>
        <v>130367</v>
      </c>
      <c r="S176" s="11">
        <f t="shared" ref="S176:S187" si="225">O176+M176+K176+I176+E176+Q176+G176</f>
        <v>6550123</v>
      </c>
      <c r="T176" t="s">
        <v>64</v>
      </c>
      <c r="W176" s="17">
        <f>+(D176+H176)/R176</f>
        <v>2.8780289490438531E-2</v>
      </c>
      <c r="X176" s="17">
        <f t="shared" ref="X176:X187" si="226">1-W176</f>
        <v>0.97121971050956146</v>
      </c>
      <c r="Y176" s="17">
        <f>+J176/R176</f>
        <v>0.81576625986637719</v>
      </c>
      <c r="Z176" s="17">
        <f>+L176/R176</f>
        <v>0.12821496237544777</v>
      </c>
      <c r="AA176" s="17">
        <f>+N176/R176</f>
        <v>1.3876211004318578E-2</v>
      </c>
      <c r="AB176" s="17">
        <f>+P176/R176</f>
        <v>5.3694569944848008E-4</v>
      </c>
      <c r="AD176" s="30">
        <v>60793.919999999998</v>
      </c>
      <c r="AE176" s="30">
        <f t="shared" ref="AE176:AE187" si="227">+AD176/J176</f>
        <v>0.57164543155083736</v>
      </c>
      <c r="AF176" s="31">
        <v>32535.217499999999</v>
      </c>
      <c r="AG176" s="32">
        <f t="shared" ref="AG176:AG187" si="228">+AF176/K176</f>
        <v>6.0491461250862461E-3</v>
      </c>
      <c r="AI176" s="2" t="s">
        <v>5</v>
      </c>
      <c r="AJ176" s="2">
        <v>2020</v>
      </c>
      <c r="AK176" s="1">
        <f>D176+H176</f>
        <v>3752</v>
      </c>
      <c r="AL176" s="11">
        <f>E176+I176</f>
        <v>147448</v>
      </c>
      <c r="AM176" s="1">
        <f>+J176</f>
        <v>106349</v>
      </c>
      <c r="AN176" s="11">
        <f t="shared" ref="AN176:AN187" si="229">+K176</f>
        <v>5378481</v>
      </c>
      <c r="AO176" s="8">
        <f t="shared" ref="AO176:AO187" si="230">+L176</f>
        <v>16715</v>
      </c>
      <c r="AP176" s="11">
        <f t="shared" ref="AP176:AP187" si="231">+M176</f>
        <v>854940</v>
      </c>
      <c r="AQ176" s="8">
        <f t="shared" ref="AQ176:AQ187" si="232">+N176</f>
        <v>1809</v>
      </c>
      <c r="AR176" s="11">
        <f t="shared" ref="AR176:AR187" si="233">+O176</f>
        <v>94515</v>
      </c>
      <c r="AS176" s="8">
        <f t="shared" ref="AS176:AS187" si="234">+P176</f>
        <v>70</v>
      </c>
      <c r="AT176" s="11">
        <f t="shared" ref="AT176:AT187" si="235">+Q176</f>
        <v>3860</v>
      </c>
      <c r="AU176" s="8">
        <f>AS176+AQ176+AO176+AM176+AK176</f>
        <v>128695</v>
      </c>
      <c r="AV176" s="11">
        <f t="shared" ref="AV176:AV187" si="236">AT176+AR176+AP176+AN176+AL176</f>
        <v>6479244</v>
      </c>
      <c r="AW176" t="str">
        <f>+T176</f>
        <v>COBI</v>
      </c>
      <c r="AX176" s="37">
        <f>+AU176-R176</f>
        <v>-1672</v>
      </c>
      <c r="AY176" s="37">
        <f t="shared" ref="AY176:AY187" si="237">+AV176-S176</f>
        <v>-70879</v>
      </c>
    </row>
    <row r="177" spans="2:51" x14ac:dyDescent="0.25">
      <c r="B177" s="2" t="s">
        <v>6</v>
      </c>
      <c r="C177" s="2">
        <v>2020</v>
      </c>
      <c r="D177" s="1">
        <v>3212</v>
      </c>
      <c r="E177" s="11">
        <v>118331</v>
      </c>
      <c r="F177" s="1">
        <v>2068</v>
      </c>
      <c r="G177" s="11">
        <v>88847</v>
      </c>
      <c r="H177" s="1">
        <v>739</v>
      </c>
      <c r="I177" s="11">
        <v>26883</v>
      </c>
      <c r="J177" s="1">
        <v>118770</v>
      </c>
      <c r="K177" s="11">
        <v>5769615</v>
      </c>
      <c r="L177" s="1">
        <v>19912</v>
      </c>
      <c r="M177" s="11">
        <v>978514</v>
      </c>
      <c r="N177" s="1">
        <v>1733</v>
      </c>
      <c r="O177" s="11">
        <v>93644</v>
      </c>
      <c r="P177" s="1">
        <v>62</v>
      </c>
      <c r="Q177" s="11">
        <v>3590</v>
      </c>
      <c r="R177" s="8">
        <f t="shared" si="224"/>
        <v>146496</v>
      </c>
      <c r="S177" s="11">
        <f t="shared" si="225"/>
        <v>7079424</v>
      </c>
      <c r="T177" t="s">
        <v>64</v>
      </c>
      <c r="W177" s="17">
        <f>+(D177+H177)/R177</f>
        <v>2.6970019659239841E-2</v>
      </c>
      <c r="X177" s="17">
        <f t="shared" si="226"/>
        <v>0.97302998034076016</v>
      </c>
      <c r="Y177" s="17">
        <f>+J177/R177</f>
        <v>0.8107388597640891</v>
      </c>
      <c r="Z177" s="17">
        <f>+L177/R177</f>
        <v>0.1359217999126256</v>
      </c>
      <c r="AA177" s="17">
        <f>+N177/R177</f>
        <v>1.1829674530362605E-2</v>
      </c>
      <c r="AB177" s="17">
        <f>+P177/R177</f>
        <v>4.2321974661424202E-4</v>
      </c>
      <c r="AD177" s="30">
        <v>69031.64</v>
      </c>
      <c r="AE177" s="30">
        <f t="shared" si="227"/>
        <v>0.58122118380062304</v>
      </c>
      <c r="AF177" s="31">
        <v>30624.264999999999</v>
      </c>
      <c r="AG177" s="32">
        <f t="shared" si="228"/>
        <v>5.3078524303614713E-3</v>
      </c>
      <c r="AI177" s="2" t="s">
        <v>6</v>
      </c>
      <c r="AJ177" s="2">
        <v>2020</v>
      </c>
      <c r="AK177" s="1">
        <f t="shared" ref="AK177:AK187" si="238">D177+H177</f>
        <v>3951</v>
      </c>
      <c r="AL177" s="11">
        <f t="shared" ref="AL177:AL187" si="239">E177+I177</f>
        <v>145214</v>
      </c>
      <c r="AM177" s="1">
        <f t="shared" ref="AM177:AM187" si="240">+J177</f>
        <v>118770</v>
      </c>
      <c r="AN177" s="11">
        <f t="shared" si="229"/>
        <v>5769615</v>
      </c>
      <c r="AO177" s="8">
        <f t="shared" si="230"/>
        <v>19912</v>
      </c>
      <c r="AP177" s="11">
        <f t="shared" si="231"/>
        <v>978514</v>
      </c>
      <c r="AQ177" s="8">
        <f t="shared" si="232"/>
        <v>1733</v>
      </c>
      <c r="AR177" s="11">
        <f t="shared" si="233"/>
        <v>93644</v>
      </c>
      <c r="AS177" s="8">
        <f t="shared" si="234"/>
        <v>62</v>
      </c>
      <c r="AT177" s="11">
        <f t="shared" si="235"/>
        <v>3590</v>
      </c>
      <c r="AU177" s="8">
        <f t="shared" ref="AU177:AU187" si="241">AS177+AQ177+AO177+AM177+AK177</f>
        <v>144428</v>
      </c>
      <c r="AV177" s="11">
        <f t="shared" si="236"/>
        <v>6990577</v>
      </c>
      <c r="AW177" t="str">
        <f t="shared" ref="AW177:AW187" si="242">+T177</f>
        <v>COBI</v>
      </c>
      <c r="AX177" s="37">
        <f t="shared" ref="AX177:AX187" si="243">+AU177-R177</f>
        <v>-2068</v>
      </c>
      <c r="AY177" s="37">
        <f t="shared" si="237"/>
        <v>-88847</v>
      </c>
    </row>
    <row r="178" spans="2:51" x14ac:dyDescent="0.25">
      <c r="B178" s="2" t="s">
        <v>7</v>
      </c>
      <c r="C178" s="2">
        <v>2020</v>
      </c>
      <c r="D178" s="1">
        <v>3089</v>
      </c>
      <c r="E178" s="11">
        <v>113563</v>
      </c>
      <c r="F178" s="1">
        <v>2183</v>
      </c>
      <c r="G178" s="11">
        <v>96739</v>
      </c>
      <c r="H178" s="1">
        <v>789</v>
      </c>
      <c r="I178" s="11">
        <v>26822</v>
      </c>
      <c r="J178" s="1">
        <v>119326</v>
      </c>
      <c r="K178" s="11">
        <v>6064523</v>
      </c>
      <c r="L178" s="1">
        <v>17785</v>
      </c>
      <c r="M178" s="11">
        <v>919891</v>
      </c>
      <c r="N178" s="1">
        <v>1866</v>
      </c>
      <c r="O178" s="11">
        <v>107045</v>
      </c>
      <c r="P178" s="1">
        <v>1</v>
      </c>
      <c r="Q178" s="11">
        <v>19</v>
      </c>
      <c r="R178" s="8">
        <f t="shared" si="224"/>
        <v>145039</v>
      </c>
      <c r="S178" s="11">
        <f t="shared" si="225"/>
        <v>7328602</v>
      </c>
      <c r="T178" t="s">
        <v>64</v>
      </c>
      <c r="W178" s="17">
        <f>+(D178+H178)/R178</f>
        <v>2.6737636084087728E-2</v>
      </c>
      <c r="X178" s="17">
        <f t="shared" si="226"/>
        <v>0.97326236391591225</v>
      </c>
      <c r="Y178" s="17">
        <f>+J178/R178</f>
        <v>0.82271664862554206</v>
      </c>
      <c r="Z178" s="17">
        <f>+L178/R178</f>
        <v>0.12262219127269217</v>
      </c>
      <c r="AA178" s="17">
        <f>+N178/R178</f>
        <v>1.2865505139996828E-2</v>
      </c>
      <c r="AB178" s="17">
        <f>+P178/R178</f>
        <v>6.8946972883155568E-6</v>
      </c>
      <c r="AD178" s="30">
        <v>70859.929999999993</v>
      </c>
      <c r="AE178" s="30">
        <f t="shared" si="227"/>
        <v>0.59383478873003359</v>
      </c>
      <c r="AF178" s="31">
        <v>34089.487499999996</v>
      </c>
      <c r="AG178" s="32">
        <f t="shared" si="228"/>
        <v>5.6211325276530394E-3</v>
      </c>
      <c r="AI178" s="2" t="s">
        <v>7</v>
      </c>
      <c r="AJ178" s="2">
        <v>2020</v>
      </c>
      <c r="AK178" s="1">
        <f t="shared" si="238"/>
        <v>3878</v>
      </c>
      <c r="AL178" s="11">
        <f t="shared" si="239"/>
        <v>140385</v>
      </c>
      <c r="AM178" s="1">
        <f t="shared" si="240"/>
        <v>119326</v>
      </c>
      <c r="AN178" s="11">
        <f t="shared" si="229"/>
        <v>6064523</v>
      </c>
      <c r="AO178" s="8">
        <f t="shared" si="230"/>
        <v>17785</v>
      </c>
      <c r="AP178" s="11">
        <f t="shared" si="231"/>
        <v>919891</v>
      </c>
      <c r="AQ178" s="8">
        <f t="shared" si="232"/>
        <v>1866</v>
      </c>
      <c r="AR178" s="11">
        <f t="shared" si="233"/>
        <v>107045</v>
      </c>
      <c r="AS178" s="8">
        <f t="shared" si="234"/>
        <v>1</v>
      </c>
      <c r="AT178" s="11">
        <f t="shared" si="235"/>
        <v>19</v>
      </c>
      <c r="AU178" s="8">
        <f t="shared" si="241"/>
        <v>142856</v>
      </c>
      <c r="AV178" s="11">
        <f t="shared" si="236"/>
        <v>7231863</v>
      </c>
      <c r="AW178" t="str">
        <f t="shared" si="242"/>
        <v>COBI</v>
      </c>
      <c r="AX178" s="37">
        <f t="shared" si="243"/>
        <v>-2183</v>
      </c>
      <c r="AY178" s="37">
        <f t="shared" si="237"/>
        <v>-96739</v>
      </c>
    </row>
    <row r="179" spans="2:51" x14ac:dyDescent="0.25">
      <c r="B179" s="2" t="s">
        <v>8</v>
      </c>
      <c r="C179" s="2">
        <v>2020</v>
      </c>
      <c r="D179" s="1">
        <v>2342</v>
      </c>
      <c r="E179" s="11">
        <v>94479</v>
      </c>
      <c r="F179" s="1">
        <v>1420</v>
      </c>
      <c r="G179" s="11">
        <v>64353</v>
      </c>
      <c r="H179" s="1">
        <v>748</v>
      </c>
      <c r="I179" s="11">
        <v>26367</v>
      </c>
      <c r="J179" s="1">
        <v>86488</v>
      </c>
      <c r="K179" s="11">
        <v>4596765</v>
      </c>
      <c r="L179" s="1">
        <v>11239</v>
      </c>
      <c r="M179" s="11">
        <v>616052</v>
      </c>
      <c r="N179" s="1">
        <v>1733</v>
      </c>
      <c r="O179" s="11">
        <v>96769</v>
      </c>
      <c r="P179" s="8">
        <v>0</v>
      </c>
      <c r="Q179" s="11">
        <v>0</v>
      </c>
      <c r="R179" s="8">
        <f t="shared" si="224"/>
        <v>103970</v>
      </c>
      <c r="S179" s="11">
        <f t="shared" si="225"/>
        <v>5494785</v>
      </c>
      <c r="T179" t="s">
        <v>64</v>
      </c>
      <c r="W179" s="17">
        <f t="shared" ref="W179:W187" si="244">+(D179+H179)/R179</f>
        <v>2.9720111570645379E-2</v>
      </c>
      <c r="X179" s="17">
        <f t="shared" si="226"/>
        <v>0.97027988842935464</v>
      </c>
      <c r="Y179" s="17">
        <f t="shared" ref="Y179:Y187" si="245">+J179/R179</f>
        <v>0.8318553428873714</v>
      </c>
      <c r="Z179" s="17">
        <f t="shared" ref="Z179:Z187" si="246">+L179/R179</f>
        <v>0.10809848994902375</v>
      </c>
      <c r="AA179" s="17">
        <f t="shared" ref="AA179:AA187" si="247">+N179/R179</f>
        <v>1.6668269693180724E-2</v>
      </c>
      <c r="AB179" s="17">
        <f t="shared" ref="AB179:AB187" si="248">+P179/R179</f>
        <v>0</v>
      </c>
      <c r="AD179" s="30">
        <v>54048.62</v>
      </c>
      <c r="AE179" s="30">
        <f t="shared" si="227"/>
        <v>0.6249262325409306</v>
      </c>
      <c r="AF179" s="31">
        <v>24828.255000000001</v>
      </c>
      <c r="AG179" s="32">
        <f t="shared" si="228"/>
        <v>5.4012452235430788E-3</v>
      </c>
      <c r="AI179" s="2" t="s">
        <v>8</v>
      </c>
      <c r="AJ179" s="2">
        <v>2020</v>
      </c>
      <c r="AK179" s="1">
        <f t="shared" si="238"/>
        <v>3090</v>
      </c>
      <c r="AL179" s="11">
        <f t="shared" si="239"/>
        <v>120846</v>
      </c>
      <c r="AM179" s="1">
        <f t="shared" si="240"/>
        <v>86488</v>
      </c>
      <c r="AN179" s="11">
        <f t="shared" si="229"/>
        <v>4596765</v>
      </c>
      <c r="AO179" s="8">
        <f t="shared" si="230"/>
        <v>11239</v>
      </c>
      <c r="AP179" s="11">
        <f t="shared" si="231"/>
        <v>616052</v>
      </c>
      <c r="AQ179" s="8">
        <f t="shared" si="232"/>
        <v>1733</v>
      </c>
      <c r="AR179" s="11">
        <f t="shared" si="233"/>
        <v>96769</v>
      </c>
      <c r="AS179" s="8">
        <f t="shared" si="234"/>
        <v>0</v>
      </c>
      <c r="AT179" s="11">
        <f t="shared" si="235"/>
        <v>0</v>
      </c>
      <c r="AU179" s="8">
        <f t="shared" si="241"/>
        <v>102550</v>
      </c>
      <c r="AV179" s="11">
        <f t="shared" si="236"/>
        <v>5430432</v>
      </c>
      <c r="AW179" t="str">
        <f t="shared" si="242"/>
        <v>COBI</v>
      </c>
      <c r="AX179" s="37">
        <f t="shared" si="243"/>
        <v>-1420</v>
      </c>
      <c r="AY179" s="37">
        <f t="shared" si="237"/>
        <v>-64353</v>
      </c>
    </row>
    <row r="180" spans="2:51" x14ac:dyDescent="0.25">
      <c r="B180" s="2" t="s">
        <v>9</v>
      </c>
      <c r="C180" s="2">
        <v>2020</v>
      </c>
      <c r="D180" s="1">
        <v>2886</v>
      </c>
      <c r="E180" s="11">
        <v>118294</v>
      </c>
      <c r="F180" s="1">
        <v>1688</v>
      </c>
      <c r="G180" s="11">
        <v>76464</v>
      </c>
      <c r="H180" s="1">
        <v>716</v>
      </c>
      <c r="I180" s="11">
        <v>21646</v>
      </c>
      <c r="J180" s="1">
        <v>88086</v>
      </c>
      <c r="K180" s="11">
        <v>4547419</v>
      </c>
      <c r="L180" s="1">
        <v>11311</v>
      </c>
      <c r="M180" s="11">
        <v>606138</v>
      </c>
      <c r="N180" s="1">
        <v>1914</v>
      </c>
      <c r="O180" s="11">
        <v>101188</v>
      </c>
      <c r="P180" s="8">
        <v>0</v>
      </c>
      <c r="Q180" s="11">
        <v>0</v>
      </c>
      <c r="R180" s="8">
        <f t="shared" si="224"/>
        <v>106601</v>
      </c>
      <c r="S180" s="11">
        <f t="shared" si="225"/>
        <v>5471149</v>
      </c>
      <c r="T180" t="s">
        <v>64</v>
      </c>
      <c r="W180" s="17">
        <f t="shared" si="244"/>
        <v>3.3789551692760857E-2</v>
      </c>
      <c r="X180" s="17">
        <f t="shared" si="226"/>
        <v>0.96621044830723912</v>
      </c>
      <c r="Y180" s="17">
        <f t="shared" si="245"/>
        <v>0.82631495014118062</v>
      </c>
      <c r="Z180" s="17">
        <f t="shared" si="246"/>
        <v>0.10610594647329763</v>
      </c>
      <c r="AA180" s="17">
        <f t="shared" si="247"/>
        <v>1.7954803425859044E-2</v>
      </c>
      <c r="AB180" s="17">
        <f t="shared" si="248"/>
        <v>0</v>
      </c>
      <c r="AD180" s="30">
        <v>54146.549999999996</v>
      </c>
      <c r="AE180" s="30">
        <f t="shared" si="227"/>
        <v>0.61470097404808932</v>
      </c>
      <c r="AF180" s="31">
        <v>24383.357499999998</v>
      </c>
      <c r="AG180" s="32">
        <f t="shared" si="228"/>
        <v>5.3620212916381796E-3</v>
      </c>
      <c r="AI180" s="2" t="s">
        <v>9</v>
      </c>
      <c r="AJ180" s="2">
        <v>2020</v>
      </c>
      <c r="AK180" s="1">
        <f t="shared" si="238"/>
        <v>3602</v>
      </c>
      <c r="AL180" s="11">
        <f t="shared" si="239"/>
        <v>139940</v>
      </c>
      <c r="AM180" s="1">
        <f t="shared" si="240"/>
        <v>88086</v>
      </c>
      <c r="AN180" s="11">
        <f t="shared" si="229"/>
        <v>4547419</v>
      </c>
      <c r="AO180" s="8">
        <f t="shared" si="230"/>
        <v>11311</v>
      </c>
      <c r="AP180" s="11">
        <f t="shared" si="231"/>
        <v>606138</v>
      </c>
      <c r="AQ180" s="8">
        <f t="shared" si="232"/>
        <v>1914</v>
      </c>
      <c r="AR180" s="11">
        <f t="shared" si="233"/>
        <v>101188</v>
      </c>
      <c r="AS180" s="8">
        <f t="shared" si="234"/>
        <v>0</v>
      </c>
      <c r="AT180" s="11">
        <f t="shared" si="235"/>
        <v>0</v>
      </c>
      <c r="AU180" s="8">
        <f t="shared" si="241"/>
        <v>104913</v>
      </c>
      <c r="AV180" s="11">
        <f t="shared" si="236"/>
        <v>5394685</v>
      </c>
      <c r="AW180" t="str">
        <f t="shared" si="242"/>
        <v>COBI</v>
      </c>
      <c r="AX180" s="37">
        <f t="shared" si="243"/>
        <v>-1688</v>
      </c>
      <c r="AY180" s="37">
        <f t="shared" si="237"/>
        <v>-76464</v>
      </c>
    </row>
    <row r="181" spans="2:51" x14ac:dyDescent="0.25">
      <c r="B181" s="2" t="s">
        <v>10</v>
      </c>
      <c r="C181" s="2">
        <v>2020</v>
      </c>
      <c r="D181" s="1">
        <v>3386</v>
      </c>
      <c r="E181" s="11">
        <v>136433</v>
      </c>
      <c r="F181" s="1">
        <v>1861</v>
      </c>
      <c r="G181" s="11">
        <v>83648</v>
      </c>
      <c r="H181" s="1">
        <v>714</v>
      </c>
      <c r="I181" s="11">
        <v>21912</v>
      </c>
      <c r="J181" s="1">
        <v>98002</v>
      </c>
      <c r="K181" s="11">
        <v>4981907</v>
      </c>
      <c r="L181" s="1">
        <v>14120</v>
      </c>
      <c r="M181" s="11">
        <v>739009</v>
      </c>
      <c r="N181" s="1">
        <v>1938</v>
      </c>
      <c r="O181" s="11">
        <v>95420</v>
      </c>
      <c r="P181" s="8">
        <v>0</v>
      </c>
      <c r="Q181" s="11">
        <v>0</v>
      </c>
      <c r="R181" s="8">
        <f t="shared" si="224"/>
        <v>120021</v>
      </c>
      <c r="S181" s="11">
        <f t="shared" si="225"/>
        <v>6058329</v>
      </c>
      <c r="T181" t="s">
        <v>64</v>
      </c>
      <c r="W181" s="17">
        <f t="shared" si="244"/>
        <v>3.4160688546171089E-2</v>
      </c>
      <c r="X181" s="17">
        <f t="shared" si="226"/>
        <v>0.96583931145382895</v>
      </c>
      <c r="Y181" s="17">
        <f t="shared" si="245"/>
        <v>0.81654043875655091</v>
      </c>
      <c r="Z181" s="17">
        <f t="shared" si="246"/>
        <v>0.11764607860291115</v>
      </c>
      <c r="AA181" s="17">
        <f t="shared" si="247"/>
        <v>1.614717424450721E-2</v>
      </c>
      <c r="AB181" s="17">
        <f t="shared" si="248"/>
        <v>0</v>
      </c>
      <c r="AD181" s="30">
        <v>58926.96</v>
      </c>
      <c r="AE181" s="30">
        <f t="shared" si="227"/>
        <v>0.60128323911756898</v>
      </c>
      <c r="AF181" s="31">
        <v>28256.862500000003</v>
      </c>
      <c r="AG181" s="32">
        <f t="shared" si="228"/>
        <v>5.6718968258540363E-3</v>
      </c>
      <c r="AI181" s="2" t="s">
        <v>10</v>
      </c>
      <c r="AJ181" s="2">
        <v>2020</v>
      </c>
      <c r="AK181" s="1">
        <f t="shared" si="238"/>
        <v>4100</v>
      </c>
      <c r="AL181" s="11">
        <f t="shared" si="239"/>
        <v>158345</v>
      </c>
      <c r="AM181" s="1">
        <f t="shared" si="240"/>
        <v>98002</v>
      </c>
      <c r="AN181" s="11">
        <f t="shared" si="229"/>
        <v>4981907</v>
      </c>
      <c r="AO181" s="8">
        <f t="shared" si="230"/>
        <v>14120</v>
      </c>
      <c r="AP181" s="11">
        <f t="shared" si="231"/>
        <v>739009</v>
      </c>
      <c r="AQ181" s="8">
        <f t="shared" si="232"/>
        <v>1938</v>
      </c>
      <c r="AR181" s="11">
        <f t="shared" si="233"/>
        <v>95420</v>
      </c>
      <c r="AS181" s="8">
        <f t="shared" si="234"/>
        <v>0</v>
      </c>
      <c r="AT181" s="11">
        <f t="shared" si="235"/>
        <v>0</v>
      </c>
      <c r="AU181" s="8">
        <f t="shared" si="241"/>
        <v>118160</v>
      </c>
      <c r="AV181" s="11">
        <f t="shared" si="236"/>
        <v>5974681</v>
      </c>
      <c r="AW181" t="str">
        <f t="shared" si="242"/>
        <v>COBI</v>
      </c>
      <c r="AX181" s="37">
        <f t="shared" si="243"/>
        <v>-1861</v>
      </c>
      <c r="AY181" s="37">
        <f t="shared" si="237"/>
        <v>-83648</v>
      </c>
    </row>
    <row r="182" spans="2:51" x14ac:dyDescent="0.25">
      <c r="B182" s="2" t="s">
        <v>11</v>
      </c>
      <c r="C182" s="2">
        <v>2020</v>
      </c>
      <c r="D182" s="1">
        <v>4431</v>
      </c>
      <c r="E182" s="11">
        <v>168904</v>
      </c>
      <c r="F182" s="1">
        <v>2700</v>
      </c>
      <c r="G182" s="11">
        <v>120380</v>
      </c>
      <c r="H182" s="1">
        <v>716</v>
      </c>
      <c r="I182" s="11">
        <v>20433</v>
      </c>
      <c r="J182" s="1">
        <v>130918</v>
      </c>
      <c r="K182" s="11">
        <v>6555967</v>
      </c>
      <c r="L182" s="1">
        <v>19793</v>
      </c>
      <c r="M182" s="11">
        <v>1019591</v>
      </c>
      <c r="N182" s="1">
        <v>2423</v>
      </c>
      <c r="O182" s="11">
        <v>120508</v>
      </c>
      <c r="P182" s="8">
        <v>0</v>
      </c>
      <c r="Q182" s="11">
        <v>0</v>
      </c>
      <c r="R182" s="8">
        <f t="shared" si="224"/>
        <v>160981</v>
      </c>
      <c r="S182" s="11">
        <f t="shared" si="225"/>
        <v>8005783</v>
      </c>
      <c r="T182" t="s">
        <v>64</v>
      </c>
      <c r="W182" s="17">
        <f t="shared" si="244"/>
        <v>3.1972717277194203E-2</v>
      </c>
      <c r="X182" s="17">
        <f t="shared" si="226"/>
        <v>0.9680272827228058</v>
      </c>
      <c r="Y182" s="17">
        <f t="shared" si="245"/>
        <v>0.81325125325348957</v>
      </c>
      <c r="Z182" s="17">
        <f t="shared" si="246"/>
        <v>0.12295239810909361</v>
      </c>
      <c r="AA182" s="17">
        <f t="shared" si="247"/>
        <v>1.5051465700921227E-2</v>
      </c>
      <c r="AB182" s="17">
        <f t="shared" si="248"/>
        <v>0</v>
      </c>
      <c r="AD182" s="30">
        <v>78380.209999999992</v>
      </c>
      <c r="AE182" s="30">
        <f t="shared" si="227"/>
        <v>0.59869697062283256</v>
      </c>
      <c r="AF182" s="31">
        <v>37014.877500000002</v>
      </c>
      <c r="AG182" s="32">
        <f t="shared" si="228"/>
        <v>5.6459828885654859E-3</v>
      </c>
      <c r="AI182" s="2" t="s">
        <v>11</v>
      </c>
      <c r="AJ182" s="2">
        <v>2020</v>
      </c>
      <c r="AK182" s="1">
        <f t="shared" si="238"/>
        <v>5147</v>
      </c>
      <c r="AL182" s="11">
        <f t="shared" si="239"/>
        <v>189337</v>
      </c>
      <c r="AM182" s="1">
        <f t="shared" si="240"/>
        <v>130918</v>
      </c>
      <c r="AN182" s="11">
        <f t="shared" si="229"/>
        <v>6555967</v>
      </c>
      <c r="AO182" s="8">
        <f t="shared" si="230"/>
        <v>19793</v>
      </c>
      <c r="AP182" s="11">
        <f t="shared" si="231"/>
        <v>1019591</v>
      </c>
      <c r="AQ182" s="8">
        <f t="shared" si="232"/>
        <v>2423</v>
      </c>
      <c r="AR182" s="11">
        <f t="shared" si="233"/>
        <v>120508</v>
      </c>
      <c r="AS182" s="8">
        <f t="shared" si="234"/>
        <v>0</v>
      </c>
      <c r="AT182" s="11">
        <f t="shared" si="235"/>
        <v>0</v>
      </c>
      <c r="AU182" s="8">
        <f t="shared" si="241"/>
        <v>158281</v>
      </c>
      <c r="AV182" s="11">
        <f t="shared" si="236"/>
        <v>7885403</v>
      </c>
      <c r="AW182" t="str">
        <f t="shared" si="242"/>
        <v>COBI</v>
      </c>
      <c r="AX182" s="37">
        <f t="shared" si="243"/>
        <v>-2700</v>
      </c>
      <c r="AY182" s="37">
        <f t="shared" si="237"/>
        <v>-120380</v>
      </c>
    </row>
    <row r="183" spans="2:51" x14ac:dyDescent="0.25">
      <c r="B183" s="2" t="s">
        <v>4</v>
      </c>
      <c r="C183" s="2">
        <v>2020</v>
      </c>
      <c r="D183" s="1">
        <v>4879</v>
      </c>
      <c r="E183" s="11">
        <v>187528</v>
      </c>
      <c r="F183" s="1">
        <v>2641</v>
      </c>
      <c r="G183" s="11">
        <v>116972</v>
      </c>
      <c r="H183" s="1">
        <v>676</v>
      </c>
      <c r="I183" s="11">
        <v>20250</v>
      </c>
      <c r="J183" s="1">
        <v>134221</v>
      </c>
      <c r="K183" s="11">
        <v>6646618</v>
      </c>
      <c r="L183" s="1">
        <v>21681</v>
      </c>
      <c r="M183" s="11">
        <v>1110802</v>
      </c>
      <c r="N183" s="1">
        <v>2370</v>
      </c>
      <c r="O183" s="11">
        <v>123413</v>
      </c>
      <c r="P183" s="8">
        <v>0</v>
      </c>
      <c r="Q183" s="11">
        <v>0</v>
      </c>
      <c r="R183" s="8">
        <f t="shared" si="224"/>
        <v>166468</v>
      </c>
      <c r="S183" s="11">
        <f t="shared" si="225"/>
        <v>8205583</v>
      </c>
      <c r="T183" t="s">
        <v>64</v>
      </c>
      <c r="W183" s="17">
        <f t="shared" si="244"/>
        <v>3.3369776773914506E-2</v>
      </c>
      <c r="X183" s="17">
        <f t="shared" si="226"/>
        <v>0.96663022322608549</v>
      </c>
      <c r="Y183" s="17">
        <f t="shared" si="245"/>
        <v>0.80628709421630584</v>
      </c>
      <c r="Z183" s="17">
        <f t="shared" si="246"/>
        <v>0.13024124756709998</v>
      </c>
      <c r="AA183" s="17">
        <f t="shared" si="247"/>
        <v>1.4236970468798809E-2</v>
      </c>
      <c r="AB183" s="17">
        <f t="shared" si="248"/>
        <v>0</v>
      </c>
      <c r="AD183" s="30">
        <v>79820.5</v>
      </c>
      <c r="AE183" s="30">
        <f t="shared" si="227"/>
        <v>0.59469457089427136</v>
      </c>
      <c r="AF183" s="31">
        <v>37025.184999999998</v>
      </c>
      <c r="AG183" s="32">
        <f t="shared" si="228"/>
        <v>5.5705300048836861E-3</v>
      </c>
      <c r="AI183" s="2" t="s">
        <v>4</v>
      </c>
      <c r="AJ183" s="2">
        <v>2020</v>
      </c>
      <c r="AK183" s="1">
        <f t="shared" si="238"/>
        <v>5555</v>
      </c>
      <c r="AL183" s="11">
        <f t="shared" si="239"/>
        <v>207778</v>
      </c>
      <c r="AM183" s="1">
        <f t="shared" si="240"/>
        <v>134221</v>
      </c>
      <c r="AN183" s="11">
        <f t="shared" si="229"/>
        <v>6646618</v>
      </c>
      <c r="AO183" s="8">
        <f t="shared" si="230"/>
        <v>21681</v>
      </c>
      <c r="AP183" s="11">
        <f t="shared" si="231"/>
        <v>1110802</v>
      </c>
      <c r="AQ183" s="8">
        <f t="shared" si="232"/>
        <v>2370</v>
      </c>
      <c r="AR183" s="11">
        <f t="shared" si="233"/>
        <v>123413</v>
      </c>
      <c r="AS183" s="8">
        <f t="shared" si="234"/>
        <v>0</v>
      </c>
      <c r="AT183" s="11">
        <f t="shared" si="235"/>
        <v>0</v>
      </c>
      <c r="AU183" s="8">
        <f t="shared" si="241"/>
        <v>163827</v>
      </c>
      <c r="AV183" s="11">
        <f t="shared" si="236"/>
        <v>8088611</v>
      </c>
      <c r="AW183" t="str">
        <f t="shared" si="242"/>
        <v>COBI</v>
      </c>
      <c r="AX183" s="37">
        <f t="shared" si="243"/>
        <v>-2641</v>
      </c>
      <c r="AY183" s="37">
        <f t="shared" si="237"/>
        <v>-116972</v>
      </c>
    </row>
    <row r="184" spans="2:51" x14ac:dyDescent="0.25">
      <c r="B184" s="2" t="s">
        <v>28</v>
      </c>
      <c r="C184" s="2">
        <v>2020</v>
      </c>
      <c r="D184" s="1">
        <v>4898</v>
      </c>
      <c r="E184" s="11">
        <v>187646</v>
      </c>
      <c r="F184" s="1">
        <v>2986</v>
      </c>
      <c r="G184" s="11">
        <v>132983</v>
      </c>
      <c r="H184" s="1">
        <v>706</v>
      </c>
      <c r="I184" s="11">
        <v>22012</v>
      </c>
      <c r="J184" s="1">
        <v>143072</v>
      </c>
      <c r="K184" s="11">
        <v>7038299</v>
      </c>
      <c r="L184" s="1">
        <v>21564</v>
      </c>
      <c r="M184" s="11">
        <v>1086939</v>
      </c>
      <c r="N184" s="1">
        <v>2879</v>
      </c>
      <c r="O184" s="11">
        <v>152366</v>
      </c>
      <c r="P184" s="8">
        <v>0</v>
      </c>
      <c r="Q184" s="11">
        <v>0</v>
      </c>
      <c r="R184" s="8">
        <f t="shared" si="224"/>
        <v>176105</v>
      </c>
      <c r="S184" s="11">
        <f t="shared" si="225"/>
        <v>8620245</v>
      </c>
      <c r="T184" t="s">
        <v>64</v>
      </c>
      <c r="W184" s="17">
        <f t="shared" si="244"/>
        <v>3.182192442009029E-2</v>
      </c>
      <c r="X184" s="17">
        <f t="shared" si="226"/>
        <v>0.96817807557990976</v>
      </c>
      <c r="Y184" s="17">
        <f t="shared" si="245"/>
        <v>0.81242440589421083</v>
      </c>
      <c r="Z184" s="17">
        <f t="shared" si="246"/>
        <v>0.12244967490985492</v>
      </c>
      <c r="AA184" s="17">
        <f t="shared" si="247"/>
        <v>1.6348201357144886E-2</v>
      </c>
      <c r="AB184" s="17">
        <f t="shared" si="248"/>
        <v>0</v>
      </c>
      <c r="AD184" s="30">
        <v>84585.9</v>
      </c>
      <c r="AE184" s="30">
        <f t="shared" si="227"/>
        <v>0.5912121169760679</v>
      </c>
      <c r="AF184" s="31">
        <v>39770.837500000001</v>
      </c>
      <c r="AG184" s="32">
        <f t="shared" si="228"/>
        <v>5.6506319921901587E-3</v>
      </c>
      <c r="AI184" s="2" t="s">
        <v>28</v>
      </c>
      <c r="AJ184" s="2">
        <v>2020</v>
      </c>
      <c r="AK184" s="1">
        <f t="shared" si="238"/>
        <v>5604</v>
      </c>
      <c r="AL184" s="11">
        <f t="shared" si="239"/>
        <v>209658</v>
      </c>
      <c r="AM184" s="1">
        <f t="shared" si="240"/>
        <v>143072</v>
      </c>
      <c r="AN184" s="11">
        <f t="shared" si="229"/>
        <v>7038299</v>
      </c>
      <c r="AO184" s="8">
        <f t="shared" si="230"/>
        <v>21564</v>
      </c>
      <c r="AP184" s="11">
        <f t="shared" si="231"/>
        <v>1086939</v>
      </c>
      <c r="AQ184" s="8">
        <f t="shared" si="232"/>
        <v>2879</v>
      </c>
      <c r="AR184" s="11">
        <f t="shared" si="233"/>
        <v>152366</v>
      </c>
      <c r="AS184" s="8">
        <f t="shared" si="234"/>
        <v>0</v>
      </c>
      <c r="AT184" s="11">
        <f t="shared" si="235"/>
        <v>0</v>
      </c>
      <c r="AU184" s="8">
        <f t="shared" si="241"/>
        <v>173119</v>
      </c>
      <c r="AV184" s="11">
        <f t="shared" si="236"/>
        <v>8487262</v>
      </c>
      <c r="AW184" t="str">
        <f t="shared" si="242"/>
        <v>COBI</v>
      </c>
      <c r="AX184" s="37">
        <f t="shared" si="243"/>
        <v>-2986</v>
      </c>
      <c r="AY184" s="37">
        <f t="shared" si="237"/>
        <v>-132983</v>
      </c>
    </row>
    <row r="185" spans="2:51" x14ac:dyDescent="0.25">
      <c r="B185" s="2" t="s">
        <v>29</v>
      </c>
      <c r="C185" s="2">
        <v>2020</v>
      </c>
      <c r="D185" s="1">
        <v>5378</v>
      </c>
      <c r="E185" s="11">
        <v>204818</v>
      </c>
      <c r="F185" s="1">
        <v>3183</v>
      </c>
      <c r="G185" s="11">
        <v>143936</v>
      </c>
      <c r="H185" s="1">
        <v>859</v>
      </c>
      <c r="I185" s="11">
        <v>29124</v>
      </c>
      <c r="J185" s="1">
        <v>155640</v>
      </c>
      <c r="K185" s="11">
        <v>7789012</v>
      </c>
      <c r="L185" s="1">
        <v>23161</v>
      </c>
      <c r="M185" s="11">
        <v>1198617</v>
      </c>
      <c r="N185" s="1">
        <v>3072</v>
      </c>
      <c r="O185" s="11">
        <v>165370</v>
      </c>
      <c r="P185" s="8">
        <v>0</v>
      </c>
      <c r="Q185" s="11">
        <v>0</v>
      </c>
      <c r="R185" s="8">
        <f t="shared" si="224"/>
        <v>191293</v>
      </c>
      <c r="S185" s="11">
        <f t="shared" si="225"/>
        <v>9530877</v>
      </c>
      <c r="T185" t="s">
        <v>64</v>
      </c>
      <c r="W185" s="17">
        <f t="shared" si="244"/>
        <v>3.2604434035746213E-2</v>
      </c>
      <c r="X185" s="17">
        <f t="shared" si="226"/>
        <v>0.9673955659642538</v>
      </c>
      <c r="Y185" s="17">
        <f t="shared" si="245"/>
        <v>0.81362098979053077</v>
      </c>
      <c r="Z185" s="17">
        <f t="shared" si="246"/>
        <v>0.12107604564725316</v>
      </c>
      <c r="AA185" s="17">
        <f t="shared" si="247"/>
        <v>1.6059134416836998E-2</v>
      </c>
      <c r="AB185" s="17">
        <f t="shared" si="248"/>
        <v>0</v>
      </c>
      <c r="AD185" s="30">
        <v>92224.01</v>
      </c>
      <c r="AE185" s="30">
        <f t="shared" si="227"/>
        <v>0.59254696736057566</v>
      </c>
      <c r="AF185" s="31">
        <v>45038.885000000002</v>
      </c>
      <c r="AG185" s="32">
        <f t="shared" si="228"/>
        <v>5.7823617424135436E-3</v>
      </c>
      <c r="AI185" s="2" t="s">
        <v>29</v>
      </c>
      <c r="AJ185" s="2">
        <v>2020</v>
      </c>
      <c r="AK185" s="1">
        <f t="shared" si="238"/>
        <v>6237</v>
      </c>
      <c r="AL185" s="11">
        <f t="shared" si="239"/>
        <v>233942</v>
      </c>
      <c r="AM185" s="1">
        <f t="shared" si="240"/>
        <v>155640</v>
      </c>
      <c r="AN185" s="11">
        <f t="shared" si="229"/>
        <v>7789012</v>
      </c>
      <c r="AO185" s="8">
        <f t="shared" si="230"/>
        <v>23161</v>
      </c>
      <c r="AP185" s="11">
        <f t="shared" si="231"/>
        <v>1198617</v>
      </c>
      <c r="AQ185" s="8">
        <f t="shared" si="232"/>
        <v>3072</v>
      </c>
      <c r="AR185" s="11">
        <f t="shared" si="233"/>
        <v>165370</v>
      </c>
      <c r="AS185" s="8">
        <f t="shared" si="234"/>
        <v>0</v>
      </c>
      <c r="AT185" s="11">
        <f t="shared" si="235"/>
        <v>0</v>
      </c>
      <c r="AU185" s="8">
        <f t="shared" si="241"/>
        <v>188110</v>
      </c>
      <c r="AV185" s="11">
        <f t="shared" si="236"/>
        <v>9386941</v>
      </c>
      <c r="AW185" t="str">
        <f t="shared" si="242"/>
        <v>COBI</v>
      </c>
      <c r="AX185" s="37">
        <f t="shared" si="243"/>
        <v>-3183</v>
      </c>
      <c r="AY185" s="37">
        <f t="shared" si="237"/>
        <v>-143936</v>
      </c>
    </row>
    <row r="186" spans="2:51" x14ac:dyDescent="0.25">
      <c r="B186" s="2" t="s">
        <v>30</v>
      </c>
      <c r="C186" s="2">
        <v>2020</v>
      </c>
      <c r="D186" s="1">
        <v>4982</v>
      </c>
      <c r="E186" s="11">
        <v>186449</v>
      </c>
      <c r="F186" s="1">
        <v>2996</v>
      </c>
      <c r="G186" s="11">
        <v>139648</v>
      </c>
      <c r="H186" s="1">
        <v>822</v>
      </c>
      <c r="I186" s="11">
        <v>27839</v>
      </c>
      <c r="J186" s="1">
        <v>139659</v>
      </c>
      <c r="K186" s="11">
        <v>6985344</v>
      </c>
      <c r="L186" s="1">
        <v>20611</v>
      </c>
      <c r="M186" s="11">
        <v>1056600</v>
      </c>
      <c r="N186" s="8">
        <v>2602</v>
      </c>
      <c r="O186" s="11">
        <v>137760</v>
      </c>
      <c r="P186" s="8">
        <v>0</v>
      </c>
      <c r="Q186" s="11">
        <v>0</v>
      </c>
      <c r="R186" s="8">
        <f t="shared" si="224"/>
        <v>171672</v>
      </c>
      <c r="S186" s="11">
        <f t="shared" si="225"/>
        <v>8533640</v>
      </c>
      <c r="T186" t="s">
        <v>64</v>
      </c>
      <c r="W186" s="17">
        <f t="shared" si="244"/>
        <v>3.3808658371778738E-2</v>
      </c>
      <c r="X186" s="17">
        <f t="shared" si="226"/>
        <v>0.96619134162822129</v>
      </c>
      <c r="Y186" s="17">
        <f t="shared" si="245"/>
        <v>0.81352229833636236</v>
      </c>
      <c r="Z186" s="17">
        <f t="shared" si="246"/>
        <v>0.12006034763968498</v>
      </c>
      <c r="AA186" s="17">
        <f t="shared" si="247"/>
        <v>1.5156810662193019E-2</v>
      </c>
      <c r="AB186" s="17">
        <f t="shared" si="248"/>
        <v>0</v>
      </c>
      <c r="AD186" s="30">
        <v>83452.73000000001</v>
      </c>
      <c r="AE186" s="30">
        <f t="shared" si="227"/>
        <v>0.59754638082758726</v>
      </c>
      <c r="AF186" s="31">
        <v>39056.252500000002</v>
      </c>
      <c r="AG186" s="32">
        <f t="shared" si="228"/>
        <v>5.5911709573644476E-3</v>
      </c>
      <c r="AI186" s="2" t="s">
        <v>30</v>
      </c>
      <c r="AJ186" s="2">
        <v>2020</v>
      </c>
      <c r="AK186" s="1">
        <f t="shared" si="238"/>
        <v>5804</v>
      </c>
      <c r="AL186" s="11">
        <f t="shared" si="239"/>
        <v>214288</v>
      </c>
      <c r="AM186" s="1">
        <f t="shared" si="240"/>
        <v>139659</v>
      </c>
      <c r="AN186" s="11">
        <f t="shared" si="229"/>
        <v>6985344</v>
      </c>
      <c r="AO186" s="8">
        <f t="shared" si="230"/>
        <v>20611</v>
      </c>
      <c r="AP186" s="11">
        <f t="shared" si="231"/>
        <v>1056600</v>
      </c>
      <c r="AQ186" s="8">
        <f t="shared" si="232"/>
        <v>2602</v>
      </c>
      <c r="AR186" s="11">
        <f t="shared" si="233"/>
        <v>137760</v>
      </c>
      <c r="AS186" s="8">
        <f t="shared" si="234"/>
        <v>0</v>
      </c>
      <c r="AT186" s="11">
        <f t="shared" si="235"/>
        <v>0</v>
      </c>
      <c r="AU186" s="8">
        <f t="shared" si="241"/>
        <v>168676</v>
      </c>
      <c r="AV186" s="11">
        <f t="shared" si="236"/>
        <v>8393992</v>
      </c>
      <c r="AW186" t="str">
        <f t="shared" si="242"/>
        <v>COBI</v>
      </c>
      <c r="AX186" s="37">
        <f t="shared" si="243"/>
        <v>-2996</v>
      </c>
      <c r="AY186" s="37">
        <f t="shared" si="237"/>
        <v>-139648</v>
      </c>
    </row>
    <row r="187" spans="2:51" x14ac:dyDescent="0.25">
      <c r="B187" s="2" t="s">
        <v>31</v>
      </c>
      <c r="C187" s="2">
        <v>2020</v>
      </c>
      <c r="D187" s="1">
        <v>4736</v>
      </c>
      <c r="E187" s="11">
        <v>172109</v>
      </c>
      <c r="F187" s="1">
        <v>2963</v>
      </c>
      <c r="G187" s="11">
        <v>136465</v>
      </c>
      <c r="H187" s="1">
        <v>973</v>
      </c>
      <c r="I187" s="11">
        <v>33838</v>
      </c>
      <c r="J187" s="1">
        <v>134680</v>
      </c>
      <c r="K187" s="11">
        <v>6672482</v>
      </c>
      <c r="L187" s="1">
        <v>19043</v>
      </c>
      <c r="M187" s="11">
        <v>968616</v>
      </c>
      <c r="N187" s="8">
        <v>2616</v>
      </c>
      <c r="O187" s="11">
        <v>135985</v>
      </c>
      <c r="P187" s="8">
        <v>0</v>
      </c>
      <c r="Q187" s="11">
        <v>0</v>
      </c>
      <c r="R187" s="8">
        <f t="shared" si="224"/>
        <v>165011</v>
      </c>
      <c r="S187" s="11">
        <f t="shared" si="225"/>
        <v>8119495</v>
      </c>
      <c r="T187" t="s">
        <v>64</v>
      </c>
      <c r="W187" s="17">
        <f t="shared" si="244"/>
        <v>3.4597693487100858E-2</v>
      </c>
      <c r="X187" s="17">
        <f t="shared" si="226"/>
        <v>0.96540230651289916</v>
      </c>
      <c r="Y187" s="17">
        <f t="shared" si="245"/>
        <v>0.81618801170831035</v>
      </c>
      <c r="Z187" s="17">
        <f t="shared" si="246"/>
        <v>0.11540442758361563</v>
      </c>
      <c r="AA187" s="17">
        <f t="shared" si="247"/>
        <v>1.5853488555308434E-2</v>
      </c>
      <c r="AB187" s="17">
        <f t="shared" si="248"/>
        <v>0</v>
      </c>
      <c r="AD187" s="30">
        <v>80584.75</v>
      </c>
      <c r="AE187" s="30">
        <f t="shared" si="227"/>
        <v>0.5983423670923671</v>
      </c>
      <c r="AF187" s="31">
        <v>36877.532500000001</v>
      </c>
      <c r="AG187" s="32">
        <f t="shared" si="228"/>
        <v>5.5268088396491742E-3</v>
      </c>
      <c r="AI187" s="2" t="s">
        <v>31</v>
      </c>
      <c r="AJ187" s="2">
        <v>2020</v>
      </c>
      <c r="AK187" s="1">
        <f t="shared" si="238"/>
        <v>5709</v>
      </c>
      <c r="AL187" s="11">
        <f t="shared" si="239"/>
        <v>205947</v>
      </c>
      <c r="AM187" s="1">
        <f t="shared" si="240"/>
        <v>134680</v>
      </c>
      <c r="AN187" s="11">
        <f t="shared" si="229"/>
        <v>6672482</v>
      </c>
      <c r="AO187" s="8">
        <f t="shared" si="230"/>
        <v>19043</v>
      </c>
      <c r="AP187" s="11">
        <f t="shared" si="231"/>
        <v>968616</v>
      </c>
      <c r="AQ187" s="8">
        <f t="shared" si="232"/>
        <v>2616</v>
      </c>
      <c r="AR187" s="11">
        <f t="shared" si="233"/>
        <v>135985</v>
      </c>
      <c r="AS187" s="8">
        <f t="shared" si="234"/>
        <v>0</v>
      </c>
      <c r="AT187" s="11">
        <f t="shared" si="235"/>
        <v>0</v>
      </c>
      <c r="AU187" s="8">
        <f t="shared" si="241"/>
        <v>162048</v>
      </c>
      <c r="AV187" s="11">
        <f t="shared" si="236"/>
        <v>7983030</v>
      </c>
      <c r="AW187" t="str">
        <f t="shared" si="242"/>
        <v>COBI</v>
      </c>
      <c r="AX187" s="37">
        <f t="shared" si="243"/>
        <v>-2963</v>
      </c>
      <c r="AY187" s="37">
        <f t="shared" si="237"/>
        <v>-136465</v>
      </c>
    </row>
    <row r="188" spans="2:51" x14ac:dyDescent="0.25">
      <c r="W188" s="18"/>
      <c r="X188" s="19"/>
      <c r="Y188" s="18"/>
      <c r="Z188" s="18"/>
      <c r="AA188" s="18"/>
      <c r="AB188" s="18"/>
      <c r="AL188" s="9"/>
      <c r="AN188" s="9"/>
      <c r="AP188" s="9"/>
      <c r="AR188" s="9"/>
      <c r="AS188" s="9"/>
      <c r="AT188" s="9"/>
      <c r="AV188" s="9"/>
    </row>
    <row r="189" spans="2:51" x14ac:dyDescent="0.25">
      <c r="B189" s="3" t="s">
        <v>12</v>
      </c>
      <c r="C189" s="3"/>
      <c r="D189" s="4">
        <f t="shared" ref="D189:S189" si="249">SUM(D176:D188)</f>
        <v>47177</v>
      </c>
      <c r="E189" s="12">
        <f t="shared" si="249"/>
        <v>1806379</v>
      </c>
      <c r="F189" s="4">
        <f t="shared" ref="F189:G189" si="250">SUM(F176:F188)</f>
        <v>28361</v>
      </c>
      <c r="G189" s="12">
        <f t="shared" si="250"/>
        <v>1271314</v>
      </c>
      <c r="H189" s="4">
        <f t="shared" si="249"/>
        <v>9252</v>
      </c>
      <c r="I189" s="12">
        <f t="shared" si="249"/>
        <v>306749</v>
      </c>
      <c r="J189" s="4">
        <f t="shared" si="249"/>
        <v>1455211</v>
      </c>
      <c r="K189" s="12">
        <f t="shared" si="249"/>
        <v>73026432</v>
      </c>
      <c r="L189" s="4">
        <f t="shared" si="249"/>
        <v>216935</v>
      </c>
      <c r="M189" s="12">
        <f t="shared" si="249"/>
        <v>11155709</v>
      </c>
      <c r="N189" s="4">
        <f t="shared" si="249"/>
        <v>26955</v>
      </c>
      <c r="O189" s="12">
        <f t="shared" si="249"/>
        <v>1423983</v>
      </c>
      <c r="P189" s="4">
        <f t="shared" si="249"/>
        <v>133</v>
      </c>
      <c r="Q189" s="12">
        <f t="shared" si="249"/>
        <v>7469</v>
      </c>
      <c r="R189" s="4">
        <f t="shared" si="249"/>
        <v>1784024</v>
      </c>
      <c r="S189" s="12">
        <f t="shared" si="249"/>
        <v>88998035</v>
      </c>
      <c r="W189" s="16">
        <f>+(D189+H189)/R189</f>
        <v>3.1630179863051167E-2</v>
      </c>
      <c r="X189" s="16">
        <f>1-W189</f>
        <v>0.96836982013694883</v>
      </c>
      <c r="Y189" s="16">
        <f>+J189/R189</f>
        <v>0.81569025977229004</v>
      </c>
      <c r="Z189" s="16">
        <f>+L189/R189</f>
        <v>0.12159870046591302</v>
      </c>
      <c r="AA189" s="16">
        <f>+N189/R189</f>
        <v>1.5109101671277965E-2</v>
      </c>
      <c r="AB189" s="16">
        <f>+P189/R189</f>
        <v>7.4550566584306039E-5</v>
      </c>
      <c r="AD189" s="12">
        <f>AVERAGE(AD176:AD188)</f>
        <v>72237.976666666669</v>
      </c>
      <c r="AE189" s="12">
        <f t="shared" ref="AE189" si="251">AVERAGE(AE176:AE188)</f>
        <v>0.59672093529681525</v>
      </c>
      <c r="AF189" s="12">
        <f t="shared" ref="AF189" si="252">AVERAGE(AF176:AF188)</f>
        <v>34125.084583333337</v>
      </c>
      <c r="AG189" s="16">
        <f t="shared" ref="AG189" si="253">AVERAGE(AG176:AG188)</f>
        <v>5.5983984041002126E-3</v>
      </c>
      <c r="AI189" s="3" t="s">
        <v>12</v>
      </c>
      <c r="AJ189" s="3"/>
      <c r="AK189" s="4">
        <f t="shared" ref="AK189:AV189" si="254">SUM(AK176:AK188)</f>
        <v>56429</v>
      </c>
      <c r="AL189" s="12">
        <f t="shared" si="254"/>
        <v>2113128</v>
      </c>
      <c r="AM189" s="4">
        <f t="shared" si="254"/>
        <v>1455211</v>
      </c>
      <c r="AN189" s="12">
        <f t="shared" si="254"/>
        <v>73026432</v>
      </c>
      <c r="AO189" s="4">
        <f t="shared" si="254"/>
        <v>216935</v>
      </c>
      <c r="AP189" s="12">
        <f t="shared" si="254"/>
        <v>11155709</v>
      </c>
      <c r="AQ189" s="4">
        <f t="shared" si="254"/>
        <v>26955</v>
      </c>
      <c r="AR189" s="12">
        <f t="shared" si="254"/>
        <v>1423983</v>
      </c>
      <c r="AS189" s="4">
        <f t="shared" si="254"/>
        <v>133</v>
      </c>
      <c r="AT189" s="12">
        <f t="shared" si="254"/>
        <v>7469</v>
      </c>
      <c r="AU189" s="4">
        <f t="shared" si="254"/>
        <v>1755663</v>
      </c>
      <c r="AV189" s="12">
        <f t="shared" si="254"/>
        <v>87726721</v>
      </c>
    </row>
    <row r="190" spans="2:51" x14ac:dyDescent="0.25">
      <c r="L190" s="28">
        <f>AVERAGE(L176:L185)</f>
        <v>17728.099999999999</v>
      </c>
      <c r="M190" s="28">
        <f>AVERAGE(M176:M185)</f>
        <v>913049.3</v>
      </c>
      <c r="R190" s="28">
        <f>AVERAGE(R176:R185)</f>
        <v>144734.1</v>
      </c>
      <c r="S190" s="28">
        <f>AVERAGE(S176:S185)</f>
        <v>7234490</v>
      </c>
    </row>
    <row r="191" spans="2:51" x14ac:dyDescent="0.25">
      <c r="B191" s="5" t="s">
        <v>14</v>
      </c>
      <c r="L191" s="28"/>
      <c r="M191" s="28"/>
      <c r="R191" s="44">
        <f>+L190/R190</f>
        <v>0.12248737512445235</v>
      </c>
      <c r="S191" s="44">
        <f>+M190/S190</f>
        <v>0.12620783220379045</v>
      </c>
    </row>
    <row r="192" spans="2:51" x14ac:dyDescent="0.25">
      <c r="B192" s="5" t="s">
        <v>51</v>
      </c>
      <c r="L192" s="26"/>
      <c r="M192" s="26"/>
    </row>
    <row r="193" spans="1:51" x14ac:dyDescent="0.25">
      <c r="B193" s="5"/>
    </row>
    <row r="194" spans="1:51" x14ac:dyDescent="0.25">
      <c r="D194" s="89" t="s">
        <v>15</v>
      </c>
      <c r="E194" s="90"/>
      <c r="F194" s="89" t="s">
        <v>71</v>
      </c>
      <c r="G194" s="90"/>
      <c r="H194" s="89" t="s">
        <v>16</v>
      </c>
      <c r="I194" s="90"/>
      <c r="J194" s="89" t="s">
        <v>17</v>
      </c>
      <c r="K194" s="93"/>
      <c r="L194" s="89" t="s">
        <v>18</v>
      </c>
      <c r="M194" s="93"/>
      <c r="N194" s="89" t="s">
        <v>13</v>
      </c>
      <c r="O194" s="93"/>
      <c r="P194" s="89" t="s">
        <v>34</v>
      </c>
      <c r="Q194" s="93"/>
      <c r="R194" s="89" t="s">
        <v>12</v>
      </c>
      <c r="S194" s="93"/>
      <c r="W194" s="91" t="s">
        <v>42</v>
      </c>
      <c r="X194" s="92"/>
      <c r="Y194" s="92"/>
      <c r="Z194" s="92"/>
      <c r="AA194" s="92"/>
      <c r="AB194" s="92"/>
      <c r="AK194" s="89" t="s">
        <v>69</v>
      </c>
      <c r="AL194" s="90"/>
      <c r="AM194" s="89" t="s">
        <v>17</v>
      </c>
      <c r="AN194" s="93"/>
      <c r="AO194" s="89" t="s">
        <v>18</v>
      </c>
      <c r="AP194" s="93"/>
      <c r="AQ194" s="89" t="s">
        <v>13</v>
      </c>
      <c r="AR194" s="93"/>
      <c r="AS194" s="89" t="s">
        <v>34</v>
      </c>
      <c r="AT194" s="93"/>
      <c r="AU194" s="89" t="s">
        <v>12</v>
      </c>
      <c r="AV194" s="93"/>
    </row>
    <row r="195" spans="1:5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W195" s="7" t="s">
        <v>38</v>
      </c>
      <c r="X195" s="10" t="s">
        <v>39</v>
      </c>
      <c r="Y195" s="10" t="s">
        <v>40</v>
      </c>
      <c r="Z195" s="10" t="s">
        <v>18</v>
      </c>
      <c r="AA195" s="10" t="s">
        <v>13</v>
      </c>
      <c r="AB195" s="10" t="s">
        <v>41</v>
      </c>
      <c r="AD195" s="33">
        <v>2019</v>
      </c>
      <c r="AE195" s="34">
        <v>0.6794174458033817</v>
      </c>
      <c r="AF195" s="33">
        <v>2019</v>
      </c>
      <c r="AG195" s="35">
        <v>6.9051423596790161E-3</v>
      </c>
      <c r="AI195" s="7" t="s">
        <v>0</v>
      </c>
      <c r="AJ195" s="7" t="s">
        <v>1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  <c r="AU195" s="7" t="s">
        <v>2</v>
      </c>
      <c r="AV195" s="10" t="s">
        <v>3</v>
      </c>
    </row>
    <row r="196" spans="1:51" x14ac:dyDescent="0.25">
      <c r="X196" s="9"/>
      <c r="AL196" s="9"/>
      <c r="AN196" s="9"/>
      <c r="AP196" s="9"/>
      <c r="AR196" s="9"/>
      <c r="AS196" s="9"/>
      <c r="AT196" s="9"/>
      <c r="AV196" s="9"/>
    </row>
    <row r="197" spans="1:51" x14ac:dyDescent="0.25">
      <c r="B197" s="2" t="s">
        <v>5</v>
      </c>
      <c r="C197" s="2">
        <v>2020</v>
      </c>
      <c r="D197" s="1">
        <v>4793</v>
      </c>
      <c r="E197" s="11">
        <v>478723</v>
      </c>
      <c r="F197" s="8">
        <v>3577</v>
      </c>
      <c r="G197" s="11">
        <v>495272</v>
      </c>
      <c r="H197" s="1">
        <v>319</v>
      </c>
      <c r="I197" s="11">
        <v>25134</v>
      </c>
      <c r="J197" s="1">
        <v>171491</v>
      </c>
      <c r="K197" s="11">
        <v>24924091</v>
      </c>
      <c r="L197" s="1">
        <v>58493</v>
      </c>
      <c r="M197" s="11">
        <v>6360086</v>
      </c>
      <c r="N197" s="1">
        <v>4984</v>
      </c>
      <c r="O197" s="11">
        <v>951187</v>
      </c>
      <c r="P197" s="1">
        <v>0</v>
      </c>
      <c r="Q197" s="11">
        <v>0</v>
      </c>
      <c r="R197" s="8">
        <f t="shared" ref="R197:R208" si="255">N197+L197+J197+H197+D197+P197+F197</f>
        <v>243657</v>
      </c>
      <c r="S197" s="11">
        <f t="shared" ref="S197:S208" si="256">O197+M197+K197+I197+E197+Q197+G197</f>
        <v>33234493</v>
      </c>
      <c r="T197" t="s">
        <v>65</v>
      </c>
      <c r="W197" s="17">
        <f>+(D197+H197)/R197</f>
        <v>2.0980312488457133E-2</v>
      </c>
      <c r="X197" s="17">
        <f t="shared" ref="X197:X208" si="257">1-W197</f>
        <v>0.97901968751154289</v>
      </c>
      <c r="Y197" s="17">
        <f>+J197/R197</f>
        <v>0.70382135542996915</v>
      </c>
      <c r="Z197" s="17">
        <f>+L197/R197</f>
        <v>0.24006287527138559</v>
      </c>
      <c r="AA197" s="17">
        <f>+N197/R197</f>
        <v>2.0454983850248507E-2</v>
      </c>
      <c r="AB197" s="17">
        <f>+P197/R197</f>
        <v>0</v>
      </c>
      <c r="AD197" s="30">
        <v>115893.70999999999</v>
      </c>
      <c r="AE197" s="30">
        <f t="shared" ref="AE197" si="258">+AD197/J197</f>
        <v>0.67580053763754366</v>
      </c>
      <c r="AF197" s="31">
        <v>176424.7825</v>
      </c>
      <c r="AG197" s="32">
        <f t="shared" ref="AG197" si="259">+AF197/K197</f>
        <v>7.0784841260610066E-3</v>
      </c>
      <c r="AI197" s="2" t="s">
        <v>5</v>
      </c>
      <c r="AJ197" s="2">
        <v>2020</v>
      </c>
      <c r="AK197" s="1">
        <f>D197+H197</f>
        <v>5112</v>
      </c>
      <c r="AL197" s="11">
        <f>E197+I197</f>
        <v>503857</v>
      </c>
      <c r="AM197" s="1">
        <f>+J197</f>
        <v>171491</v>
      </c>
      <c r="AN197" s="11">
        <f t="shared" ref="AN197:AN208" si="260">+K197</f>
        <v>24924091</v>
      </c>
      <c r="AO197" s="8">
        <f t="shared" ref="AO197:AO208" si="261">+L197</f>
        <v>58493</v>
      </c>
      <c r="AP197" s="11">
        <f t="shared" ref="AP197:AP208" si="262">+M197</f>
        <v>6360086</v>
      </c>
      <c r="AQ197" s="8">
        <f t="shared" ref="AQ197:AQ208" si="263">+N197</f>
        <v>4984</v>
      </c>
      <c r="AR197" s="11">
        <f t="shared" ref="AR197:AR208" si="264">+O197</f>
        <v>951187</v>
      </c>
      <c r="AS197" s="8">
        <f t="shared" ref="AS197:AS208" si="265">+P197</f>
        <v>0</v>
      </c>
      <c r="AT197" s="11">
        <f t="shared" ref="AT197:AT208" si="266">+Q197</f>
        <v>0</v>
      </c>
      <c r="AU197" s="8">
        <f>AS197+AQ197+AO197+AM197+AK197</f>
        <v>240080</v>
      </c>
      <c r="AV197" s="11">
        <f t="shared" ref="AV197:AV208" si="267">AT197+AR197+AP197+AN197+AL197</f>
        <v>32739221</v>
      </c>
      <c r="AW197" t="str">
        <f>+T197</f>
        <v>ACCSA</v>
      </c>
      <c r="AX197" s="37">
        <f>+AU197-R197</f>
        <v>-3577</v>
      </c>
      <c r="AY197" s="37">
        <f t="shared" ref="AY197:AY208" si="268">+AV197-S197</f>
        <v>-495272</v>
      </c>
    </row>
    <row r="198" spans="1:51" x14ac:dyDescent="0.25">
      <c r="B198" s="2" t="s">
        <v>6</v>
      </c>
      <c r="C198" s="2">
        <v>2020</v>
      </c>
      <c r="D198" s="1">
        <v>4794</v>
      </c>
      <c r="E198" s="11">
        <v>563310</v>
      </c>
      <c r="F198" s="8">
        <v>2936</v>
      </c>
      <c r="G198" s="11">
        <v>423020</v>
      </c>
      <c r="H198" s="1">
        <v>364</v>
      </c>
      <c r="I198" s="11">
        <v>35149</v>
      </c>
      <c r="J198" s="1">
        <v>157182</v>
      </c>
      <c r="K198" s="11">
        <v>23392972</v>
      </c>
      <c r="L198" s="1">
        <v>55738</v>
      </c>
      <c r="M198" s="11">
        <v>6227663</v>
      </c>
      <c r="N198" s="1">
        <v>4574</v>
      </c>
      <c r="O198" s="11">
        <v>905668</v>
      </c>
      <c r="P198" s="1">
        <v>0</v>
      </c>
      <c r="Q198" s="11">
        <v>0</v>
      </c>
      <c r="R198" s="8">
        <f t="shared" si="255"/>
        <v>225588</v>
      </c>
      <c r="S198" s="11">
        <f t="shared" si="256"/>
        <v>31547782</v>
      </c>
      <c r="T198" t="s">
        <v>65</v>
      </c>
      <c r="W198" s="17">
        <f>+(D198+H198)/R198</f>
        <v>2.2864691384293492E-2</v>
      </c>
      <c r="X198" s="17">
        <f t="shared" si="257"/>
        <v>0.97713530861570652</v>
      </c>
      <c r="Y198" s="17">
        <f>+J198/R198</f>
        <v>0.69676578541411782</v>
      </c>
      <c r="Z198" s="17">
        <f>+L198/R198</f>
        <v>0.24707874532333279</v>
      </c>
      <c r="AA198" s="17">
        <f>+N198/R198</f>
        <v>2.0275901200418462E-2</v>
      </c>
      <c r="AB198" s="17">
        <f>+P198/R198</f>
        <v>0</v>
      </c>
      <c r="AD198" s="30">
        <v>107174.54</v>
      </c>
      <c r="AE198" s="30">
        <f t="shared" ref="AE198:AE208" si="269">+AD198/J198</f>
        <v>0.68184995737425402</v>
      </c>
      <c r="AF198" s="31">
        <v>164421.27249999999</v>
      </c>
      <c r="AG198" s="32">
        <f t="shared" ref="AG198:AG208" si="270">+AF198/K198</f>
        <v>7.0286611081311085E-3</v>
      </c>
      <c r="AI198" s="2" t="s">
        <v>6</v>
      </c>
      <c r="AJ198" s="2">
        <v>2020</v>
      </c>
      <c r="AK198" s="1">
        <f t="shared" ref="AK198:AK208" si="271">D198+H198</f>
        <v>5158</v>
      </c>
      <c r="AL198" s="11">
        <f t="shared" ref="AL198:AL208" si="272">E198+I198</f>
        <v>598459</v>
      </c>
      <c r="AM198" s="1">
        <f t="shared" ref="AM198:AM208" si="273">+J198</f>
        <v>157182</v>
      </c>
      <c r="AN198" s="11">
        <f t="shared" si="260"/>
        <v>23392972</v>
      </c>
      <c r="AO198" s="8">
        <f t="shared" si="261"/>
        <v>55738</v>
      </c>
      <c r="AP198" s="11">
        <f t="shared" si="262"/>
        <v>6227663</v>
      </c>
      <c r="AQ198" s="8">
        <f t="shared" si="263"/>
        <v>4574</v>
      </c>
      <c r="AR198" s="11">
        <f t="shared" si="264"/>
        <v>905668</v>
      </c>
      <c r="AS198" s="8">
        <f t="shared" si="265"/>
        <v>0</v>
      </c>
      <c r="AT198" s="11">
        <f t="shared" si="266"/>
        <v>0</v>
      </c>
      <c r="AU198" s="8">
        <f t="shared" ref="AU198:AU208" si="274">AS198+AQ198+AO198+AM198+AK198</f>
        <v>222652</v>
      </c>
      <c r="AV198" s="11">
        <f t="shared" si="267"/>
        <v>31124762</v>
      </c>
      <c r="AW198" t="str">
        <f t="shared" ref="AW198:AW208" si="275">+T198</f>
        <v>ACCSA</v>
      </c>
      <c r="AX198" s="37">
        <f t="shared" ref="AX198:AX208" si="276">+AU198-R198</f>
        <v>-2936</v>
      </c>
      <c r="AY198" s="37">
        <f t="shared" si="268"/>
        <v>-423020</v>
      </c>
    </row>
    <row r="199" spans="1:51" x14ac:dyDescent="0.25">
      <c r="B199" s="2" t="s">
        <v>7</v>
      </c>
      <c r="C199" s="2">
        <v>2020</v>
      </c>
      <c r="D199" s="1">
        <v>4695</v>
      </c>
      <c r="E199" s="11">
        <v>552623</v>
      </c>
      <c r="F199" s="8">
        <v>3435</v>
      </c>
      <c r="G199" s="11">
        <v>551231</v>
      </c>
      <c r="H199" s="1">
        <v>380</v>
      </c>
      <c r="I199" s="11">
        <v>39905</v>
      </c>
      <c r="J199" s="1">
        <v>172839</v>
      </c>
      <c r="K199" s="11">
        <v>27019276</v>
      </c>
      <c r="L199" s="1">
        <v>56209</v>
      </c>
      <c r="M199" s="11">
        <v>6587824</v>
      </c>
      <c r="N199" s="1">
        <v>5377</v>
      </c>
      <c r="O199" s="11">
        <v>1050946</v>
      </c>
      <c r="P199" s="1">
        <v>0</v>
      </c>
      <c r="Q199" s="11">
        <v>0</v>
      </c>
      <c r="R199" s="8">
        <f t="shared" si="255"/>
        <v>242935</v>
      </c>
      <c r="S199" s="11">
        <f t="shared" si="256"/>
        <v>35801805</v>
      </c>
      <c r="T199" t="s">
        <v>65</v>
      </c>
      <c r="W199" s="17">
        <f>+(D199+H199)/R199</f>
        <v>2.0890361619363203E-2</v>
      </c>
      <c r="X199" s="17">
        <f t="shared" si="257"/>
        <v>0.9791096383806368</v>
      </c>
      <c r="Y199" s="17">
        <f>+J199/R199</f>
        <v>0.71146191368061418</v>
      </c>
      <c r="Z199" s="17">
        <f>+L199/R199</f>
        <v>0.23137464753946529</v>
      </c>
      <c r="AA199" s="17">
        <f>+N199/R199</f>
        <v>2.213349249799329E-2</v>
      </c>
      <c r="AB199" s="17">
        <f>+P199/R199</f>
        <v>0</v>
      </c>
      <c r="AD199" s="30">
        <v>118252.88</v>
      </c>
      <c r="AE199" s="30">
        <f t="shared" si="269"/>
        <v>0.68417938081104379</v>
      </c>
      <c r="AF199" s="31">
        <v>186995.64250000002</v>
      </c>
      <c r="AG199" s="32">
        <f t="shared" si="270"/>
        <v>6.9208235816533362E-3</v>
      </c>
      <c r="AI199" s="2" t="s">
        <v>7</v>
      </c>
      <c r="AJ199" s="2">
        <v>2020</v>
      </c>
      <c r="AK199" s="1">
        <f t="shared" si="271"/>
        <v>5075</v>
      </c>
      <c r="AL199" s="11">
        <f t="shared" si="272"/>
        <v>592528</v>
      </c>
      <c r="AM199" s="1">
        <f t="shared" si="273"/>
        <v>172839</v>
      </c>
      <c r="AN199" s="11">
        <f t="shared" si="260"/>
        <v>27019276</v>
      </c>
      <c r="AO199" s="8">
        <f t="shared" si="261"/>
        <v>56209</v>
      </c>
      <c r="AP199" s="11">
        <f t="shared" si="262"/>
        <v>6587824</v>
      </c>
      <c r="AQ199" s="8">
        <f t="shared" si="263"/>
        <v>5377</v>
      </c>
      <c r="AR199" s="11">
        <f t="shared" si="264"/>
        <v>1050946</v>
      </c>
      <c r="AS199" s="8">
        <f t="shared" si="265"/>
        <v>0</v>
      </c>
      <c r="AT199" s="11">
        <f t="shared" si="266"/>
        <v>0</v>
      </c>
      <c r="AU199" s="8">
        <f t="shared" si="274"/>
        <v>239500</v>
      </c>
      <c r="AV199" s="11">
        <f t="shared" si="267"/>
        <v>35250574</v>
      </c>
      <c r="AW199" t="str">
        <f t="shared" si="275"/>
        <v>ACCSA</v>
      </c>
      <c r="AX199" s="37">
        <f t="shared" si="276"/>
        <v>-3435</v>
      </c>
      <c r="AY199" s="37">
        <f t="shared" si="268"/>
        <v>-551231</v>
      </c>
    </row>
    <row r="200" spans="1:51" x14ac:dyDescent="0.25">
      <c r="B200" s="2" t="s">
        <v>8</v>
      </c>
      <c r="C200" s="2">
        <v>2020</v>
      </c>
      <c r="D200" s="1">
        <v>4476</v>
      </c>
      <c r="E200" s="11">
        <v>591868</v>
      </c>
      <c r="F200" s="8">
        <v>2780</v>
      </c>
      <c r="G200" s="11">
        <v>464572</v>
      </c>
      <c r="H200" s="1">
        <v>295</v>
      </c>
      <c r="I200" s="11">
        <v>34161</v>
      </c>
      <c r="J200" s="1">
        <v>128532</v>
      </c>
      <c r="K200" s="11">
        <v>20729096</v>
      </c>
      <c r="L200" s="1">
        <v>28816</v>
      </c>
      <c r="M200" s="11">
        <v>3937550</v>
      </c>
      <c r="N200" s="1">
        <v>4568</v>
      </c>
      <c r="O200" s="11">
        <v>930894</v>
      </c>
      <c r="P200" s="8">
        <v>0</v>
      </c>
      <c r="Q200" s="11">
        <v>0</v>
      </c>
      <c r="R200" s="8">
        <f t="shared" si="255"/>
        <v>169467</v>
      </c>
      <c r="S200" s="11">
        <f t="shared" si="256"/>
        <v>26688141</v>
      </c>
      <c r="T200" t="s">
        <v>65</v>
      </c>
      <c r="W200" s="17">
        <f t="shared" ref="W200:W208" si="277">+(D200+H200)/R200</f>
        <v>2.8152973735299496E-2</v>
      </c>
      <c r="X200" s="17">
        <f t="shared" si="257"/>
        <v>0.97184702626470054</v>
      </c>
      <c r="Y200" s="17">
        <f t="shared" ref="Y200:Y208" si="278">+J200/R200</f>
        <v>0.75844854750482393</v>
      </c>
      <c r="Z200" s="17">
        <f t="shared" ref="Z200:Z208" si="279">+L200/R200</f>
        <v>0.17003900464397198</v>
      </c>
      <c r="AA200" s="17">
        <f t="shared" ref="AA200:AA208" si="280">+N200/R200</f>
        <v>2.6955100403028318E-2</v>
      </c>
      <c r="AB200" s="17">
        <f t="shared" ref="AB200:AB208" si="281">+P200/R200</f>
        <v>0</v>
      </c>
      <c r="AD200" s="30">
        <v>85751.82</v>
      </c>
      <c r="AE200" s="30">
        <f t="shared" si="269"/>
        <v>0.66716319671365887</v>
      </c>
      <c r="AF200" s="31">
        <v>149449.27000000002</v>
      </c>
      <c r="AG200" s="32">
        <f t="shared" si="270"/>
        <v>7.2096376031062824E-3</v>
      </c>
      <c r="AI200" s="2" t="s">
        <v>8</v>
      </c>
      <c r="AJ200" s="2">
        <v>2020</v>
      </c>
      <c r="AK200" s="1">
        <f t="shared" si="271"/>
        <v>4771</v>
      </c>
      <c r="AL200" s="11">
        <f t="shared" si="272"/>
        <v>626029</v>
      </c>
      <c r="AM200" s="1">
        <f t="shared" si="273"/>
        <v>128532</v>
      </c>
      <c r="AN200" s="11">
        <f t="shared" si="260"/>
        <v>20729096</v>
      </c>
      <c r="AO200" s="8">
        <f t="shared" si="261"/>
        <v>28816</v>
      </c>
      <c r="AP200" s="11">
        <f t="shared" si="262"/>
        <v>3937550</v>
      </c>
      <c r="AQ200" s="8">
        <f t="shared" si="263"/>
        <v>4568</v>
      </c>
      <c r="AR200" s="11">
        <f t="shared" si="264"/>
        <v>930894</v>
      </c>
      <c r="AS200" s="8">
        <f t="shared" si="265"/>
        <v>0</v>
      </c>
      <c r="AT200" s="11">
        <f t="shared" si="266"/>
        <v>0</v>
      </c>
      <c r="AU200" s="8">
        <f t="shared" si="274"/>
        <v>166687</v>
      </c>
      <c r="AV200" s="11">
        <f t="shared" si="267"/>
        <v>26223569</v>
      </c>
      <c r="AW200" t="str">
        <f t="shared" si="275"/>
        <v>ACCSA</v>
      </c>
      <c r="AX200" s="37">
        <f t="shared" si="276"/>
        <v>-2780</v>
      </c>
      <c r="AY200" s="37">
        <f t="shared" si="268"/>
        <v>-464572</v>
      </c>
    </row>
    <row r="201" spans="1:51" x14ac:dyDescent="0.25">
      <c r="B201" s="2" t="s">
        <v>9</v>
      </c>
      <c r="C201" s="2">
        <v>2020</v>
      </c>
      <c r="D201" s="1">
        <v>5366</v>
      </c>
      <c r="E201" s="11">
        <v>591312</v>
      </c>
      <c r="F201" s="8">
        <v>2531</v>
      </c>
      <c r="G201" s="11">
        <v>441844</v>
      </c>
      <c r="H201" s="1">
        <v>223</v>
      </c>
      <c r="I201" s="11">
        <v>22030</v>
      </c>
      <c r="J201" s="1">
        <v>126339</v>
      </c>
      <c r="K201" s="11">
        <v>19462884</v>
      </c>
      <c r="L201" s="1">
        <v>28722</v>
      </c>
      <c r="M201" s="11">
        <v>4035392</v>
      </c>
      <c r="N201" s="1">
        <v>4772</v>
      </c>
      <c r="O201" s="11">
        <v>958408</v>
      </c>
      <c r="P201" s="8">
        <v>0</v>
      </c>
      <c r="Q201" s="11">
        <v>0</v>
      </c>
      <c r="R201" s="8">
        <f t="shared" si="255"/>
        <v>167953</v>
      </c>
      <c r="S201" s="11">
        <f t="shared" si="256"/>
        <v>25511870</v>
      </c>
      <c r="T201" t="s">
        <v>65</v>
      </c>
      <c r="W201" s="17">
        <f t="shared" si="277"/>
        <v>3.3277166826433585E-2</v>
      </c>
      <c r="X201" s="17">
        <f t="shared" si="257"/>
        <v>0.96672283317356644</v>
      </c>
      <c r="Y201" s="17">
        <f t="shared" si="278"/>
        <v>0.75222830196543078</v>
      </c>
      <c r="Z201" s="17">
        <f t="shared" si="279"/>
        <v>0.17101212839306235</v>
      </c>
      <c r="AA201" s="17">
        <f t="shared" si="280"/>
        <v>2.8412710698826456E-2</v>
      </c>
      <c r="AB201" s="17">
        <f t="shared" si="281"/>
        <v>0</v>
      </c>
      <c r="AD201" s="30">
        <v>83476.77</v>
      </c>
      <c r="AE201" s="30">
        <f t="shared" si="269"/>
        <v>0.66073635219528415</v>
      </c>
      <c r="AF201" s="31">
        <v>144118.87</v>
      </c>
      <c r="AG201" s="36">
        <f t="shared" si="270"/>
        <v>7.4048054748720692E-3</v>
      </c>
      <c r="AI201" s="2" t="s">
        <v>9</v>
      </c>
      <c r="AJ201" s="2">
        <v>2020</v>
      </c>
      <c r="AK201" s="1">
        <f t="shared" si="271"/>
        <v>5589</v>
      </c>
      <c r="AL201" s="11">
        <f t="shared" si="272"/>
        <v>613342</v>
      </c>
      <c r="AM201" s="1">
        <f t="shared" si="273"/>
        <v>126339</v>
      </c>
      <c r="AN201" s="11">
        <f t="shared" si="260"/>
        <v>19462884</v>
      </c>
      <c r="AO201" s="8">
        <f t="shared" si="261"/>
        <v>28722</v>
      </c>
      <c r="AP201" s="11">
        <f t="shared" si="262"/>
        <v>4035392</v>
      </c>
      <c r="AQ201" s="8">
        <f t="shared" si="263"/>
        <v>4772</v>
      </c>
      <c r="AR201" s="11">
        <f t="shared" si="264"/>
        <v>958408</v>
      </c>
      <c r="AS201" s="8">
        <f t="shared" si="265"/>
        <v>0</v>
      </c>
      <c r="AT201" s="11">
        <f t="shared" si="266"/>
        <v>0</v>
      </c>
      <c r="AU201" s="8">
        <f t="shared" si="274"/>
        <v>165422</v>
      </c>
      <c r="AV201" s="11">
        <f t="shared" si="267"/>
        <v>25070026</v>
      </c>
      <c r="AW201" t="str">
        <f t="shared" si="275"/>
        <v>ACCSA</v>
      </c>
      <c r="AX201" s="37">
        <f t="shared" si="276"/>
        <v>-2531</v>
      </c>
      <c r="AY201" s="37">
        <f t="shared" si="268"/>
        <v>-441844</v>
      </c>
    </row>
    <row r="202" spans="1:51" x14ac:dyDescent="0.25">
      <c r="B202" s="2" t="s">
        <v>10</v>
      </c>
      <c r="C202" s="2">
        <v>2020</v>
      </c>
      <c r="D202" s="1">
        <v>6389</v>
      </c>
      <c r="E202" s="11">
        <v>615086</v>
      </c>
      <c r="F202" s="8">
        <v>2473</v>
      </c>
      <c r="G202" s="11">
        <v>398580</v>
      </c>
      <c r="H202" s="1">
        <v>195</v>
      </c>
      <c r="I202" s="11">
        <v>15476</v>
      </c>
      <c r="J202" s="1">
        <v>144901</v>
      </c>
      <c r="K202" s="11">
        <v>21854797</v>
      </c>
      <c r="L202" s="1">
        <v>28514</v>
      </c>
      <c r="M202" s="11">
        <v>3846825</v>
      </c>
      <c r="N202" s="1">
        <v>5072</v>
      </c>
      <c r="O202" s="11">
        <v>968794</v>
      </c>
      <c r="P202" s="8">
        <v>0</v>
      </c>
      <c r="Q202" s="11">
        <v>0</v>
      </c>
      <c r="R202" s="8">
        <f t="shared" si="255"/>
        <v>187544</v>
      </c>
      <c r="S202" s="11">
        <f t="shared" si="256"/>
        <v>27699558</v>
      </c>
      <c r="T202" t="s">
        <v>65</v>
      </c>
      <c r="W202" s="17">
        <f t="shared" si="277"/>
        <v>3.5106428358145286E-2</v>
      </c>
      <c r="X202" s="17">
        <f t="shared" si="257"/>
        <v>0.96489357164185474</v>
      </c>
      <c r="Y202" s="17">
        <f t="shared" si="278"/>
        <v>0.77262402422898091</v>
      </c>
      <c r="Z202" s="17">
        <f t="shared" si="279"/>
        <v>0.15203898818410613</v>
      </c>
      <c r="AA202" s="17">
        <f t="shared" si="280"/>
        <v>2.7044320266177539E-2</v>
      </c>
      <c r="AB202" s="17">
        <f t="shared" si="281"/>
        <v>0</v>
      </c>
      <c r="AD202" s="30">
        <v>97856.2</v>
      </c>
      <c r="AE202" s="30">
        <f t="shared" si="269"/>
        <v>0.67533143318541622</v>
      </c>
      <c r="AF202" s="31">
        <v>153452.685</v>
      </c>
      <c r="AG202" s="32">
        <f t="shared" si="270"/>
        <v>7.0214646697473329E-3</v>
      </c>
      <c r="AI202" s="2" t="s">
        <v>10</v>
      </c>
      <c r="AJ202" s="2">
        <v>2020</v>
      </c>
      <c r="AK202" s="1">
        <f t="shared" si="271"/>
        <v>6584</v>
      </c>
      <c r="AL202" s="11">
        <f t="shared" si="272"/>
        <v>630562</v>
      </c>
      <c r="AM202" s="1">
        <f t="shared" si="273"/>
        <v>144901</v>
      </c>
      <c r="AN202" s="11">
        <f t="shared" si="260"/>
        <v>21854797</v>
      </c>
      <c r="AO202" s="8">
        <f t="shared" si="261"/>
        <v>28514</v>
      </c>
      <c r="AP202" s="11">
        <f t="shared" si="262"/>
        <v>3846825</v>
      </c>
      <c r="AQ202" s="8">
        <f t="shared" si="263"/>
        <v>5072</v>
      </c>
      <c r="AR202" s="11">
        <f t="shared" si="264"/>
        <v>968794</v>
      </c>
      <c r="AS202" s="8">
        <f t="shared" si="265"/>
        <v>0</v>
      </c>
      <c r="AT202" s="11">
        <f t="shared" si="266"/>
        <v>0</v>
      </c>
      <c r="AU202" s="8">
        <f t="shared" si="274"/>
        <v>185071</v>
      </c>
      <c r="AV202" s="11">
        <f t="shared" si="267"/>
        <v>27300978</v>
      </c>
      <c r="AW202" t="str">
        <f t="shared" si="275"/>
        <v>ACCSA</v>
      </c>
      <c r="AX202" s="37">
        <f t="shared" si="276"/>
        <v>-2473</v>
      </c>
      <c r="AY202" s="37">
        <f t="shared" si="268"/>
        <v>-398580</v>
      </c>
    </row>
    <row r="203" spans="1:51" x14ac:dyDescent="0.25">
      <c r="B203" s="2" t="s">
        <v>11</v>
      </c>
      <c r="C203" s="2">
        <v>2020</v>
      </c>
      <c r="D203" s="1">
        <v>7630</v>
      </c>
      <c r="E203" s="11">
        <v>688984</v>
      </c>
      <c r="F203" s="8">
        <v>3411</v>
      </c>
      <c r="G203" s="11">
        <v>506624</v>
      </c>
      <c r="H203" s="1">
        <v>241</v>
      </c>
      <c r="I203" s="11">
        <v>30528</v>
      </c>
      <c r="J203" s="1">
        <v>170256</v>
      </c>
      <c r="K203" s="11">
        <v>25528764</v>
      </c>
      <c r="L203" s="1">
        <v>33413</v>
      </c>
      <c r="M203" s="11">
        <v>4512321</v>
      </c>
      <c r="N203" s="1">
        <v>6092</v>
      </c>
      <c r="O203" s="11">
        <v>1194600</v>
      </c>
      <c r="P203" s="8">
        <v>0</v>
      </c>
      <c r="Q203" s="11">
        <v>0</v>
      </c>
      <c r="R203" s="8">
        <f t="shared" si="255"/>
        <v>221043</v>
      </c>
      <c r="S203" s="11">
        <f t="shared" si="256"/>
        <v>32461821</v>
      </c>
      <c r="T203" t="s">
        <v>65</v>
      </c>
      <c r="W203" s="17">
        <f t="shared" si="277"/>
        <v>3.5608456273213809E-2</v>
      </c>
      <c r="X203" s="17">
        <f t="shared" si="257"/>
        <v>0.96439154372678615</v>
      </c>
      <c r="Y203" s="17">
        <f t="shared" si="278"/>
        <v>0.77023927471125531</v>
      </c>
      <c r="Z203" s="17">
        <f t="shared" si="279"/>
        <v>0.15116063390381057</v>
      </c>
      <c r="AA203" s="17">
        <f t="shared" si="280"/>
        <v>2.7560248458444736E-2</v>
      </c>
      <c r="AB203" s="17">
        <f t="shared" si="281"/>
        <v>0</v>
      </c>
      <c r="AD203" s="30">
        <v>116230.33</v>
      </c>
      <c r="AE203" s="30">
        <f t="shared" si="269"/>
        <v>0.68267978808382668</v>
      </c>
      <c r="AF203" s="31">
        <v>174346.16750000001</v>
      </c>
      <c r="AG203" s="32">
        <f t="shared" si="270"/>
        <v>6.829401043466108E-3</v>
      </c>
      <c r="AI203" s="2" t="s">
        <v>11</v>
      </c>
      <c r="AJ203" s="2">
        <v>2020</v>
      </c>
      <c r="AK203" s="1">
        <f t="shared" si="271"/>
        <v>7871</v>
      </c>
      <c r="AL203" s="11">
        <f t="shared" si="272"/>
        <v>719512</v>
      </c>
      <c r="AM203" s="1">
        <f t="shared" si="273"/>
        <v>170256</v>
      </c>
      <c r="AN203" s="11">
        <f t="shared" si="260"/>
        <v>25528764</v>
      </c>
      <c r="AO203" s="8">
        <f t="shared" si="261"/>
        <v>33413</v>
      </c>
      <c r="AP203" s="11">
        <f t="shared" si="262"/>
        <v>4512321</v>
      </c>
      <c r="AQ203" s="8">
        <f t="shared" si="263"/>
        <v>6092</v>
      </c>
      <c r="AR203" s="11">
        <f t="shared" si="264"/>
        <v>1194600</v>
      </c>
      <c r="AS203" s="8">
        <f t="shared" si="265"/>
        <v>0</v>
      </c>
      <c r="AT203" s="11">
        <f t="shared" si="266"/>
        <v>0</v>
      </c>
      <c r="AU203" s="8">
        <f t="shared" si="274"/>
        <v>217632</v>
      </c>
      <c r="AV203" s="11">
        <f t="shared" si="267"/>
        <v>31955197</v>
      </c>
      <c r="AW203" t="str">
        <f t="shared" si="275"/>
        <v>ACCSA</v>
      </c>
      <c r="AX203" s="37">
        <f t="shared" si="276"/>
        <v>-3411</v>
      </c>
      <c r="AY203" s="37">
        <f t="shared" si="268"/>
        <v>-506624</v>
      </c>
    </row>
    <row r="204" spans="1:51" x14ac:dyDescent="0.25">
      <c r="B204" s="2" t="s">
        <v>4</v>
      </c>
      <c r="C204" s="2">
        <v>2020</v>
      </c>
      <c r="D204" s="1">
        <v>8554</v>
      </c>
      <c r="E204" s="11">
        <v>780222</v>
      </c>
      <c r="F204" s="8">
        <v>3552</v>
      </c>
      <c r="G204" s="11">
        <v>525529</v>
      </c>
      <c r="H204" s="1">
        <v>177</v>
      </c>
      <c r="I204" s="11">
        <v>14296</v>
      </c>
      <c r="J204" s="1">
        <v>171331</v>
      </c>
      <c r="K204" s="11">
        <v>25653872</v>
      </c>
      <c r="L204" s="1">
        <v>32223</v>
      </c>
      <c r="M204" s="11">
        <v>4295808</v>
      </c>
      <c r="N204" s="1">
        <v>5818</v>
      </c>
      <c r="O204" s="11">
        <v>1158271</v>
      </c>
      <c r="P204" s="8">
        <v>0</v>
      </c>
      <c r="Q204" s="11">
        <v>0</v>
      </c>
      <c r="R204" s="8">
        <f t="shared" si="255"/>
        <v>221655</v>
      </c>
      <c r="S204" s="11">
        <f t="shared" si="256"/>
        <v>32427998</v>
      </c>
      <c r="T204" t="s">
        <v>65</v>
      </c>
      <c r="W204" s="17">
        <f t="shared" si="277"/>
        <v>3.9390043084974395E-2</v>
      </c>
      <c r="X204" s="17">
        <f t="shared" si="257"/>
        <v>0.9606099569150256</v>
      </c>
      <c r="Y204" s="17">
        <f t="shared" si="278"/>
        <v>0.77296248674742285</v>
      </c>
      <c r="Z204" s="17">
        <f t="shared" si="279"/>
        <v>0.14537456858631656</v>
      </c>
      <c r="AA204" s="17">
        <f t="shared" si="280"/>
        <v>2.6247998014933115E-2</v>
      </c>
      <c r="AB204" s="17">
        <f t="shared" si="281"/>
        <v>0</v>
      </c>
      <c r="AD204" s="30">
        <v>116434.45</v>
      </c>
      <c r="AE204" s="30">
        <f t="shared" si="269"/>
        <v>0.67958775703171048</v>
      </c>
      <c r="AF204" s="31">
        <v>180059.04500000001</v>
      </c>
      <c r="AG204" s="32">
        <f t="shared" si="270"/>
        <v>7.0187862869199634E-3</v>
      </c>
      <c r="AI204" s="2" t="s">
        <v>4</v>
      </c>
      <c r="AJ204" s="2">
        <v>2020</v>
      </c>
      <c r="AK204" s="1">
        <f t="shared" si="271"/>
        <v>8731</v>
      </c>
      <c r="AL204" s="11">
        <f t="shared" si="272"/>
        <v>794518</v>
      </c>
      <c r="AM204" s="1">
        <f t="shared" si="273"/>
        <v>171331</v>
      </c>
      <c r="AN204" s="11">
        <f t="shared" si="260"/>
        <v>25653872</v>
      </c>
      <c r="AO204" s="8">
        <f t="shared" si="261"/>
        <v>32223</v>
      </c>
      <c r="AP204" s="11">
        <f t="shared" si="262"/>
        <v>4295808</v>
      </c>
      <c r="AQ204" s="8">
        <f t="shared" si="263"/>
        <v>5818</v>
      </c>
      <c r="AR204" s="11">
        <f t="shared" si="264"/>
        <v>1158271</v>
      </c>
      <c r="AS204" s="8">
        <f t="shared" si="265"/>
        <v>0</v>
      </c>
      <c r="AT204" s="11">
        <f t="shared" si="266"/>
        <v>0</v>
      </c>
      <c r="AU204" s="8">
        <f t="shared" si="274"/>
        <v>218103</v>
      </c>
      <c r="AV204" s="11">
        <f t="shared" si="267"/>
        <v>31902469</v>
      </c>
      <c r="AW204" t="str">
        <f t="shared" si="275"/>
        <v>ACCSA</v>
      </c>
      <c r="AX204" s="37">
        <f t="shared" si="276"/>
        <v>-3552</v>
      </c>
      <c r="AY204" s="37">
        <f t="shared" si="268"/>
        <v>-525529</v>
      </c>
    </row>
    <row r="205" spans="1:51" x14ac:dyDescent="0.25">
      <c r="B205" s="2" t="s">
        <v>28</v>
      </c>
      <c r="C205" s="2">
        <v>2020</v>
      </c>
      <c r="D205" s="1">
        <v>8415</v>
      </c>
      <c r="E205" s="11">
        <v>771597</v>
      </c>
      <c r="F205" s="8">
        <v>3626</v>
      </c>
      <c r="G205" s="11">
        <v>523318</v>
      </c>
      <c r="H205" s="1">
        <v>342</v>
      </c>
      <c r="I205" s="11">
        <v>33077</v>
      </c>
      <c r="J205" s="1">
        <v>173301</v>
      </c>
      <c r="K205" s="11">
        <v>25512121</v>
      </c>
      <c r="L205" s="1">
        <v>33617</v>
      </c>
      <c r="M205" s="11">
        <v>4378288</v>
      </c>
      <c r="N205" s="1">
        <v>7461</v>
      </c>
      <c r="O205" s="11">
        <v>1393817</v>
      </c>
      <c r="P205" s="8">
        <v>0</v>
      </c>
      <c r="Q205" s="11">
        <v>0</v>
      </c>
      <c r="R205" s="8">
        <f t="shared" si="255"/>
        <v>226762</v>
      </c>
      <c r="S205" s="11">
        <f t="shared" si="256"/>
        <v>32612218</v>
      </c>
      <c r="T205" t="s">
        <v>65</v>
      </c>
      <c r="W205" s="17">
        <f t="shared" si="277"/>
        <v>3.8617581428987219E-2</v>
      </c>
      <c r="X205" s="17">
        <f t="shared" si="257"/>
        <v>0.96138241857101281</v>
      </c>
      <c r="Y205" s="17">
        <f t="shared" si="278"/>
        <v>0.76424180418235854</v>
      </c>
      <c r="Z205" s="17">
        <f t="shared" si="279"/>
        <v>0.14824794277700851</v>
      </c>
      <c r="AA205" s="17">
        <f t="shared" si="280"/>
        <v>3.2902338134255298E-2</v>
      </c>
      <c r="AB205" s="17">
        <f t="shared" si="281"/>
        <v>0</v>
      </c>
      <c r="AD205" s="30">
        <v>117981.32</v>
      </c>
      <c r="AE205" s="30">
        <f t="shared" si="269"/>
        <v>0.68078845476944738</v>
      </c>
      <c r="AF205" s="31">
        <v>178773.82</v>
      </c>
      <c r="AG205" s="32">
        <f t="shared" si="270"/>
        <v>7.0074071850004162E-3</v>
      </c>
      <c r="AI205" s="2" t="s">
        <v>28</v>
      </c>
      <c r="AJ205" s="2">
        <v>2020</v>
      </c>
      <c r="AK205" s="1">
        <f t="shared" si="271"/>
        <v>8757</v>
      </c>
      <c r="AL205" s="11">
        <f t="shared" si="272"/>
        <v>804674</v>
      </c>
      <c r="AM205" s="1">
        <f t="shared" si="273"/>
        <v>173301</v>
      </c>
      <c r="AN205" s="11">
        <f t="shared" si="260"/>
        <v>25512121</v>
      </c>
      <c r="AO205" s="8">
        <f t="shared" si="261"/>
        <v>33617</v>
      </c>
      <c r="AP205" s="11">
        <f t="shared" si="262"/>
        <v>4378288</v>
      </c>
      <c r="AQ205" s="8">
        <f t="shared" si="263"/>
        <v>7461</v>
      </c>
      <c r="AR205" s="11">
        <f t="shared" si="264"/>
        <v>1393817</v>
      </c>
      <c r="AS205" s="8">
        <f t="shared" si="265"/>
        <v>0</v>
      </c>
      <c r="AT205" s="11">
        <f t="shared" si="266"/>
        <v>0</v>
      </c>
      <c r="AU205" s="8">
        <f t="shared" si="274"/>
        <v>223136</v>
      </c>
      <c r="AV205" s="11">
        <f t="shared" si="267"/>
        <v>32088900</v>
      </c>
      <c r="AW205" t="str">
        <f t="shared" si="275"/>
        <v>ACCSA</v>
      </c>
      <c r="AX205" s="37">
        <f t="shared" si="276"/>
        <v>-3626</v>
      </c>
      <c r="AY205" s="37">
        <f t="shared" si="268"/>
        <v>-523318</v>
      </c>
    </row>
    <row r="206" spans="1:51" x14ac:dyDescent="0.25">
      <c r="B206" s="2" t="s">
        <v>29</v>
      </c>
      <c r="C206" s="2">
        <v>2020</v>
      </c>
      <c r="D206" s="1">
        <v>9787</v>
      </c>
      <c r="E206" s="11">
        <v>867516</v>
      </c>
      <c r="F206" s="8">
        <v>4073</v>
      </c>
      <c r="G206" s="11">
        <v>582909</v>
      </c>
      <c r="H206" s="1">
        <v>430</v>
      </c>
      <c r="I206" s="11">
        <v>42703</v>
      </c>
      <c r="J206" s="1">
        <v>189113</v>
      </c>
      <c r="K206" s="11">
        <v>27862893</v>
      </c>
      <c r="L206" s="1">
        <v>37318</v>
      </c>
      <c r="M206" s="11">
        <v>4878627</v>
      </c>
      <c r="N206" s="1">
        <v>8634</v>
      </c>
      <c r="O206" s="11">
        <v>1623211</v>
      </c>
      <c r="P206" s="8">
        <v>0</v>
      </c>
      <c r="Q206" s="11">
        <v>0</v>
      </c>
      <c r="R206" s="8">
        <f t="shared" si="255"/>
        <v>249355</v>
      </c>
      <c r="S206" s="11">
        <f t="shared" si="256"/>
        <v>35857859</v>
      </c>
      <c r="T206" t="s">
        <v>65</v>
      </c>
      <c r="W206" s="17">
        <f t="shared" si="277"/>
        <v>4.0973712177417736E-2</v>
      </c>
      <c r="X206" s="17">
        <f t="shared" si="257"/>
        <v>0.95902628782258226</v>
      </c>
      <c r="Y206" s="17">
        <f t="shared" si="278"/>
        <v>0.75840869443163361</v>
      </c>
      <c r="Z206" s="17">
        <f t="shared" si="279"/>
        <v>0.14965811794429629</v>
      </c>
      <c r="AA206" s="17">
        <f t="shared" si="280"/>
        <v>3.4625333360068976E-2</v>
      </c>
      <c r="AB206" s="17">
        <f t="shared" si="281"/>
        <v>0</v>
      </c>
      <c r="AD206" s="30">
        <v>129098.62</v>
      </c>
      <c r="AE206" s="30">
        <f t="shared" si="269"/>
        <v>0.68265333424989294</v>
      </c>
      <c r="AF206" s="31">
        <v>194060.99249999999</v>
      </c>
      <c r="AG206" s="32">
        <f t="shared" si="270"/>
        <v>6.9648543853647934E-3</v>
      </c>
      <c r="AI206" s="2" t="s">
        <v>29</v>
      </c>
      <c r="AJ206" s="2">
        <v>2020</v>
      </c>
      <c r="AK206" s="1">
        <f t="shared" si="271"/>
        <v>10217</v>
      </c>
      <c r="AL206" s="11">
        <f t="shared" si="272"/>
        <v>910219</v>
      </c>
      <c r="AM206" s="1">
        <f t="shared" si="273"/>
        <v>189113</v>
      </c>
      <c r="AN206" s="11">
        <f t="shared" si="260"/>
        <v>27862893</v>
      </c>
      <c r="AO206" s="8">
        <f t="shared" si="261"/>
        <v>37318</v>
      </c>
      <c r="AP206" s="11">
        <f t="shared" si="262"/>
        <v>4878627</v>
      </c>
      <c r="AQ206" s="8">
        <f t="shared" si="263"/>
        <v>8634</v>
      </c>
      <c r="AR206" s="11">
        <f t="shared" si="264"/>
        <v>1623211</v>
      </c>
      <c r="AS206" s="8">
        <f t="shared" si="265"/>
        <v>0</v>
      </c>
      <c r="AT206" s="11">
        <f t="shared" si="266"/>
        <v>0</v>
      </c>
      <c r="AU206" s="8">
        <f t="shared" si="274"/>
        <v>245282</v>
      </c>
      <c r="AV206" s="11">
        <f t="shared" si="267"/>
        <v>35274950</v>
      </c>
      <c r="AW206" t="str">
        <f t="shared" si="275"/>
        <v>ACCSA</v>
      </c>
      <c r="AX206" s="37">
        <f t="shared" si="276"/>
        <v>-4073</v>
      </c>
      <c r="AY206" s="37">
        <f t="shared" si="268"/>
        <v>-582909</v>
      </c>
    </row>
    <row r="207" spans="1:51" x14ac:dyDescent="0.25">
      <c r="B207" s="2" t="s">
        <v>30</v>
      </c>
      <c r="C207" s="2">
        <v>2020</v>
      </c>
      <c r="D207" s="1">
        <v>10052</v>
      </c>
      <c r="E207" s="11">
        <v>867967</v>
      </c>
      <c r="F207" s="8">
        <v>3559</v>
      </c>
      <c r="G207" s="11">
        <v>484699</v>
      </c>
      <c r="H207" s="1">
        <v>411</v>
      </c>
      <c r="I207" s="11">
        <v>41215</v>
      </c>
      <c r="J207" s="1">
        <v>185608</v>
      </c>
      <c r="K207" s="11">
        <v>27030311</v>
      </c>
      <c r="L207" s="1">
        <v>37465</v>
      </c>
      <c r="M207" s="11">
        <v>4735992</v>
      </c>
      <c r="N207" s="8">
        <v>7607</v>
      </c>
      <c r="O207" s="11">
        <v>1459671</v>
      </c>
      <c r="P207" s="8">
        <v>0</v>
      </c>
      <c r="Q207" s="11">
        <v>0</v>
      </c>
      <c r="R207" s="8">
        <f t="shared" si="255"/>
        <v>244702</v>
      </c>
      <c r="S207" s="11">
        <f t="shared" si="256"/>
        <v>34619855</v>
      </c>
      <c r="T207" t="s">
        <v>65</v>
      </c>
      <c r="W207" s="17">
        <f t="shared" si="277"/>
        <v>4.2758130297259521E-2</v>
      </c>
      <c r="X207" s="17">
        <f t="shared" si="257"/>
        <v>0.9572418697027405</v>
      </c>
      <c r="Y207" s="17">
        <f t="shared" si="278"/>
        <v>0.75850626476285443</v>
      </c>
      <c r="Z207" s="17">
        <f t="shared" si="279"/>
        <v>0.15310459252478525</v>
      </c>
      <c r="AA207" s="17">
        <f t="shared" si="280"/>
        <v>3.1086791280823204E-2</v>
      </c>
      <c r="AB207" s="17">
        <f t="shared" si="281"/>
        <v>0</v>
      </c>
      <c r="AD207" s="30">
        <v>127409.31000000001</v>
      </c>
      <c r="AE207" s="30">
        <f t="shared" si="269"/>
        <v>0.6864429873712341</v>
      </c>
      <c r="AF207" s="31">
        <v>185866.0575</v>
      </c>
      <c r="AG207" s="32">
        <f t="shared" si="270"/>
        <v>6.876208620019207E-3</v>
      </c>
      <c r="AI207" s="2" t="s">
        <v>30</v>
      </c>
      <c r="AJ207" s="2">
        <v>2020</v>
      </c>
      <c r="AK207" s="1">
        <f t="shared" si="271"/>
        <v>10463</v>
      </c>
      <c r="AL207" s="11">
        <f t="shared" si="272"/>
        <v>909182</v>
      </c>
      <c r="AM207" s="1">
        <f t="shared" si="273"/>
        <v>185608</v>
      </c>
      <c r="AN207" s="11">
        <f t="shared" si="260"/>
        <v>27030311</v>
      </c>
      <c r="AO207" s="8">
        <f t="shared" si="261"/>
        <v>37465</v>
      </c>
      <c r="AP207" s="11">
        <f t="shared" si="262"/>
        <v>4735992</v>
      </c>
      <c r="AQ207" s="8">
        <f t="shared" si="263"/>
        <v>7607</v>
      </c>
      <c r="AR207" s="11">
        <f t="shared" si="264"/>
        <v>1459671</v>
      </c>
      <c r="AS207" s="8">
        <f t="shared" si="265"/>
        <v>0</v>
      </c>
      <c r="AT207" s="11">
        <f t="shared" si="266"/>
        <v>0</v>
      </c>
      <c r="AU207" s="8">
        <f t="shared" si="274"/>
        <v>241143</v>
      </c>
      <c r="AV207" s="11">
        <f t="shared" si="267"/>
        <v>34135156</v>
      </c>
      <c r="AW207" t="str">
        <f t="shared" si="275"/>
        <v>ACCSA</v>
      </c>
      <c r="AX207" s="37">
        <f t="shared" si="276"/>
        <v>-3559</v>
      </c>
      <c r="AY207" s="37">
        <f t="shared" si="268"/>
        <v>-484699</v>
      </c>
    </row>
    <row r="208" spans="1:51" x14ac:dyDescent="0.25">
      <c r="B208" s="2" t="s">
        <v>31</v>
      </c>
      <c r="C208" s="2">
        <v>2020</v>
      </c>
      <c r="D208" s="1">
        <v>11990</v>
      </c>
      <c r="E208" s="11">
        <v>1007754</v>
      </c>
      <c r="F208" s="8">
        <v>4100</v>
      </c>
      <c r="G208" s="11">
        <v>540632</v>
      </c>
      <c r="H208" s="1">
        <v>405</v>
      </c>
      <c r="I208" s="11">
        <v>43446</v>
      </c>
      <c r="J208" s="1">
        <v>201688</v>
      </c>
      <c r="K208" s="11">
        <v>28252915</v>
      </c>
      <c r="L208" s="1">
        <v>43025</v>
      </c>
      <c r="M208" s="11">
        <v>5459408</v>
      </c>
      <c r="N208" s="8">
        <v>9036</v>
      </c>
      <c r="O208" s="11">
        <v>1681026</v>
      </c>
      <c r="P208" s="8">
        <v>0</v>
      </c>
      <c r="Q208" s="11">
        <v>0</v>
      </c>
      <c r="R208" s="8">
        <f t="shared" si="255"/>
        <v>270244</v>
      </c>
      <c r="S208" s="11">
        <f t="shared" si="256"/>
        <v>36985181</v>
      </c>
      <c r="T208" t="s">
        <v>65</v>
      </c>
      <c r="W208" s="17">
        <f t="shared" si="277"/>
        <v>4.5865958171134237E-2</v>
      </c>
      <c r="X208" s="17">
        <f t="shared" si="257"/>
        <v>0.95413404182886574</v>
      </c>
      <c r="Y208" s="17">
        <f t="shared" si="278"/>
        <v>0.74631814212341441</v>
      </c>
      <c r="Z208" s="17">
        <f t="shared" si="279"/>
        <v>0.15920797501517148</v>
      </c>
      <c r="AA208" s="17">
        <f t="shared" si="280"/>
        <v>3.3436450022942231E-2</v>
      </c>
      <c r="AB208" s="17">
        <f t="shared" si="281"/>
        <v>0</v>
      </c>
      <c r="AD208" s="30">
        <v>140873.70000000001</v>
      </c>
      <c r="AE208" s="30">
        <f t="shared" si="269"/>
        <v>0.69847338463369169</v>
      </c>
      <c r="AF208" s="31">
        <v>184618.01749999999</v>
      </c>
      <c r="AG208" s="32">
        <f t="shared" si="270"/>
        <v>6.5344767964650718E-3</v>
      </c>
      <c r="AI208" s="2" t="s">
        <v>31</v>
      </c>
      <c r="AJ208" s="2">
        <v>2020</v>
      </c>
      <c r="AK208" s="1">
        <f t="shared" si="271"/>
        <v>12395</v>
      </c>
      <c r="AL208" s="11">
        <f t="shared" si="272"/>
        <v>1051200</v>
      </c>
      <c r="AM208" s="1">
        <f t="shared" si="273"/>
        <v>201688</v>
      </c>
      <c r="AN208" s="11">
        <f t="shared" si="260"/>
        <v>28252915</v>
      </c>
      <c r="AO208" s="8">
        <f t="shared" si="261"/>
        <v>43025</v>
      </c>
      <c r="AP208" s="11">
        <f t="shared" si="262"/>
        <v>5459408</v>
      </c>
      <c r="AQ208" s="8">
        <f t="shared" si="263"/>
        <v>9036</v>
      </c>
      <c r="AR208" s="11">
        <f t="shared" si="264"/>
        <v>1681026</v>
      </c>
      <c r="AS208" s="8">
        <f t="shared" si="265"/>
        <v>0</v>
      </c>
      <c r="AT208" s="11">
        <f t="shared" si="266"/>
        <v>0</v>
      </c>
      <c r="AU208" s="8">
        <f t="shared" si="274"/>
        <v>266144</v>
      </c>
      <c r="AV208" s="11">
        <f t="shared" si="267"/>
        <v>36444549</v>
      </c>
      <c r="AW208" t="str">
        <f t="shared" si="275"/>
        <v>ACCSA</v>
      </c>
      <c r="AX208" s="37">
        <f t="shared" si="276"/>
        <v>-4100</v>
      </c>
      <c r="AY208" s="37">
        <f t="shared" si="268"/>
        <v>-540632</v>
      </c>
    </row>
    <row r="209" spans="1:51" x14ac:dyDescent="0.25">
      <c r="W209" s="18"/>
      <c r="X209" s="19"/>
      <c r="Y209" s="18"/>
      <c r="Z209" s="18"/>
      <c r="AA209" s="18"/>
      <c r="AB209" s="18"/>
      <c r="AL209" s="9"/>
      <c r="AN209" s="9"/>
      <c r="AP209" s="9"/>
      <c r="AR209" s="9"/>
      <c r="AS209" s="9"/>
      <c r="AT209" s="9"/>
      <c r="AV209" s="9"/>
    </row>
    <row r="210" spans="1:51" x14ac:dyDescent="0.25">
      <c r="B210" s="3" t="s">
        <v>12</v>
      </c>
      <c r="C210" s="3"/>
      <c r="D210" s="4">
        <f t="shared" ref="D210:S210" si="282">SUM(D197:D209)</f>
        <v>86941</v>
      </c>
      <c r="E210" s="12">
        <f t="shared" si="282"/>
        <v>8376962</v>
      </c>
      <c r="F210" s="4">
        <f t="shared" si="282"/>
        <v>40053</v>
      </c>
      <c r="G210" s="12">
        <f t="shared" si="282"/>
        <v>5938230</v>
      </c>
      <c r="H210" s="4">
        <f t="shared" si="282"/>
        <v>3782</v>
      </c>
      <c r="I210" s="12">
        <f t="shared" si="282"/>
        <v>377120</v>
      </c>
      <c r="J210" s="4">
        <f t="shared" si="282"/>
        <v>1992581</v>
      </c>
      <c r="K210" s="12">
        <f t="shared" si="282"/>
        <v>297223992</v>
      </c>
      <c r="L210" s="4">
        <f t="shared" si="282"/>
        <v>473553</v>
      </c>
      <c r="M210" s="12">
        <f t="shared" si="282"/>
        <v>59255784</v>
      </c>
      <c r="N210" s="4">
        <f t="shared" si="282"/>
        <v>73995</v>
      </c>
      <c r="O210" s="12">
        <f t="shared" si="282"/>
        <v>14276493</v>
      </c>
      <c r="P210" s="4">
        <f t="shared" si="282"/>
        <v>0</v>
      </c>
      <c r="Q210" s="12">
        <f t="shared" si="282"/>
        <v>0</v>
      </c>
      <c r="R210" s="4">
        <f t="shared" si="282"/>
        <v>2670905</v>
      </c>
      <c r="S210" s="12">
        <f t="shared" si="282"/>
        <v>385448581</v>
      </c>
      <c r="W210" s="16">
        <f>+(D210+H210)/R210</f>
        <v>3.3967138479279492E-2</v>
      </c>
      <c r="X210" s="16">
        <f>1-W210</f>
        <v>0.96603286152072054</v>
      </c>
      <c r="Y210" s="16">
        <f>+J210/R210</f>
        <v>0.74603215015135316</v>
      </c>
      <c r="Z210" s="16">
        <f>+L210/R210</f>
        <v>0.17730057789400971</v>
      </c>
      <c r="AA210" s="16">
        <f>+N210/R210</f>
        <v>2.7704092807494089E-2</v>
      </c>
      <c r="AB210" s="16">
        <f>+P210/R210</f>
        <v>0</v>
      </c>
      <c r="AD210" s="12">
        <f>AVERAGE(AD197:AD209)</f>
        <v>113036.13750000001</v>
      </c>
      <c r="AE210" s="12">
        <f>AVERAGE(AE197:AE209)</f>
        <v>0.67964054700475041</v>
      </c>
      <c r="AF210" s="12">
        <f t="shared" ref="AF210:AG210" si="283">AVERAGE(AF197:AF209)</f>
        <v>172715.551875</v>
      </c>
      <c r="AG210" s="16">
        <f t="shared" si="283"/>
        <v>6.9912509067338912E-3</v>
      </c>
      <c r="AI210" s="3" t="s">
        <v>12</v>
      </c>
      <c r="AJ210" s="3"/>
      <c r="AK210" s="4">
        <f t="shared" ref="AK210:AV210" si="284">SUM(AK197:AK209)</f>
        <v>90723</v>
      </c>
      <c r="AL210" s="12">
        <f t="shared" si="284"/>
        <v>8754082</v>
      </c>
      <c r="AM210" s="4">
        <f t="shared" si="284"/>
        <v>1992581</v>
      </c>
      <c r="AN210" s="12">
        <f t="shared" si="284"/>
        <v>297223992</v>
      </c>
      <c r="AO210" s="4">
        <f t="shared" si="284"/>
        <v>473553</v>
      </c>
      <c r="AP210" s="12">
        <f t="shared" si="284"/>
        <v>59255784</v>
      </c>
      <c r="AQ210" s="4">
        <f t="shared" si="284"/>
        <v>73995</v>
      </c>
      <c r="AR210" s="12">
        <f t="shared" si="284"/>
        <v>14276493</v>
      </c>
      <c r="AS210" s="4">
        <f t="shared" si="284"/>
        <v>0</v>
      </c>
      <c r="AT210" s="12">
        <f t="shared" si="284"/>
        <v>0</v>
      </c>
      <c r="AU210" s="4">
        <f t="shared" si="284"/>
        <v>2630852</v>
      </c>
      <c r="AV210" s="12">
        <f t="shared" si="284"/>
        <v>379510351</v>
      </c>
    </row>
    <row r="211" spans="1:51" x14ac:dyDescent="0.25">
      <c r="L211" s="28">
        <f>AVERAGE(L197:L206)</f>
        <v>39306.300000000003</v>
      </c>
      <c r="M211" s="28">
        <f>AVERAGE(M197:M206)</f>
        <v>4906038.4000000004</v>
      </c>
      <c r="R211" s="28">
        <f>AVERAGE(R197:R206)</f>
        <v>215595.9</v>
      </c>
      <c r="S211" s="28">
        <f>AVERAGE(S197:S206)</f>
        <v>31384354.5</v>
      </c>
    </row>
    <row r="212" spans="1:51" x14ac:dyDescent="0.25">
      <c r="B212" s="5" t="s">
        <v>14</v>
      </c>
      <c r="L212" s="28"/>
      <c r="M212" s="28"/>
      <c r="R212" s="44">
        <f>+L211/R211</f>
        <v>0.18231469151315033</v>
      </c>
      <c r="S212" s="44">
        <f>+M211/S211</f>
        <v>0.15632115039995487</v>
      </c>
    </row>
    <row r="213" spans="1:51" x14ac:dyDescent="0.25">
      <c r="B213" s="5" t="s">
        <v>55</v>
      </c>
      <c r="L213" s="26"/>
      <c r="M213" s="26"/>
    </row>
    <row r="214" spans="1:51" x14ac:dyDescent="0.25">
      <c r="B214" s="5"/>
    </row>
    <row r="215" spans="1:51" x14ac:dyDescent="0.25">
      <c r="D215" s="89" t="s">
        <v>15</v>
      </c>
      <c r="E215" s="90"/>
      <c r="F215" s="89" t="s">
        <v>71</v>
      </c>
      <c r="G215" s="90"/>
      <c r="H215" s="89" t="s">
        <v>16</v>
      </c>
      <c r="I215" s="90"/>
      <c r="J215" s="89" t="s">
        <v>17</v>
      </c>
      <c r="K215" s="93"/>
      <c r="L215" s="89" t="s">
        <v>18</v>
      </c>
      <c r="M215" s="93"/>
      <c r="N215" s="89" t="s">
        <v>13</v>
      </c>
      <c r="O215" s="93"/>
      <c r="P215" s="89" t="s">
        <v>34</v>
      </c>
      <c r="Q215" s="93"/>
      <c r="R215" s="89" t="s">
        <v>12</v>
      </c>
      <c r="S215" s="93"/>
      <c r="W215" s="91" t="s">
        <v>42</v>
      </c>
      <c r="X215" s="92"/>
      <c r="Y215" s="92"/>
      <c r="Z215" s="92"/>
      <c r="AA215" s="92"/>
      <c r="AB215" s="92"/>
      <c r="AK215" s="89" t="s">
        <v>69</v>
      </c>
      <c r="AL215" s="90"/>
      <c r="AM215" s="89" t="s">
        <v>17</v>
      </c>
      <c r="AN215" s="93"/>
      <c r="AO215" s="89" t="s">
        <v>18</v>
      </c>
      <c r="AP215" s="93"/>
      <c r="AQ215" s="89" t="s">
        <v>13</v>
      </c>
      <c r="AR215" s="93"/>
      <c r="AS215" s="89" t="s">
        <v>34</v>
      </c>
      <c r="AT215" s="93"/>
      <c r="AU215" s="89" t="s">
        <v>12</v>
      </c>
      <c r="AV215" s="93"/>
    </row>
    <row r="216" spans="1:5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W216" s="7" t="s">
        <v>38</v>
      </c>
      <c r="X216" s="10" t="s">
        <v>39</v>
      </c>
      <c r="Y216" s="10" t="s">
        <v>40</v>
      </c>
      <c r="Z216" s="10" t="s">
        <v>18</v>
      </c>
      <c r="AA216" s="10" t="s">
        <v>13</v>
      </c>
      <c r="AB216" s="10" t="s">
        <v>41</v>
      </c>
      <c r="AI216" s="7" t="s">
        <v>0</v>
      </c>
      <c r="AJ216" s="7" t="s">
        <v>1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  <c r="AU216" s="7" t="s">
        <v>2</v>
      </c>
      <c r="AV216" s="10" t="s">
        <v>3</v>
      </c>
    </row>
    <row r="217" spans="1:51" x14ac:dyDescent="0.25">
      <c r="X217" s="9"/>
      <c r="AL217" s="9"/>
      <c r="AN217" s="9"/>
      <c r="AP217" s="9"/>
      <c r="AR217" s="9"/>
      <c r="AS217" s="9"/>
      <c r="AT217" s="9"/>
      <c r="AV217" s="9"/>
    </row>
    <row r="218" spans="1:51" x14ac:dyDescent="0.25">
      <c r="B218" s="2" t="s">
        <v>5</v>
      </c>
      <c r="C218" s="2">
        <v>2020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1"/>
      <c r="Q218" s="11"/>
      <c r="R218" s="8">
        <f t="shared" ref="R218:R229" si="285">N218+L218+J218+H218+D218+P218+F218</f>
        <v>0</v>
      </c>
      <c r="S218" s="11">
        <f t="shared" ref="S218:S229" si="286">O218+M218+K218+I218+E218+Q218+G218</f>
        <v>0</v>
      </c>
      <c r="T218" t="s">
        <v>66</v>
      </c>
      <c r="W218" s="17" t="e">
        <f>+(D218+H218)/R218</f>
        <v>#DIV/0!</v>
      </c>
      <c r="X218" s="17" t="e">
        <f t="shared" ref="X218:X229" si="287">1-W218</f>
        <v>#DIV/0!</v>
      </c>
      <c r="Y218" s="17" t="e">
        <f>+J218/R218</f>
        <v>#DIV/0!</v>
      </c>
      <c r="Z218" s="17" t="e">
        <f>+L218/R218</f>
        <v>#DIV/0!</v>
      </c>
      <c r="AA218" s="17" t="e">
        <f>+N218/R218</f>
        <v>#DIV/0!</v>
      </c>
      <c r="AB218" s="17" t="e">
        <f>+P218/R218</f>
        <v>#DIV/0!</v>
      </c>
      <c r="AD218" s="30"/>
      <c r="AE218" s="30"/>
      <c r="AF218" s="31"/>
      <c r="AG218" s="32"/>
      <c r="AI218" s="2" t="s">
        <v>5</v>
      </c>
      <c r="AJ218" s="2">
        <v>2020</v>
      </c>
      <c r="AK218" s="1">
        <f>D218+H218</f>
        <v>0</v>
      </c>
      <c r="AL218" s="11">
        <f>E218+I218</f>
        <v>0</v>
      </c>
      <c r="AM218" s="1">
        <f>+J218</f>
        <v>0</v>
      </c>
      <c r="AN218" s="11">
        <f t="shared" ref="AN218:AN229" si="288">+K218</f>
        <v>0</v>
      </c>
      <c r="AO218" s="8">
        <f t="shared" ref="AO218:AO229" si="289">+L218</f>
        <v>0</v>
      </c>
      <c r="AP218" s="11">
        <f t="shared" ref="AP218:AP229" si="290">+M218</f>
        <v>0</v>
      </c>
      <c r="AQ218" s="8">
        <f t="shared" ref="AQ218:AQ229" si="291">+N218</f>
        <v>0</v>
      </c>
      <c r="AR218" s="11">
        <f t="shared" ref="AR218:AR229" si="292">+O218</f>
        <v>0</v>
      </c>
      <c r="AS218" s="8">
        <f t="shared" ref="AS218:AS229" si="293">+P218</f>
        <v>0</v>
      </c>
      <c r="AT218" s="11">
        <f t="shared" ref="AT218:AT229" si="294">+Q218</f>
        <v>0</v>
      </c>
      <c r="AU218" s="8">
        <f>AS218+AQ218+AO218+AM218+AK218</f>
        <v>0</v>
      </c>
      <c r="AV218" s="11">
        <f t="shared" ref="AV218:AV229" si="295">AT218+AR218+AP218+AN218+AL218</f>
        <v>0</v>
      </c>
      <c r="AW218" t="str">
        <f>+T218</f>
        <v>LERMA</v>
      </c>
      <c r="AX218" s="37">
        <f>+AU218-R218</f>
        <v>0</v>
      </c>
      <c r="AY218" s="37">
        <f t="shared" ref="AY218:AY229" si="296">+AV218-S218</f>
        <v>0</v>
      </c>
    </row>
    <row r="219" spans="1:51" x14ac:dyDescent="0.25">
      <c r="B219" s="2" t="s">
        <v>6</v>
      </c>
      <c r="C219" s="2">
        <v>2020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1"/>
      <c r="Q219" s="11"/>
      <c r="R219" s="8">
        <f t="shared" si="285"/>
        <v>0</v>
      </c>
      <c r="S219" s="11">
        <f t="shared" si="286"/>
        <v>0</v>
      </c>
      <c r="T219" t="s">
        <v>66</v>
      </c>
      <c r="W219" s="17" t="e">
        <f>+(D219+H219)/R219</f>
        <v>#DIV/0!</v>
      </c>
      <c r="X219" s="17" t="e">
        <f t="shared" si="287"/>
        <v>#DIV/0!</v>
      </c>
      <c r="Y219" s="17" t="e">
        <f>+J219/R219</f>
        <v>#DIV/0!</v>
      </c>
      <c r="Z219" s="17" t="e">
        <f>+L219/R219</f>
        <v>#DIV/0!</v>
      </c>
      <c r="AA219" s="17" t="e">
        <f>+N219/R219</f>
        <v>#DIV/0!</v>
      </c>
      <c r="AB219" s="17" t="e">
        <f>+P219/R219</f>
        <v>#DIV/0!</v>
      </c>
      <c r="AD219" s="30"/>
      <c r="AE219" s="30"/>
      <c r="AF219" s="31"/>
      <c r="AG219" s="32"/>
      <c r="AI219" s="2" t="s">
        <v>6</v>
      </c>
      <c r="AJ219" s="2">
        <v>2020</v>
      </c>
      <c r="AK219" s="1">
        <f t="shared" ref="AK219:AK229" si="297">D219+H219</f>
        <v>0</v>
      </c>
      <c r="AL219" s="11">
        <f t="shared" ref="AL219:AL229" si="298">E219+I219</f>
        <v>0</v>
      </c>
      <c r="AM219" s="1">
        <f t="shared" ref="AM219:AM229" si="299">+J219</f>
        <v>0</v>
      </c>
      <c r="AN219" s="11">
        <f t="shared" si="288"/>
        <v>0</v>
      </c>
      <c r="AO219" s="8">
        <f t="shared" si="289"/>
        <v>0</v>
      </c>
      <c r="AP219" s="11">
        <f t="shared" si="290"/>
        <v>0</v>
      </c>
      <c r="AQ219" s="8">
        <f t="shared" si="291"/>
        <v>0</v>
      </c>
      <c r="AR219" s="11">
        <f t="shared" si="292"/>
        <v>0</v>
      </c>
      <c r="AS219" s="8">
        <f t="shared" si="293"/>
        <v>0</v>
      </c>
      <c r="AT219" s="11">
        <f t="shared" si="294"/>
        <v>0</v>
      </c>
      <c r="AU219" s="8">
        <f t="shared" ref="AU219:AU229" si="300">AS219+AQ219+AO219+AM219+AK219</f>
        <v>0</v>
      </c>
      <c r="AV219" s="11">
        <f t="shared" si="295"/>
        <v>0</v>
      </c>
      <c r="AW219" t="str">
        <f t="shared" ref="AW219:AW229" si="301">+T219</f>
        <v>LERMA</v>
      </c>
      <c r="AX219" s="37">
        <f t="shared" ref="AX219:AX229" si="302">+AU219-R219</f>
        <v>0</v>
      </c>
      <c r="AY219" s="37">
        <f t="shared" si="296"/>
        <v>0</v>
      </c>
    </row>
    <row r="220" spans="1:51" x14ac:dyDescent="0.25">
      <c r="B220" s="2" t="s">
        <v>7</v>
      </c>
      <c r="C220" s="2">
        <v>2020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1"/>
      <c r="Q220" s="11"/>
      <c r="R220" s="8">
        <f t="shared" si="285"/>
        <v>0</v>
      </c>
      <c r="S220" s="11">
        <f t="shared" si="286"/>
        <v>0</v>
      </c>
      <c r="T220" t="s">
        <v>66</v>
      </c>
      <c r="W220" s="17" t="e">
        <f>+(D220+H220)/R220</f>
        <v>#DIV/0!</v>
      </c>
      <c r="X220" s="17" t="e">
        <f t="shared" si="287"/>
        <v>#DIV/0!</v>
      </c>
      <c r="Y220" s="17" t="e">
        <f>+J220/R220</f>
        <v>#DIV/0!</v>
      </c>
      <c r="Z220" s="17" t="e">
        <f>+L220/R220</f>
        <v>#DIV/0!</v>
      </c>
      <c r="AA220" s="17" t="e">
        <f>+N220/R220</f>
        <v>#DIV/0!</v>
      </c>
      <c r="AB220" s="17" t="e">
        <f>+P220/R220</f>
        <v>#DIV/0!</v>
      </c>
      <c r="AD220" s="30"/>
      <c r="AE220" s="30"/>
      <c r="AF220" s="31"/>
      <c r="AG220" s="32"/>
      <c r="AI220" s="2" t="s">
        <v>7</v>
      </c>
      <c r="AJ220" s="2">
        <v>2020</v>
      </c>
      <c r="AK220" s="1">
        <f t="shared" si="297"/>
        <v>0</v>
      </c>
      <c r="AL220" s="11">
        <f t="shared" si="298"/>
        <v>0</v>
      </c>
      <c r="AM220" s="1">
        <f t="shared" si="299"/>
        <v>0</v>
      </c>
      <c r="AN220" s="11">
        <f t="shared" si="288"/>
        <v>0</v>
      </c>
      <c r="AO220" s="8">
        <f t="shared" si="289"/>
        <v>0</v>
      </c>
      <c r="AP220" s="11">
        <f t="shared" si="290"/>
        <v>0</v>
      </c>
      <c r="AQ220" s="8">
        <f t="shared" si="291"/>
        <v>0</v>
      </c>
      <c r="AR220" s="11">
        <f t="shared" si="292"/>
        <v>0</v>
      </c>
      <c r="AS220" s="8">
        <f t="shared" si="293"/>
        <v>0</v>
      </c>
      <c r="AT220" s="11">
        <f t="shared" si="294"/>
        <v>0</v>
      </c>
      <c r="AU220" s="8">
        <f t="shared" si="300"/>
        <v>0</v>
      </c>
      <c r="AV220" s="11">
        <f t="shared" si="295"/>
        <v>0</v>
      </c>
      <c r="AW220" t="str">
        <f t="shared" si="301"/>
        <v>LERMA</v>
      </c>
      <c r="AX220" s="37">
        <f t="shared" si="302"/>
        <v>0</v>
      </c>
      <c r="AY220" s="37">
        <f t="shared" si="296"/>
        <v>0</v>
      </c>
    </row>
    <row r="221" spans="1:51" x14ac:dyDescent="0.25">
      <c r="B221" s="2" t="s">
        <v>8</v>
      </c>
      <c r="C221" s="2">
        <v>2020</v>
      </c>
      <c r="D221" s="1"/>
      <c r="E221" s="11"/>
      <c r="F221" s="1"/>
      <c r="G221" s="11"/>
      <c r="H221" s="1"/>
      <c r="I221" s="11"/>
      <c r="J221" s="1"/>
      <c r="K221" s="11"/>
      <c r="L221" s="1"/>
      <c r="M221" s="11"/>
      <c r="N221" s="1"/>
      <c r="O221" s="11"/>
      <c r="P221" s="8"/>
      <c r="Q221" s="11"/>
      <c r="R221" s="8">
        <f t="shared" si="285"/>
        <v>0</v>
      </c>
      <c r="S221" s="11">
        <f t="shared" si="286"/>
        <v>0</v>
      </c>
      <c r="T221" t="s">
        <v>66</v>
      </c>
      <c r="W221" s="17" t="e">
        <f t="shared" ref="W221:W229" si="303">+(D221+H221)/R221</f>
        <v>#DIV/0!</v>
      </c>
      <c r="X221" s="17" t="e">
        <f t="shared" si="287"/>
        <v>#DIV/0!</v>
      </c>
      <c r="Y221" s="17" t="e">
        <f t="shared" ref="Y221:Y229" si="304">+J221/R221</f>
        <v>#DIV/0!</v>
      </c>
      <c r="Z221" s="17" t="e">
        <f t="shared" ref="Z221:Z229" si="305">+L221/R221</f>
        <v>#DIV/0!</v>
      </c>
      <c r="AA221" s="17" t="e">
        <f t="shared" ref="AA221:AA229" si="306">+N221/R221</f>
        <v>#DIV/0!</v>
      </c>
      <c r="AB221" s="17" t="e">
        <f t="shared" ref="AB221:AB229" si="307">+P221/R221</f>
        <v>#DIV/0!</v>
      </c>
      <c r="AD221" s="30"/>
      <c r="AE221" s="30"/>
      <c r="AF221" s="31"/>
      <c r="AG221" s="32"/>
      <c r="AI221" s="2" t="s">
        <v>8</v>
      </c>
      <c r="AJ221" s="2">
        <v>2020</v>
      </c>
      <c r="AK221" s="1">
        <f t="shared" si="297"/>
        <v>0</v>
      </c>
      <c r="AL221" s="11">
        <f t="shared" si="298"/>
        <v>0</v>
      </c>
      <c r="AM221" s="1">
        <f t="shared" si="299"/>
        <v>0</v>
      </c>
      <c r="AN221" s="11">
        <f t="shared" si="288"/>
        <v>0</v>
      </c>
      <c r="AO221" s="8">
        <f t="shared" si="289"/>
        <v>0</v>
      </c>
      <c r="AP221" s="11">
        <f t="shared" si="290"/>
        <v>0</v>
      </c>
      <c r="AQ221" s="8">
        <f t="shared" si="291"/>
        <v>0</v>
      </c>
      <c r="AR221" s="11">
        <f t="shared" si="292"/>
        <v>0</v>
      </c>
      <c r="AS221" s="8">
        <f t="shared" si="293"/>
        <v>0</v>
      </c>
      <c r="AT221" s="11">
        <f t="shared" si="294"/>
        <v>0</v>
      </c>
      <c r="AU221" s="8">
        <f t="shared" si="300"/>
        <v>0</v>
      </c>
      <c r="AV221" s="11">
        <f t="shared" si="295"/>
        <v>0</v>
      </c>
      <c r="AW221" t="str">
        <f t="shared" si="301"/>
        <v>LERMA</v>
      </c>
      <c r="AX221" s="37">
        <f t="shared" si="302"/>
        <v>0</v>
      </c>
      <c r="AY221" s="37">
        <f t="shared" si="296"/>
        <v>0</v>
      </c>
    </row>
    <row r="222" spans="1:51" x14ac:dyDescent="0.25">
      <c r="B222" s="2" t="s">
        <v>9</v>
      </c>
      <c r="C222" s="2">
        <v>2020</v>
      </c>
      <c r="D222" s="1">
        <v>2699</v>
      </c>
      <c r="E222" s="11">
        <v>135031</v>
      </c>
      <c r="F222" s="1">
        <v>1445</v>
      </c>
      <c r="G222" s="11">
        <v>71888</v>
      </c>
      <c r="H222" s="1">
        <v>171</v>
      </c>
      <c r="I222" s="11">
        <v>12266</v>
      </c>
      <c r="J222" s="1">
        <v>45325</v>
      </c>
      <c r="K222" s="11">
        <v>3130536</v>
      </c>
      <c r="L222" s="1">
        <v>2061</v>
      </c>
      <c r="M222" s="11">
        <v>178548</v>
      </c>
      <c r="N222" s="1">
        <v>5534</v>
      </c>
      <c r="O222" s="11">
        <v>334949</v>
      </c>
      <c r="P222" s="8">
        <v>0</v>
      </c>
      <c r="Q222" s="11">
        <v>0</v>
      </c>
      <c r="R222" s="8">
        <f t="shared" si="285"/>
        <v>57235</v>
      </c>
      <c r="S222" s="11">
        <f t="shared" si="286"/>
        <v>3863218</v>
      </c>
      <c r="T222" t="s">
        <v>66</v>
      </c>
      <c r="W222" s="17">
        <f>+(D222+H222)/R222</f>
        <v>5.0144142570105701E-2</v>
      </c>
      <c r="X222" s="17">
        <f t="shared" si="287"/>
        <v>0.94985585742989431</v>
      </c>
      <c r="Y222" s="17">
        <f t="shared" si="304"/>
        <v>0.79191054424740104</v>
      </c>
      <c r="Z222" s="17">
        <f t="shared" si="305"/>
        <v>3.6009434786406919E-2</v>
      </c>
      <c r="AA222" s="17">
        <f t="shared" si="306"/>
        <v>9.6689088844238671E-2</v>
      </c>
      <c r="AB222" s="17">
        <f t="shared" si="307"/>
        <v>0</v>
      </c>
      <c r="AD222" s="30">
        <v>33702.39</v>
      </c>
      <c r="AE222" s="30">
        <f t="shared" ref="AE222:AE229" si="308">+AD222/J222</f>
        <v>0.74357175951461663</v>
      </c>
      <c r="AF222" s="31">
        <v>15388.737499999999</v>
      </c>
      <c r="AG222" s="36">
        <f t="shared" ref="AG222:AG229" si="309">+AF222/K222</f>
        <v>4.9156877608179557E-3</v>
      </c>
      <c r="AI222" s="2" t="s">
        <v>9</v>
      </c>
      <c r="AJ222" s="2">
        <v>2020</v>
      </c>
      <c r="AK222" s="1">
        <f t="shared" si="297"/>
        <v>2870</v>
      </c>
      <c r="AL222" s="11">
        <f t="shared" si="298"/>
        <v>147297</v>
      </c>
      <c r="AM222" s="1">
        <f t="shared" si="299"/>
        <v>45325</v>
      </c>
      <c r="AN222" s="11">
        <f t="shared" si="288"/>
        <v>3130536</v>
      </c>
      <c r="AO222" s="8">
        <f t="shared" si="289"/>
        <v>2061</v>
      </c>
      <c r="AP222" s="11">
        <f t="shared" si="290"/>
        <v>178548</v>
      </c>
      <c r="AQ222" s="8">
        <f t="shared" si="291"/>
        <v>5534</v>
      </c>
      <c r="AR222" s="11">
        <f t="shared" si="292"/>
        <v>334949</v>
      </c>
      <c r="AS222" s="8">
        <f t="shared" si="293"/>
        <v>0</v>
      </c>
      <c r="AT222" s="11">
        <f t="shared" si="294"/>
        <v>0</v>
      </c>
      <c r="AU222" s="8">
        <f t="shared" si="300"/>
        <v>55790</v>
      </c>
      <c r="AV222" s="11">
        <f t="shared" si="295"/>
        <v>3791330</v>
      </c>
      <c r="AW222" t="str">
        <f t="shared" si="301"/>
        <v>LERMA</v>
      </c>
      <c r="AX222" s="37">
        <f t="shared" si="302"/>
        <v>-1445</v>
      </c>
      <c r="AY222" s="37">
        <f t="shared" si="296"/>
        <v>-71888</v>
      </c>
    </row>
    <row r="223" spans="1:51" x14ac:dyDescent="0.25">
      <c r="B223" s="2" t="s">
        <v>10</v>
      </c>
      <c r="C223" s="2">
        <v>2020</v>
      </c>
      <c r="D223" s="1">
        <v>5298</v>
      </c>
      <c r="E223" s="11">
        <v>275902</v>
      </c>
      <c r="F223" s="1">
        <v>2199</v>
      </c>
      <c r="G223" s="11">
        <v>110382</v>
      </c>
      <c r="H223" s="1">
        <v>231</v>
      </c>
      <c r="I223" s="11">
        <v>14584</v>
      </c>
      <c r="J223" s="1">
        <v>77984</v>
      </c>
      <c r="K223" s="11">
        <v>5524662</v>
      </c>
      <c r="L223" s="1">
        <v>3336</v>
      </c>
      <c r="M223" s="11">
        <v>278234</v>
      </c>
      <c r="N223" s="1">
        <v>9756</v>
      </c>
      <c r="O223" s="11">
        <v>585031</v>
      </c>
      <c r="P223" s="8">
        <v>0</v>
      </c>
      <c r="Q223" s="11">
        <v>0</v>
      </c>
      <c r="R223" s="8">
        <f t="shared" si="285"/>
        <v>98804</v>
      </c>
      <c r="S223" s="11">
        <f t="shared" si="286"/>
        <v>6788795</v>
      </c>
      <c r="T223" t="s">
        <v>66</v>
      </c>
      <c r="W223" s="17">
        <f t="shared" si="303"/>
        <v>5.5959272903931018E-2</v>
      </c>
      <c r="X223" s="17">
        <f t="shared" si="287"/>
        <v>0.94404072709606901</v>
      </c>
      <c r="Y223" s="17">
        <f t="shared" si="304"/>
        <v>0.78927978624347195</v>
      </c>
      <c r="Z223" s="17">
        <f t="shared" si="305"/>
        <v>3.3763815230152629E-2</v>
      </c>
      <c r="AA223" s="17">
        <f t="shared" si="306"/>
        <v>9.8740941662280882E-2</v>
      </c>
      <c r="AB223" s="17">
        <f t="shared" si="307"/>
        <v>0</v>
      </c>
      <c r="AD223" s="30">
        <v>58401.600000000006</v>
      </c>
      <c r="AE223" s="30">
        <f t="shared" si="308"/>
        <v>0.74889208042675426</v>
      </c>
      <c r="AF223" s="31">
        <v>25633.3</v>
      </c>
      <c r="AG223" s="36">
        <f t="shared" si="309"/>
        <v>4.6397951585092443E-3</v>
      </c>
      <c r="AI223" s="2" t="s">
        <v>10</v>
      </c>
      <c r="AJ223" s="2">
        <v>2020</v>
      </c>
      <c r="AK223" s="1">
        <f t="shared" si="297"/>
        <v>5529</v>
      </c>
      <c r="AL223" s="11">
        <f t="shared" si="298"/>
        <v>290486</v>
      </c>
      <c r="AM223" s="1">
        <f t="shared" si="299"/>
        <v>77984</v>
      </c>
      <c r="AN223" s="11">
        <f t="shared" si="288"/>
        <v>5524662</v>
      </c>
      <c r="AO223" s="8">
        <f t="shared" si="289"/>
        <v>3336</v>
      </c>
      <c r="AP223" s="11">
        <f t="shared" si="290"/>
        <v>278234</v>
      </c>
      <c r="AQ223" s="8">
        <f t="shared" si="291"/>
        <v>9756</v>
      </c>
      <c r="AR223" s="11">
        <f t="shared" si="292"/>
        <v>585031</v>
      </c>
      <c r="AS223" s="8">
        <f t="shared" si="293"/>
        <v>0</v>
      </c>
      <c r="AT223" s="11">
        <f t="shared" si="294"/>
        <v>0</v>
      </c>
      <c r="AU223" s="8">
        <f t="shared" si="300"/>
        <v>96605</v>
      </c>
      <c r="AV223" s="11">
        <f t="shared" si="295"/>
        <v>6678413</v>
      </c>
      <c r="AW223" t="str">
        <f t="shared" si="301"/>
        <v>LERMA</v>
      </c>
      <c r="AX223" s="37">
        <f t="shared" si="302"/>
        <v>-2199</v>
      </c>
      <c r="AY223" s="37">
        <f t="shared" si="296"/>
        <v>-110382</v>
      </c>
    </row>
    <row r="224" spans="1:51" x14ac:dyDescent="0.25">
      <c r="B224" s="2" t="s">
        <v>11</v>
      </c>
      <c r="C224" s="2">
        <v>2020</v>
      </c>
      <c r="D224" s="1">
        <v>7657</v>
      </c>
      <c r="E224" s="11">
        <v>379793</v>
      </c>
      <c r="F224" s="1">
        <v>3163</v>
      </c>
      <c r="G224" s="11">
        <v>155557</v>
      </c>
      <c r="H224" s="1">
        <v>345</v>
      </c>
      <c r="I224" s="11">
        <v>23143</v>
      </c>
      <c r="J224" s="1">
        <v>103333</v>
      </c>
      <c r="K224" s="11">
        <v>7008858</v>
      </c>
      <c r="L224" s="1">
        <v>4427</v>
      </c>
      <c r="M224" s="11">
        <v>373409</v>
      </c>
      <c r="N224" s="1">
        <v>13238</v>
      </c>
      <c r="O224" s="11">
        <v>777777</v>
      </c>
      <c r="P224" s="8">
        <v>0</v>
      </c>
      <c r="Q224" s="11">
        <v>0</v>
      </c>
      <c r="R224" s="8">
        <f t="shared" si="285"/>
        <v>132163</v>
      </c>
      <c r="S224" s="11">
        <f t="shared" si="286"/>
        <v>8718537</v>
      </c>
      <c r="T224" t="s">
        <v>66</v>
      </c>
      <c r="W224" s="17">
        <f t="shared" si="303"/>
        <v>6.0546446433570669E-2</v>
      </c>
      <c r="X224" s="17">
        <f t="shared" si="287"/>
        <v>0.93945355356642934</v>
      </c>
      <c r="Y224" s="17">
        <f t="shared" si="304"/>
        <v>0.78186027859537088</v>
      </c>
      <c r="Z224" s="17">
        <f t="shared" si="305"/>
        <v>3.34965156662606E-2</v>
      </c>
      <c r="AA224" s="17">
        <f t="shared" si="306"/>
        <v>0.10016419118815402</v>
      </c>
      <c r="AB224" s="17">
        <f t="shared" si="307"/>
        <v>0</v>
      </c>
      <c r="AD224" s="30">
        <v>76306.039999999994</v>
      </c>
      <c r="AE224" s="30">
        <f t="shared" si="308"/>
        <v>0.73844793047719504</v>
      </c>
      <c r="AF224" s="31">
        <v>30261.767499999998</v>
      </c>
      <c r="AG224" s="32">
        <f t="shared" si="309"/>
        <v>4.3176459702850304E-3</v>
      </c>
      <c r="AI224" s="2" t="s">
        <v>11</v>
      </c>
      <c r="AJ224" s="2">
        <v>2020</v>
      </c>
      <c r="AK224" s="1">
        <f t="shared" si="297"/>
        <v>8002</v>
      </c>
      <c r="AL224" s="11">
        <f t="shared" si="298"/>
        <v>402936</v>
      </c>
      <c r="AM224" s="1">
        <f t="shared" si="299"/>
        <v>103333</v>
      </c>
      <c r="AN224" s="11">
        <f t="shared" si="288"/>
        <v>7008858</v>
      </c>
      <c r="AO224" s="8">
        <f t="shared" si="289"/>
        <v>4427</v>
      </c>
      <c r="AP224" s="11">
        <f t="shared" si="290"/>
        <v>373409</v>
      </c>
      <c r="AQ224" s="8">
        <f t="shared" si="291"/>
        <v>13238</v>
      </c>
      <c r="AR224" s="11">
        <f t="shared" si="292"/>
        <v>777777</v>
      </c>
      <c r="AS224" s="8">
        <f t="shared" si="293"/>
        <v>0</v>
      </c>
      <c r="AT224" s="11">
        <f t="shared" si="294"/>
        <v>0</v>
      </c>
      <c r="AU224" s="8">
        <f t="shared" si="300"/>
        <v>129000</v>
      </c>
      <c r="AV224" s="11">
        <f t="shared" si="295"/>
        <v>8562980</v>
      </c>
      <c r="AW224" t="str">
        <f t="shared" si="301"/>
        <v>LERMA</v>
      </c>
      <c r="AX224" s="37">
        <f t="shared" si="302"/>
        <v>-3163</v>
      </c>
      <c r="AY224" s="37">
        <f t="shared" si="296"/>
        <v>-155557</v>
      </c>
    </row>
    <row r="225" spans="1:51" x14ac:dyDescent="0.25">
      <c r="B225" s="2" t="s">
        <v>4</v>
      </c>
      <c r="C225" s="2">
        <v>2020</v>
      </c>
      <c r="D225" s="1">
        <v>7116</v>
      </c>
      <c r="E225" s="11">
        <v>357581</v>
      </c>
      <c r="F225" s="1">
        <v>3184</v>
      </c>
      <c r="G225" s="11">
        <v>155476</v>
      </c>
      <c r="H225" s="1">
        <v>500</v>
      </c>
      <c r="I225" s="11">
        <v>35215</v>
      </c>
      <c r="J225" s="1">
        <v>100586</v>
      </c>
      <c r="K225" s="11">
        <v>6773519</v>
      </c>
      <c r="L225" s="1">
        <v>4270</v>
      </c>
      <c r="M225" s="11">
        <v>350059</v>
      </c>
      <c r="N225" s="1">
        <v>12202</v>
      </c>
      <c r="O225" s="11">
        <v>698285</v>
      </c>
      <c r="P225" s="8">
        <v>0</v>
      </c>
      <c r="Q225" s="11">
        <v>0</v>
      </c>
      <c r="R225" s="8">
        <f t="shared" si="285"/>
        <v>127858</v>
      </c>
      <c r="S225" s="11">
        <f t="shared" si="286"/>
        <v>8370135</v>
      </c>
      <c r="T225" t="s">
        <v>66</v>
      </c>
      <c r="W225" s="17">
        <f t="shared" si="303"/>
        <v>5.9566081121243883E-2</v>
      </c>
      <c r="X225" s="17">
        <f t="shared" si="287"/>
        <v>0.94043391887875616</v>
      </c>
      <c r="Y225" s="17">
        <f t="shared" si="304"/>
        <v>0.78670087127907518</v>
      </c>
      <c r="Z225" s="17">
        <f t="shared" si="305"/>
        <v>3.3396424158050338E-2</v>
      </c>
      <c r="AA225" s="17">
        <f t="shared" si="306"/>
        <v>9.5433997090522305E-2</v>
      </c>
      <c r="AB225" s="17">
        <f t="shared" si="307"/>
        <v>0</v>
      </c>
      <c r="AD225" s="30">
        <v>76505.12999999999</v>
      </c>
      <c r="AE225" s="30">
        <f t="shared" si="308"/>
        <v>0.76059421788320436</v>
      </c>
      <c r="AF225" s="31">
        <v>27974.122500000001</v>
      </c>
      <c r="AG225" s="32">
        <f t="shared" si="309"/>
        <v>4.1299245635835671E-3</v>
      </c>
      <c r="AI225" s="2" t="s">
        <v>4</v>
      </c>
      <c r="AJ225" s="2">
        <v>2020</v>
      </c>
      <c r="AK225" s="1">
        <f t="shared" si="297"/>
        <v>7616</v>
      </c>
      <c r="AL225" s="11">
        <f t="shared" si="298"/>
        <v>392796</v>
      </c>
      <c r="AM225" s="1">
        <f t="shared" si="299"/>
        <v>100586</v>
      </c>
      <c r="AN225" s="11">
        <f t="shared" si="288"/>
        <v>6773519</v>
      </c>
      <c r="AO225" s="8">
        <f t="shared" si="289"/>
        <v>4270</v>
      </c>
      <c r="AP225" s="11">
        <f t="shared" si="290"/>
        <v>350059</v>
      </c>
      <c r="AQ225" s="8">
        <f t="shared" si="291"/>
        <v>12202</v>
      </c>
      <c r="AR225" s="11">
        <f t="shared" si="292"/>
        <v>698285</v>
      </c>
      <c r="AS225" s="8">
        <f t="shared" si="293"/>
        <v>0</v>
      </c>
      <c r="AT225" s="11">
        <f t="shared" si="294"/>
        <v>0</v>
      </c>
      <c r="AU225" s="8">
        <f t="shared" si="300"/>
        <v>124674</v>
      </c>
      <c r="AV225" s="11">
        <f t="shared" si="295"/>
        <v>8214659</v>
      </c>
      <c r="AW225" t="str">
        <f t="shared" si="301"/>
        <v>LERMA</v>
      </c>
      <c r="AX225" s="37">
        <f t="shared" si="302"/>
        <v>-3184</v>
      </c>
      <c r="AY225" s="37">
        <f t="shared" si="296"/>
        <v>-155476</v>
      </c>
    </row>
    <row r="226" spans="1:51" x14ac:dyDescent="0.25">
      <c r="B226" s="2" t="s">
        <v>28</v>
      </c>
      <c r="C226" s="2">
        <v>2020</v>
      </c>
      <c r="D226" s="1">
        <v>6856</v>
      </c>
      <c r="E226" s="11">
        <v>342320</v>
      </c>
      <c r="F226" s="1">
        <v>3302</v>
      </c>
      <c r="G226" s="11">
        <v>166189</v>
      </c>
      <c r="H226" s="1">
        <v>402</v>
      </c>
      <c r="I226" s="11">
        <v>24094</v>
      </c>
      <c r="J226" s="1">
        <v>100748</v>
      </c>
      <c r="K226" s="11">
        <v>6803004</v>
      </c>
      <c r="L226" s="1">
        <v>4379</v>
      </c>
      <c r="M226" s="11">
        <v>371001</v>
      </c>
      <c r="N226" s="1">
        <v>11574</v>
      </c>
      <c r="O226" s="11">
        <v>689419</v>
      </c>
      <c r="P226" s="8">
        <v>0</v>
      </c>
      <c r="Q226" s="11">
        <v>0</v>
      </c>
      <c r="R226" s="8">
        <f t="shared" si="285"/>
        <v>127261</v>
      </c>
      <c r="S226" s="11">
        <f t="shared" si="286"/>
        <v>8396027</v>
      </c>
      <c r="T226" t="s">
        <v>66</v>
      </c>
      <c r="W226" s="17">
        <f t="shared" si="303"/>
        <v>5.7032397985242927E-2</v>
      </c>
      <c r="X226" s="17">
        <f t="shared" si="287"/>
        <v>0.94296760201475704</v>
      </c>
      <c r="Y226" s="17">
        <f t="shared" si="304"/>
        <v>0.79166437478881979</v>
      </c>
      <c r="Z226" s="17">
        <f t="shared" si="305"/>
        <v>3.4409599170209255E-2</v>
      </c>
      <c r="AA226" s="17">
        <f t="shared" si="306"/>
        <v>9.0946951540534809E-2</v>
      </c>
      <c r="AB226" s="17">
        <f t="shared" si="307"/>
        <v>0</v>
      </c>
      <c r="AD226" s="30">
        <v>75759.010000000009</v>
      </c>
      <c r="AE226" s="30">
        <f t="shared" si="308"/>
        <v>0.75196539881685009</v>
      </c>
      <c r="AF226" s="31">
        <v>27436.207499999997</v>
      </c>
      <c r="AG226" s="32">
        <f t="shared" si="309"/>
        <v>4.0329547799766103E-3</v>
      </c>
      <c r="AI226" s="2" t="s">
        <v>28</v>
      </c>
      <c r="AJ226" s="2">
        <v>2020</v>
      </c>
      <c r="AK226" s="1">
        <f t="shared" si="297"/>
        <v>7258</v>
      </c>
      <c r="AL226" s="11">
        <f t="shared" si="298"/>
        <v>366414</v>
      </c>
      <c r="AM226" s="1">
        <f t="shared" si="299"/>
        <v>100748</v>
      </c>
      <c r="AN226" s="11">
        <f t="shared" si="288"/>
        <v>6803004</v>
      </c>
      <c r="AO226" s="8">
        <f t="shared" si="289"/>
        <v>4379</v>
      </c>
      <c r="AP226" s="11">
        <f t="shared" si="290"/>
        <v>371001</v>
      </c>
      <c r="AQ226" s="8">
        <f t="shared" si="291"/>
        <v>11574</v>
      </c>
      <c r="AR226" s="11">
        <f t="shared" si="292"/>
        <v>689419</v>
      </c>
      <c r="AS226" s="8">
        <f t="shared" si="293"/>
        <v>0</v>
      </c>
      <c r="AT226" s="11">
        <f t="shared" si="294"/>
        <v>0</v>
      </c>
      <c r="AU226" s="8">
        <f t="shared" si="300"/>
        <v>123959</v>
      </c>
      <c r="AV226" s="11">
        <f t="shared" si="295"/>
        <v>8229838</v>
      </c>
      <c r="AW226" t="str">
        <f t="shared" si="301"/>
        <v>LERMA</v>
      </c>
      <c r="AX226" s="37">
        <f t="shared" si="302"/>
        <v>-3302</v>
      </c>
      <c r="AY226" s="37">
        <f t="shared" si="296"/>
        <v>-166189</v>
      </c>
    </row>
    <row r="227" spans="1:51" x14ac:dyDescent="0.25">
      <c r="B227" s="2" t="s">
        <v>29</v>
      </c>
      <c r="C227" s="2">
        <v>2020</v>
      </c>
      <c r="D227" s="1">
        <v>7556</v>
      </c>
      <c r="E227" s="11">
        <v>381585</v>
      </c>
      <c r="F227" s="1">
        <v>3470</v>
      </c>
      <c r="G227" s="11">
        <v>172485</v>
      </c>
      <c r="H227" s="1">
        <v>452</v>
      </c>
      <c r="I227" s="11">
        <v>27304</v>
      </c>
      <c r="J227" s="1">
        <v>107772</v>
      </c>
      <c r="K227" s="11">
        <v>7156256</v>
      </c>
      <c r="L227" s="1">
        <v>4715</v>
      </c>
      <c r="M227" s="11">
        <v>392105</v>
      </c>
      <c r="N227" s="1">
        <v>13301</v>
      </c>
      <c r="O227" s="11">
        <v>796288</v>
      </c>
      <c r="P227" s="8">
        <v>0</v>
      </c>
      <c r="Q227" s="11">
        <v>0</v>
      </c>
      <c r="R227" s="8">
        <f t="shared" si="285"/>
        <v>137266</v>
      </c>
      <c r="S227" s="11">
        <f t="shared" si="286"/>
        <v>8926023</v>
      </c>
      <c r="T227" t="s">
        <v>66</v>
      </c>
      <c r="W227" s="17">
        <f t="shared" si="303"/>
        <v>5.8339282852272231E-2</v>
      </c>
      <c r="X227" s="17">
        <f t="shared" si="287"/>
        <v>0.94166071714772781</v>
      </c>
      <c r="Y227" s="17">
        <f t="shared" si="304"/>
        <v>0.78513251642795745</v>
      </c>
      <c r="Z227" s="17">
        <f t="shared" si="305"/>
        <v>3.4349365465592356E-2</v>
      </c>
      <c r="AA227" s="17">
        <f t="shared" si="306"/>
        <v>9.689945070155756E-2</v>
      </c>
      <c r="AB227" s="17">
        <f t="shared" si="307"/>
        <v>0</v>
      </c>
      <c r="AD227" s="30">
        <v>81250.149999999994</v>
      </c>
      <c r="AE227" s="30">
        <f t="shared" si="308"/>
        <v>0.75390778680918968</v>
      </c>
      <c r="AF227" s="31">
        <v>27710.532500000001</v>
      </c>
      <c r="AG227" s="32">
        <f t="shared" si="309"/>
        <v>3.8722109019017768E-3</v>
      </c>
      <c r="AI227" s="2" t="s">
        <v>29</v>
      </c>
      <c r="AJ227" s="2">
        <v>2020</v>
      </c>
      <c r="AK227" s="1">
        <f t="shared" si="297"/>
        <v>8008</v>
      </c>
      <c r="AL227" s="11">
        <f t="shared" si="298"/>
        <v>408889</v>
      </c>
      <c r="AM227" s="1">
        <f t="shared" si="299"/>
        <v>107772</v>
      </c>
      <c r="AN227" s="11">
        <f t="shared" si="288"/>
        <v>7156256</v>
      </c>
      <c r="AO227" s="8">
        <f t="shared" si="289"/>
        <v>4715</v>
      </c>
      <c r="AP227" s="11">
        <f t="shared" si="290"/>
        <v>392105</v>
      </c>
      <c r="AQ227" s="8">
        <f t="shared" si="291"/>
        <v>13301</v>
      </c>
      <c r="AR227" s="11">
        <f t="shared" si="292"/>
        <v>796288</v>
      </c>
      <c r="AS227" s="8">
        <f t="shared" si="293"/>
        <v>0</v>
      </c>
      <c r="AT227" s="11">
        <f t="shared" si="294"/>
        <v>0</v>
      </c>
      <c r="AU227" s="8">
        <f t="shared" si="300"/>
        <v>133796</v>
      </c>
      <c r="AV227" s="11">
        <f t="shared" si="295"/>
        <v>8753538</v>
      </c>
      <c r="AW227" t="str">
        <f t="shared" si="301"/>
        <v>LERMA</v>
      </c>
      <c r="AX227" s="37">
        <f t="shared" si="302"/>
        <v>-3470</v>
      </c>
      <c r="AY227" s="37">
        <f t="shared" si="296"/>
        <v>-172485</v>
      </c>
    </row>
    <row r="228" spans="1:51" x14ac:dyDescent="0.25">
      <c r="B228" s="2" t="s">
        <v>30</v>
      </c>
      <c r="C228" s="2">
        <v>2020</v>
      </c>
      <c r="D228" s="1">
        <v>7613</v>
      </c>
      <c r="E228" s="11">
        <v>385445</v>
      </c>
      <c r="F228" s="1">
        <v>3301</v>
      </c>
      <c r="G228" s="11">
        <v>164014</v>
      </c>
      <c r="H228" s="1">
        <v>494</v>
      </c>
      <c r="I228" s="11">
        <v>33891</v>
      </c>
      <c r="J228" s="1">
        <v>104858</v>
      </c>
      <c r="K228" s="11">
        <v>6939000</v>
      </c>
      <c r="L228" s="1">
        <v>4276</v>
      </c>
      <c r="M228" s="11">
        <v>353104</v>
      </c>
      <c r="N228" s="1">
        <v>13383</v>
      </c>
      <c r="O228" s="11">
        <v>802047</v>
      </c>
      <c r="P228" s="8">
        <v>0</v>
      </c>
      <c r="Q228" s="11">
        <v>0</v>
      </c>
      <c r="R228" s="8">
        <f t="shared" si="285"/>
        <v>133925</v>
      </c>
      <c r="S228" s="11">
        <f t="shared" si="286"/>
        <v>8677501</v>
      </c>
      <c r="T228" t="s">
        <v>66</v>
      </c>
      <c r="W228" s="17">
        <f t="shared" si="303"/>
        <v>6.053388090349076E-2</v>
      </c>
      <c r="X228" s="17">
        <f t="shared" si="287"/>
        <v>0.93946611909650923</v>
      </c>
      <c r="Y228" s="17">
        <f t="shared" si="304"/>
        <v>0.78296061228299418</v>
      </c>
      <c r="Z228" s="17">
        <f t="shared" si="305"/>
        <v>3.1928318088482358E-2</v>
      </c>
      <c r="AA228" s="17">
        <f t="shared" si="306"/>
        <v>9.9929064775060666E-2</v>
      </c>
      <c r="AB228" s="17">
        <f t="shared" si="307"/>
        <v>0</v>
      </c>
      <c r="AD228" s="30">
        <v>78840.25</v>
      </c>
      <c r="AE228" s="30">
        <f t="shared" si="308"/>
        <v>0.75187634705983331</v>
      </c>
      <c r="AF228" s="31">
        <v>27730.107499999998</v>
      </c>
      <c r="AG228" s="32">
        <f t="shared" si="309"/>
        <v>3.9962685545467643E-3</v>
      </c>
      <c r="AI228" s="2" t="s">
        <v>30</v>
      </c>
      <c r="AJ228" s="2">
        <v>2020</v>
      </c>
      <c r="AK228" s="1">
        <f t="shared" si="297"/>
        <v>8107</v>
      </c>
      <c r="AL228" s="11">
        <f t="shared" si="298"/>
        <v>419336</v>
      </c>
      <c r="AM228" s="1">
        <f t="shared" si="299"/>
        <v>104858</v>
      </c>
      <c r="AN228" s="11">
        <f t="shared" si="288"/>
        <v>6939000</v>
      </c>
      <c r="AO228" s="8">
        <f t="shared" si="289"/>
        <v>4276</v>
      </c>
      <c r="AP228" s="11">
        <f t="shared" si="290"/>
        <v>353104</v>
      </c>
      <c r="AQ228" s="8">
        <f t="shared" si="291"/>
        <v>13383</v>
      </c>
      <c r="AR228" s="11">
        <f t="shared" si="292"/>
        <v>802047</v>
      </c>
      <c r="AS228" s="8">
        <f t="shared" si="293"/>
        <v>0</v>
      </c>
      <c r="AT228" s="11">
        <f t="shared" si="294"/>
        <v>0</v>
      </c>
      <c r="AU228" s="8">
        <f t="shared" si="300"/>
        <v>130624</v>
      </c>
      <c r="AV228" s="11">
        <f t="shared" si="295"/>
        <v>8513487</v>
      </c>
      <c r="AW228" t="str">
        <f t="shared" si="301"/>
        <v>LERMA</v>
      </c>
      <c r="AX228" s="37">
        <f t="shared" si="302"/>
        <v>-3301</v>
      </c>
      <c r="AY228" s="37">
        <f t="shared" si="296"/>
        <v>-164014</v>
      </c>
    </row>
    <row r="229" spans="1:51" x14ac:dyDescent="0.25">
      <c r="B229" s="2" t="s">
        <v>31</v>
      </c>
      <c r="C229" s="2">
        <v>2020</v>
      </c>
      <c r="D229" s="1">
        <v>7548</v>
      </c>
      <c r="E229" s="11">
        <v>381559</v>
      </c>
      <c r="F229" s="1">
        <v>3235</v>
      </c>
      <c r="G229" s="11">
        <v>161619</v>
      </c>
      <c r="H229" s="1">
        <v>496</v>
      </c>
      <c r="I229" s="11">
        <v>32414</v>
      </c>
      <c r="J229" s="1">
        <v>106303</v>
      </c>
      <c r="K229" s="11">
        <v>7168607</v>
      </c>
      <c r="L229" s="1">
        <v>4721</v>
      </c>
      <c r="M229" s="11">
        <v>390186</v>
      </c>
      <c r="N229" s="1">
        <v>13694</v>
      </c>
      <c r="O229" s="11">
        <v>818123</v>
      </c>
      <c r="P229" s="8">
        <v>0</v>
      </c>
      <c r="Q229" s="11">
        <v>0</v>
      </c>
      <c r="R229" s="8">
        <f t="shared" si="285"/>
        <v>135997</v>
      </c>
      <c r="S229" s="11">
        <f t="shared" si="286"/>
        <v>8952508</v>
      </c>
      <c r="T229" t="s">
        <v>66</v>
      </c>
      <c r="W229" s="17">
        <f t="shared" si="303"/>
        <v>5.9148363566843387E-2</v>
      </c>
      <c r="X229" s="17">
        <f t="shared" si="287"/>
        <v>0.94085163643315661</v>
      </c>
      <c r="Y229" s="17">
        <f t="shared" si="304"/>
        <v>0.7816569483150364</v>
      </c>
      <c r="Z229" s="17">
        <f t="shared" si="305"/>
        <v>3.4714001044140678E-2</v>
      </c>
      <c r="AA229" s="17">
        <f t="shared" si="306"/>
        <v>0.10069339764847754</v>
      </c>
      <c r="AB229" s="17">
        <f t="shared" si="307"/>
        <v>0</v>
      </c>
      <c r="AD229" s="30">
        <v>79841.87</v>
      </c>
      <c r="AE229" s="30">
        <f t="shared" si="308"/>
        <v>0.75107823861979428</v>
      </c>
      <c r="AF229" s="31">
        <v>28856.057499999999</v>
      </c>
      <c r="AG229" s="32">
        <f t="shared" si="309"/>
        <v>4.0253367913738328E-3</v>
      </c>
      <c r="AI229" s="2" t="s">
        <v>31</v>
      </c>
      <c r="AJ229" s="2">
        <v>2020</v>
      </c>
      <c r="AK229" s="1">
        <f t="shared" si="297"/>
        <v>8044</v>
      </c>
      <c r="AL229" s="11">
        <f t="shared" si="298"/>
        <v>413973</v>
      </c>
      <c r="AM229" s="1">
        <f t="shared" si="299"/>
        <v>106303</v>
      </c>
      <c r="AN229" s="11">
        <f t="shared" si="288"/>
        <v>7168607</v>
      </c>
      <c r="AO229" s="8">
        <f t="shared" si="289"/>
        <v>4721</v>
      </c>
      <c r="AP229" s="11">
        <f t="shared" si="290"/>
        <v>390186</v>
      </c>
      <c r="AQ229" s="8">
        <f t="shared" si="291"/>
        <v>13694</v>
      </c>
      <c r="AR229" s="11">
        <f t="shared" si="292"/>
        <v>818123</v>
      </c>
      <c r="AS229" s="8">
        <f t="shared" si="293"/>
        <v>0</v>
      </c>
      <c r="AT229" s="11">
        <f t="shared" si="294"/>
        <v>0</v>
      </c>
      <c r="AU229" s="8">
        <f t="shared" si="300"/>
        <v>132762</v>
      </c>
      <c r="AV229" s="11">
        <f t="shared" si="295"/>
        <v>8790889</v>
      </c>
      <c r="AW229" t="str">
        <f t="shared" si="301"/>
        <v>LERMA</v>
      </c>
      <c r="AX229" s="37">
        <f t="shared" si="302"/>
        <v>-3235</v>
      </c>
      <c r="AY229" s="37">
        <f t="shared" si="296"/>
        <v>-161619</v>
      </c>
    </row>
    <row r="230" spans="1:51" x14ac:dyDescent="0.25">
      <c r="W230" s="18"/>
      <c r="X230" s="19"/>
      <c r="Y230" s="18"/>
      <c r="Z230" s="18"/>
      <c r="AA230" s="18"/>
      <c r="AB230" s="18"/>
      <c r="AL230" s="9"/>
      <c r="AN230" s="9"/>
      <c r="AP230" s="9"/>
      <c r="AR230" s="9"/>
      <c r="AS230" s="9"/>
      <c r="AT230" s="9"/>
      <c r="AV230" s="9"/>
    </row>
    <row r="231" spans="1:51" x14ac:dyDescent="0.25">
      <c r="B231" s="3" t="s">
        <v>12</v>
      </c>
      <c r="C231" s="3"/>
      <c r="D231" s="4">
        <f t="shared" ref="D231:S231" si="310">SUM(D218:D230)</f>
        <v>52343</v>
      </c>
      <c r="E231" s="12">
        <f t="shared" si="310"/>
        <v>2639216</v>
      </c>
      <c r="F231" s="4">
        <f t="shared" ref="F231:G231" si="311">SUM(F218:F230)</f>
        <v>23299</v>
      </c>
      <c r="G231" s="12">
        <f t="shared" si="311"/>
        <v>1157610</v>
      </c>
      <c r="H231" s="4">
        <f t="shared" si="310"/>
        <v>3091</v>
      </c>
      <c r="I231" s="12">
        <f t="shared" si="310"/>
        <v>202911</v>
      </c>
      <c r="J231" s="4">
        <f t="shared" si="310"/>
        <v>746909</v>
      </c>
      <c r="K231" s="12">
        <f t="shared" si="310"/>
        <v>50504442</v>
      </c>
      <c r="L231" s="4">
        <f t="shared" si="310"/>
        <v>32185</v>
      </c>
      <c r="M231" s="12">
        <f t="shared" si="310"/>
        <v>2686646</v>
      </c>
      <c r="N231" s="4">
        <f t="shared" si="310"/>
        <v>92682</v>
      </c>
      <c r="O231" s="12">
        <f t="shared" si="310"/>
        <v>5501919</v>
      </c>
      <c r="P231" s="4">
        <f t="shared" si="310"/>
        <v>0</v>
      </c>
      <c r="Q231" s="12">
        <f t="shared" si="310"/>
        <v>0</v>
      </c>
      <c r="R231" s="4">
        <f t="shared" si="310"/>
        <v>950509</v>
      </c>
      <c r="S231" s="12">
        <f t="shared" si="310"/>
        <v>62692744</v>
      </c>
      <c r="W231" s="16">
        <f>+(D231+H231)/R231</f>
        <v>5.8320331527634141E-2</v>
      </c>
      <c r="X231" s="16">
        <f>1-W231</f>
        <v>0.94167966847236584</v>
      </c>
      <c r="Y231" s="16">
        <f>+J231/R231</f>
        <v>0.78579897717959535</v>
      </c>
      <c r="Z231" s="16">
        <f>+L231/R231</f>
        <v>3.3860805105475067E-2</v>
      </c>
      <c r="AA231" s="16">
        <f>+N231/R231</f>
        <v>9.7507756370534104E-2</v>
      </c>
      <c r="AB231" s="16">
        <f>+P231/R231</f>
        <v>0</v>
      </c>
      <c r="AD231" s="12">
        <f>AVERAGE(AD218:AD230)</f>
        <v>70075.804999999993</v>
      </c>
      <c r="AE231" s="12">
        <f t="shared" ref="AE231" si="312">AVERAGE(AE218:AE230)</f>
        <v>0.75004171995092972</v>
      </c>
      <c r="AF231" s="12">
        <f t="shared" ref="AF231" si="313">AVERAGE(AF218:AF230)</f>
        <v>26373.854062499995</v>
      </c>
      <c r="AG231" s="16">
        <f t="shared" ref="AG231" si="314">AVERAGE(AG218:AG230)</f>
        <v>4.2412280601243479E-3</v>
      </c>
      <c r="AI231" s="3" t="s">
        <v>12</v>
      </c>
      <c r="AJ231" s="3"/>
      <c r="AK231" s="4">
        <f t="shared" ref="AK231:AV231" si="315">SUM(AK218:AK230)</f>
        <v>55434</v>
      </c>
      <c r="AL231" s="12">
        <f t="shared" si="315"/>
        <v>2842127</v>
      </c>
      <c r="AM231" s="4">
        <f t="shared" si="315"/>
        <v>746909</v>
      </c>
      <c r="AN231" s="12">
        <f t="shared" si="315"/>
        <v>50504442</v>
      </c>
      <c r="AO231" s="4">
        <f t="shared" si="315"/>
        <v>32185</v>
      </c>
      <c r="AP231" s="12">
        <f t="shared" si="315"/>
        <v>2686646</v>
      </c>
      <c r="AQ231" s="4">
        <f t="shared" si="315"/>
        <v>92682</v>
      </c>
      <c r="AR231" s="12">
        <f t="shared" si="315"/>
        <v>5501919</v>
      </c>
      <c r="AS231" s="4">
        <f t="shared" si="315"/>
        <v>0</v>
      </c>
      <c r="AT231" s="12">
        <f t="shared" si="315"/>
        <v>0</v>
      </c>
      <c r="AU231" s="4">
        <f t="shared" si="315"/>
        <v>927210</v>
      </c>
      <c r="AV231" s="12">
        <f t="shared" si="315"/>
        <v>61535134</v>
      </c>
    </row>
    <row r="232" spans="1:51" x14ac:dyDescent="0.25">
      <c r="L232" s="28">
        <f>AVERAGE(L218:L227)</f>
        <v>3864.6666666666665</v>
      </c>
      <c r="M232" s="28">
        <f>AVERAGE(M218:M227)</f>
        <v>323892.66666666669</v>
      </c>
      <c r="R232" s="28">
        <f>AVERAGE(R218:R227)</f>
        <v>68058.7</v>
      </c>
      <c r="S232" s="28">
        <f>AVERAGE(S218:S227)</f>
        <v>4506273.5</v>
      </c>
    </row>
    <row r="233" spans="1:51" x14ac:dyDescent="0.25">
      <c r="B233" s="5" t="s">
        <v>14</v>
      </c>
      <c r="L233" s="28"/>
      <c r="M233" s="28"/>
      <c r="R233" s="44">
        <f>+L232/R232</f>
        <v>5.6784315108379481E-2</v>
      </c>
      <c r="S233" s="44">
        <f>+M232/S232</f>
        <v>7.1875945094470345E-2</v>
      </c>
    </row>
    <row r="234" spans="1:51" x14ac:dyDescent="0.25">
      <c r="B234" s="5" t="s">
        <v>67</v>
      </c>
      <c r="L234" s="26"/>
      <c r="M234" s="26"/>
    </row>
    <row r="235" spans="1:51" x14ac:dyDescent="0.25">
      <c r="B235" s="5"/>
    </row>
    <row r="236" spans="1:51" x14ac:dyDescent="0.25">
      <c r="D236" s="89" t="s">
        <v>15</v>
      </c>
      <c r="E236" s="90"/>
      <c r="F236" s="89" t="s">
        <v>71</v>
      </c>
      <c r="G236" s="90"/>
      <c r="H236" s="89" t="s">
        <v>16</v>
      </c>
      <c r="I236" s="90"/>
      <c r="J236" s="89" t="s">
        <v>17</v>
      </c>
      <c r="K236" s="93"/>
      <c r="L236" s="89" t="s">
        <v>18</v>
      </c>
      <c r="M236" s="93"/>
      <c r="N236" s="89" t="s">
        <v>13</v>
      </c>
      <c r="O236" s="93"/>
      <c r="P236" s="89" t="s">
        <v>34</v>
      </c>
      <c r="Q236" s="93"/>
      <c r="R236" s="89" t="s">
        <v>12</v>
      </c>
      <c r="S236" s="93"/>
      <c r="W236" s="91" t="s">
        <v>42</v>
      </c>
      <c r="X236" s="92"/>
      <c r="Y236" s="92"/>
      <c r="Z236" s="92"/>
      <c r="AA236" s="92"/>
      <c r="AB236" s="92"/>
      <c r="AK236" s="89" t="s">
        <v>69</v>
      </c>
      <c r="AL236" s="90"/>
      <c r="AM236" s="89" t="s">
        <v>17</v>
      </c>
      <c r="AN236" s="93"/>
      <c r="AO236" s="89" t="s">
        <v>18</v>
      </c>
      <c r="AP236" s="93"/>
      <c r="AQ236" s="89" t="s">
        <v>13</v>
      </c>
      <c r="AR236" s="93"/>
      <c r="AS236" s="89" t="s">
        <v>34</v>
      </c>
      <c r="AT236" s="93"/>
      <c r="AU236" s="89" t="s">
        <v>12</v>
      </c>
      <c r="AV236" s="93"/>
    </row>
    <row r="237" spans="1:5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W237" s="7" t="s">
        <v>38</v>
      </c>
      <c r="X237" s="10" t="s">
        <v>39</v>
      </c>
      <c r="Y237" s="10" t="s">
        <v>40</v>
      </c>
      <c r="Z237" s="10" t="s">
        <v>18</v>
      </c>
      <c r="AA237" s="10" t="s">
        <v>13</v>
      </c>
      <c r="AB237" s="10" t="s">
        <v>41</v>
      </c>
      <c r="AI237" s="7" t="s">
        <v>0</v>
      </c>
      <c r="AJ237" s="7" t="s">
        <v>1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  <c r="AU237" s="7" t="s">
        <v>2</v>
      </c>
      <c r="AV237" s="10" t="s">
        <v>3</v>
      </c>
    </row>
    <row r="238" spans="1:51" x14ac:dyDescent="0.25">
      <c r="X238" s="9"/>
      <c r="AL238" s="9"/>
      <c r="AN238" s="9"/>
      <c r="AP238" s="9"/>
      <c r="AR238" s="9"/>
      <c r="AS238" s="9"/>
      <c r="AT238" s="9"/>
      <c r="AV238" s="9"/>
    </row>
    <row r="239" spans="1:51" x14ac:dyDescent="0.25">
      <c r="B239" s="2" t="s">
        <v>5</v>
      </c>
      <c r="C239" s="2">
        <v>2020</v>
      </c>
      <c r="D239" s="1"/>
      <c r="E239" s="11"/>
      <c r="F239" s="1"/>
      <c r="G239" s="11"/>
      <c r="H239" s="1"/>
      <c r="I239" s="11"/>
      <c r="J239" s="1"/>
      <c r="K239" s="11"/>
      <c r="L239" s="1"/>
      <c r="M239" s="11"/>
      <c r="N239" s="1"/>
      <c r="O239" s="11"/>
      <c r="P239" s="1"/>
      <c r="Q239" s="11"/>
      <c r="R239" s="8">
        <f t="shared" ref="R239:R250" si="316">N239+L239+J239+H239+D239+P239+F239</f>
        <v>0</v>
      </c>
      <c r="S239" s="11">
        <f t="shared" ref="S239:S250" si="317">O239+M239+K239+I239+E239+Q239+G239</f>
        <v>0</v>
      </c>
      <c r="T239" t="s">
        <v>68</v>
      </c>
      <c r="W239" s="17" t="e">
        <f>+(D239+H239)/R239</f>
        <v>#DIV/0!</v>
      </c>
      <c r="X239" s="17" t="e">
        <f t="shared" ref="X239:X250" si="318">1-W239</f>
        <v>#DIV/0!</v>
      </c>
      <c r="Y239" s="17" t="e">
        <f>+J239/R239</f>
        <v>#DIV/0!</v>
      </c>
      <c r="Z239" s="17" t="e">
        <f>+L239/R239</f>
        <v>#DIV/0!</v>
      </c>
      <c r="AA239" s="17" t="e">
        <f>+N239/R239</f>
        <v>#DIV/0!</v>
      </c>
      <c r="AB239" s="17" t="e">
        <f>+P239/R239</f>
        <v>#DIV/0!</v>
      </c>
      <c r="AD239" s="30"/>
      <c r="AE239" s="30"/>
      <c r="AF239" s="31"/>
      <c r="AG239" s="32"/>
      <c r="AI239" s="2" t="s">
        <v>5</v>
      </c>
      <c r="AJ239" s="2">
        <v>2020</v>
      </c>
      <c r="AK239" s="1">
        <f>D239+H239</f>
        <v>0</v>
      </c>
      <c r="AL239" s="11">
        <f>E239+I239</f>
        <v>0</v>
      </c>
      <c r="AM239" s="1">
        <f>+J239</f>
        <v>0</v>
      </c>
      <c r="AN239" s="11">
        <f t="shared" ref="AN239:AN250" si="319">+K239</f>
        <v>0</v>
      </c>
      <c r="AO239" s="8">
        <f t="shared" ref="AO239:AO250" si="320">+L239</f>
        <v>0</v>
      </c>
      <c r="AP239" s="11">
        <f t="shared" ref="AP239:AP250" si="321">+M239</f>
        <v>0</v>
      </c>
      <c r="AQ239" s="8">
        <f t="shared" ref="AQ239:AQ250" si="322">+N239</f>
        <v>0</v>
      </c>
      <c r="AR239" s="11">
        <f t="shared" ref="AR239:AR250" si="323">+O239</f>
        <v>0</v>
      </c>
      <c r="AS239" s="8">
        <f t="shared" ref="AS239:AS250" si="324">+P239</f>
        <v>0</v>
      </c>
      <c r="AT239" s="11">
        <f t="shared" ref="AT239:AT250" si="325">+Q239</f>
        <v>0</v>
      </c>
      <c r="AU239" s="8">
        <f>AS239+AQ239+AO239+AM239+AK239</f>
        <v>0</v>
      </c>
      <c r="AV239" s="11">
        <f t="shared" ref="AV239:AV250" si="326">AT239+AR239+AP239+AN239+AL239</f>
        <v>0</v>
      </c>
      <c r="AW239" t="str">
        <f>+T239</f>
        <v>IRAPUATO</v>
      </c>
      <c r="AX239" s="37">
        <f>+AU239-R239</f>
        <v>0</v>
      </c>
      <c r="AY239" s="37">
        <f t="shared" ref="AY239:AY250" si="327">+AV239-S239</f>
        <v>0</v>
      </c>
    </row>
    <row r="240" spans="1:51" x14ac:dyDescent="0.25">
      <c r="B240" s="2" t="s">
        <v>6</v>
      </c>
      <c r="C240" s="2">
        <v>2020</v>
      </c>
      <c r="D240" s="1"/>
      <c r="E240" s="11"/>
      <c r="F240" s="1"/>
      <c r="G240" s="11"/>
      <c r="H240" s="1"/>
      <c r="I240" s="11"/>
      <c r="J240" s="1"/>
      <c r="K240" s="11"/>
      <c r="L240" s="1"/>
      <c r="M240" s="11"/>
      <c r="N240" s="1"/>
      <c r="O240" s="11"/>
      <c r="P240" s="1"/>
      <c r="Q240" s="11"/>
      <c r="R240" s="8">
        <f t="shared" si="316"/>
        <v>0</v>
      </c>
      <c r="S240" s="11">
        <f t="shared" si="317"/>
        <v>0</v>
      </c>
      <c r="T240" t="s">
        <v>68</v>
      </c>
      <c r="W240" s="17" t="e">
        <f>+(D240+H240)/R240</f>
        <v>#DIV/0!</v>
      </c>
      <c r="X240" s="17" t="e">
        <f t="shared" si="318"/>
        <v>#DIV/0!</v>
      </c>
      <c r="Y240" s="17" t="e">
        <f>+J240/R240</f>
        <v>#DIV/0!</v>
      </c>
      <c r="Z240" s="17" t="e">
        <f>+L240/R240</f>
        <v>#DIV/0!</v>
      </c>
      <c r="AA240" s="17" t="e">
        <f>+N240/R240</f>
        <v>#DIV/0!</v>
      </c>
      <c r="AB240" s="17" t="e">
        <f>+P240/R240</f>
        <v>#DIV/0!</v>
      </c>
      <c r="AD240" s="30"/>
      <c r="AE240" s="30"/>
      <c r="AF240" s="31"/>
      <c r="AG240" s="32"/>
      <c r="AI240" s="2" t="s">
        <v>6</v>
      </c>
      <c r="AJ240" s="2">
        <v>2020</v>
      </c>
      <c r="AK240" s="1">
        <f t="shared" ref="AK240:AK250" si="328">D240+H240</f>
        <v>0</v>
      </c>
      <c r="AL240" s="11">
        <f t="shared" ref="AL240:AL250" si="329">E240+I240</f>
        <v>0</v>
      </c>
      <c r="AM240" s="1">
        <f t="shared" ref="AM240:AM250" si="330">+J240</f>
        <v>0</v>
      </c>
      <c r="AN240" s="11">
        <f t="shared" si="319"/>
        <v>0</v>
      </c>
      <c r="AO240" s="8">
        <f t="shared" si="320"/>
        <v>0</v>
      </c>
      <c r="AP240" s="11">
        <f t="shared" si="321"/>
        <v>0</v>
      </c>
      <c r="AQ240" s="8">
        <f t="shared" si="322"/>
        <v>0</v>
      </c>
      <c r="AR240" s="11">
        <f t="shared" si="323"/>
        <v>0</v>
      </c>
      <c r="AS240" s="8">
        <f t="shared" si="324"/>
        <v>0</v>
      </c>
      <c r="AT240" s="11">
        <f t="shared" si="325"/>
        <v>0</v>
      </c>
      <c r="AU240" s="8">
        <f t="shared" ref="AU240:AU250" si="331">AS240+AQ240+AO240+AM240+AK240</f>
        <v>0</v>
      </c>
      <c r="AV240" s="11">
        <f t="shared" si="326"/>
        <v>0</v>
      </c>
      <c r="AW240" t="str">
        <f t="shared" ref="AW240:AW250" si="332">+T240</f>
        <v>IRAPUATO</v>
      </c>
      <c r="AX240" s="37">
        <f t="shared" ref="AX240:AX250" si="333">+AU240-R240</f>
        <v>0</v>
      </c>
      <c r="AY240" s="37">
        <f t="shared" si="327"/>
        <v>0</v>
      </c>
    </row>
    <row r="241" spans="2:51" x14ac:dyDescent="0.25">
      <c r="B241" s="2" t="s">
        <v>7</v>
      </c>
      <c r="C241" s="2">
        <v>2020</v>
      </c>
      <c r="D241" s="1"/>
      <c r="E241" s="11"/>
      <c r="F241" s="1"/>
      <c r="G241" s="11"/>
      <c r="H241" s="1"/>
      <c r="I241" s="11"/>
      <c r="J241" s="1"/>
      <c r="K241" s="11"/>
      <c r="L241" s="1"/>
      <c r="M241" s="11"/>
      <c r="N241" s="1"/>
      <c r="O241" s="11"/>
      <c r="P241" s="1"/>
      <c r="Q241" s="11"/>
      <c r="R241" s="8">
        <f t="shared" si="316"/>
        <v>0</v>
      </c>
      <c r="S241" s="11">
        <f t="shared" si="317"/>
        <v>0</v>
      </c>
      <c r="T241" t="s">
        <v>68</v>
      </c>
      <c r="W241" s="17" t="e">
        <f>+(D241+H241)/R241</f>
        <v>#DIV/0!</v>
      </c>
      <c r="X241" s="17" t="e">
        <f t="shared" si="318"/>
        <v>#DIV/0!</v>
      </c>
      <c r="Y241" s="17" t="e">
        <f>+J241/R241</f>
        <v>#DIV/0!</v>
      </c>
      <c r="Z241" s="17" t="e">
        <f>+L241/R241</f>
        <v>#DIV/0!</v>
      </c>
      <c r="AA241" s="17" t="e">
        <f>+N241/R241</f>
        <v>#DIV/0!</v>
      </c>
      <c r="AB241" s="17" t="e">
        <f>+P241/R241</f>
        <v>#DIV/0!</v>
      </c>
      <c r="AD241" s="30"/>
      <c r="AE241" s="30"/>
      <c r="AF241" s="31"/>
      <c r="AG241" s="32"/>
      <c r="AI241" s="2" t="s">
        <v>7</v>
      </c>
      <c r="AJ241" s="2">
        <v>2020</v>
      </c>
      <c r="AK241" s="1">
        <f t="shared" si="328"/>
        <v>0</v>
      </c>
      <c r="AL241" s="11">
        <f t="shared" si="329"/>
        <v>0</v>
      </c>
      <c r="AM241" s="1">
        <f t="shared" si="330"/>
        <v>0</v>
      </c>
      <c r="AN241" s="11">
        <f t="shared" si="319"/>
        <v>0</v>
      </c>
      <c r="AO241" s="8">
        <f t="shared" si="320"/>
        <v>0</v>
      </c>
      <c r="AP241" s="11">
        <f t="shared" si="321"/>
        <v>0</v>
      </c>
      <c r="AQ241" s="8">
        <f t="shared" si="322"/>
        <v>0</v>
      </c>
      <c r="AR241" s="11">
        <f t="shared" si="323"/>
        <v>0</v>
      </c>
      <c r="AS241" s="8">
        <f t="shared" si="324"/>
        <v>0</v>
      </c>
      <c r="AT241" s="11">
        <f t="shared" si="325"/>
        <v>0</v>
      </c>
      <c r="AU241" s="8">
        <f t="shared" si="331"/>
        <v>0</v>
      </c>
      <c r="AV241" s="11">
        <f t="shared" si="326"/>
        <v>0</v>
      </c>
      <c r="AW241" t="str">
        <f t="shared" si="332"/>
        <v>IRAPUATO</v>
      </c>
      <c r="AX241" s="37">
        <f t="shared" si="333"/>
        <v>0</v>
      </c>
      <c r="AY241" s="37">
        <f t="shared" si="327"/>
        <v>0</v>
      </c>
    </row>
    <row r="242" spans="2:51" x14ac:dyDescent="0.25">
      <c r="B242" s="2" t="s">
        <v>8</v>
      </c>
      <c r="C242" s="2">
        <v>2020</v>
      </c>
      <c r="D242" s="1"/>
      <c r="E242" s="11"/>
      <c r="F242" s="1"/>
      <c r="G242" s="11"/>
      <c r="H242" s="1"/>
      <c r="I242" s="11"/>
      <c r="J242" s="1"/>
      <c r="K242" s="11"/>
      <c r="L242" s="1"/>
      <c r="M242" s="11"/>
      <c r="N242" s="1"/>
      <c r="O242" s="11"/>
      <c r="P242" s="8"/>
      <c r="Q242" s="11"/>
      <c r="R242" s="8">
        <f t="shared" si="316"/>
        <v>0</v>
      </c>
      <c r="S242" s="11">
        <f t="shared" si="317"/>
        <v>0</v>
      </c>
      <c r="T242" t="s">
        <v>68</v>
      </c>
      <c r="W242" s="17" t="e">
        <f t="shared" ref="W242" si="334">+(D242+H242)/R242</f>
        <v>#DIV/0!</v>
      </c>
      <c r="X242" s="17" t="e">
        <f t="shared" si="318"/>
        <v>#DIV/0!</v>
      </c>
      <c r="Y242" s="17" t="e">
        <f t="shared" ref="Y242:Y250" si="335">+J242/R242</f>
        <v>#DIV/0!</v>
      </c>
      <c r="Z242" s="17" t="e">
        <f t="shared" ref="Z242:Z250" si="336">+L242/R242</f>
        <v>#DIV/0!</v>
      </c>
      <c r="AA242" s="17" t="e">
        <f t="shared" ref="AA242:AA250" si="337">+N242/R242</f>
        <v>#DIV/0!</v>
      </c>
      <c r="AB242" s="17" t="e">
        <f t="shared" ref="AB242:AB250" si="338">+P242/R242</f>
        <v>#DIV/0!</v>
      </c>
      <c r="AD242" s="30"/>
      <c r="AE242" s="30"/>
      <c r="AF242" s="31"/>
      <c r="AG242" s="32"/>
      <c r="AI242" s="2" t="s">
        <v>8</v>
      </c>
      <c r="AJ242" s="2">
        <v>2020</v>
      </c>
      <c r="AK242" s="1">
        <f t="shared" si="328"/>
        <v>0</v>
      </c>
      <c r="AL242" s="11">
        <f t="shared" si="329"/>
        <v>0</v>
      </c>
      <c r="AM242" s="1">
        <f t="shared" si="330"/>
        <v>0</v>
      </c>
      <c r="AN242" s="11">
        <f t="shared" si="319"/>
        <v>0</v>
      </c>
      <c r="AO242" s="8">
        <f t="shared" si="320"/>
        <v>0</v>
      </c>
      <c r="AP242" s="11">
        <f t="shared" si="321"/>
        <v>0</v>
      </c>
      <c r="AQ242" s="8">
        <f t="shared" si="322"/>
        <v>0</v>
      </c>
      <c r="AR242" s="11">
        <f t="shared" si="323"/>
        <v>0</v>
      </c>
      <c r="AS242" s="8">
        <f t="shared" si="324"/>
        <v>0</v>
      </c>
      <c r="AT242" s="11">
        <f t="shared" si="325"/>
        <v>0</v>
      </c>
      <c r="AU242" s="8">
        <f t="shared" si="331"/>
        <v>0</v>
      </c>
      <c r="AV242" s="11">
        <f t="shared" si="326"/>
        <v>0</v>
      </c>
      <c r="AW242" t="str">
        <f t="shared" si="332"/>
        <v>IRAPUATO</v>
      </c>
      <c r="AX242" s="37">
        <f t="shared" si="333"/>
        <v>0</v>
      </c>
      <c r="AY242" s="37">
        <f t="shared" si="327"/>
        <v>0</v>
      </c>
    </row>
    <row r="243" spans="2:51" x14ac:dyDescent="0.25">
      <c r="B243" s="2" t="s">
        <v>9</v>
      </c>
      <c r="C243" s="2">
        <v>2020</v>
      </c>
      <c r="D243" s="1"/>
      <c r="E243" s="11"/>
      <c r="F243" s="1"/>
      <c r="G243" s="11"/>
      <c r="H243" s="1"/>
      <c r="I243" s="11"/>
      <c r="J243" s="1"/>
      <c r="K243" s="11"/>
      <c r="L243" s="1"/>
      <c r="M243" s="11"/>
      <c r="N243" s="1"/>
      <c r="O243" s="11"/>
      <c r="P243" s="8"/>
      <c r="Q243" s="11"/>
      <c r="R243" s="8">
        <f t="shared" si="316"/>
        <v>0</v>
      </c>
      <c r="S243" s="11">
        <f t="shared" si="317"/>
        <v>0</v>
      </c>
      <c r="T243" t="s">
        <v>68</v>
      </c>
      <c r="W243" s="17" t="e">
        <f>+(D243+H243)/R243</f>
        <v>#DIV/0!</v>
      </c>
      <c r="X243" s="17" t="e">
        <f t="shared" si="318"/>
        <v>#DIV/0!</v>
      </c>
      <c r="Y243" s="17" t="e">
        <f t="shared" si="335"/>
        <v>#DIV/0!</v>
      </c>
      <c r="Z243" s="17" t="e">
        <f t="shared" si="336"/>
        <v>#DIV/0!</v>
      </c>
      <c r="AA243" s="17" t="e">
        <f t="shared" si="337"/>
        <v>#DIV/0!</v>
      </c>
      <c r="AB243" s="17" t="e">
        <f t="shared" si="338"/>
        <v>#DIV/0!</v>
      </c>
      <c r="AD243" s="30"/>
      <c r="AE243" s="30"/>
      <c r="AF243" s="31"/>
      <c r="AG243" s="32"/>
      <c r="AI243" s="2" t="s">
        <v>9</v>
      </c>
      <c r="AJ243" s="2">
        <v>2020</v>
      </c>
      <c r="AK243" s="1">
        <f t="shared" si="328"/>
        <v>0</v>
      </c>
      <c r="AL243" s="11">
        <f t="shared" si="329"/>
        <v>0</v>
      </c>
      <c r="AM243" s="1">
        <f t="shared" si="330"/>
        <v>0</v>
      </c>
      <c r="AN243" s="11">
        <f t="shared" si="319"/>
        <v>0</v>
      </c>
      <c r="AO243" s="8">
        <f t="shared" si="320"/>
        <v>0</v>
      </c>
      <c r="AP243" s="11">
        <f t="shared" si="321"/>
        <v>0</v>
      </c>
      <c r="AQ243" s="8">
        <f t="shared" si="322"/>
        <v>0</v>
      </c>
      <c r="AR243" s="11">
        <f t="shared" si="323"/>
        <v>0</v>
      </c>
      <c r="AS243" s="8">
        <f t="shared" si="324"/>
        <v>0</v>
      </c>
      <c r="AT243" s="11">
        <f t="shared" si="325"/>
        <v>0</v>
      </c>
      <c r="AU243" s="8">
        <f t="shared" si="331"/>
        <v>0</v>
      </c>
      <c r="AV243" s="11">
        <f t="shared" si="326"/>
        <v>0</v>
      </c>
      <c r="AW243" t="str">
        <f t="shared" si="332"/>
        <v>IRAPUATO</v>
      </c>
      <c r="AX243" s="37">
        <f t="shared" si="333"/>
        <v>0</v>
      </c>
      <c r="AY243" s="37">
        <f t="shared" si="327"/>
        <v>0</v>
      </c>
    </row>
    <row r="244" spans="2:51" x14ac:dyDescent="0.25">
      <c r="B244" s="2" t="s">
        <v>10</v>
      </c>
      <c r="C244" s="2">
        <v>2020</v>
      </c>
      <c r="D244" s="1"/>
      <c r="E244" s="11"/>
      <c r="F244" s="1"/>
      <c r="G244" s="11"/>
      <c r="H244" s="1"/>
      <c r="I244" s="11"/>
      <c r="J244" s="1"/>
      <c r="K244" s="11"/>
      <c r="L244" s="1"/>
      <c r="M244" s="11"/>
      <c r="N244" s="1"/>
      <c r="O244" s="11"/>
      <c r="P244" s="8"/>
      <c r="Q244" s="11"/>
      <c r="R244" s="8">
        <f t="shared" si="316"/>
        <v>0</v>
      </c>
      <c r="S244" s="11">
        <f t="shared" si="317"/>
        <v>0</v>
      </c>
      <c r="T244" t="s">
        <v>68</v>
      </c>
      <c r="W244" s="17" t="e">
        <f t="shared" ref="W244:W250" si="339">+(D244+H244)/R244</f>
        <v>#DIV/0!</v>
      </c>
      <c r="X244" s="17" t="e">
        <f t="shared" si="318"/>
        <v>#DIV/0!</v>
      </c>
      <c r="Y244" s="17" t="e">
        <f t="shared" si="335"/>
        <v>#DIV/0!</v>
      </c>
      <c r="Z244" s="17" t="e">
        <f t="shared" si="336"/>
        <v>#DIV/0!</v>
      </c>
      <c r="AA244" s="17" t="e">
        <f t="shared" si="337"/>
        <v>#DIV/0!</v>
      </c>
      <c r="AB244" s="17" t="e">
        <f t="shared" si="338"/>
        <v>#DIV/0!</v>
      </c>
      <c r="AD244" s="30"/>
      <c r="AE244" s="30"/>
      <c r="AF244" s="31"/>
      <c r="AG244" s="32"/>
      <c r="AI244" s="2" t="s">
        <v>10</v>
      </c>
      <c r="AJ244" s="2">
        <v>2020</v>
      </c>
      <c r="AK244" s="1">
        <f t="shared" si="328"/>
        <v>0</v>
      </c>
      <c r="AL244" s="11">
        <f t="shared" si="329"/>
        <v>0</v>
      </c>
      <c r="AM244" s="1">
        <f t="shared" si="330"/>
        <v>0</v>
      </c>
      <c r="AN244" s="11">
        <f t="shared" si="319"/>
        <v>0</v>
      </c>
      <c r="AO244" s="8">
        <f t="shared" si="320"/>
        <v>0</v>
      </c>
      <c r="AP244" s="11">
        <f t="shared" si="321"/>
        <v>0</v>
      </c>
      <c r="AQ244" s="8">
        <f t="shared" si="322"/>
        <v>0</v>
      </c>
      <c r="AR244" s="11">
        <f t="shared" si="323"/>
        <v>0</v>
      </c>
      <c r="AS244" s="8">
        <f t="shared" si="324"/>
        <v>0</v>
      </c>
      <c r="AT244" s="11">
        <f t="shared" si="325"/>
        <v>0</v>
      </c>
      <c r="AU244" s="8">
        <f t="shared" si="331"/>
        <v>0</v>
      </c>
      <c r="AV244" s="11">
        <f t="shared" si="326"/>
        <v>0</v>
      </c>
      <c r="AW244" t="str">
        <f t="shared" si="332"/>
        <v>IRAPUATO</v>
      </c>
      <c r="AX244" s="37">
        <f t="shared" si="333"/>
        <v>0</v>
      </c>
      <c r="AY244" s="37">
        <f t="shared" si="327"/>
        <v>0</v>
      </c>
    </row>
    <row r="245" spans="2:51" x14ac:dyDescent="0.25">
      <c r="B245" s="2" t="s">
        <v>11</v>
      </c>
      <c r="C245" s="2">
        <v>2020</v>
      </c>
      <c r="D245" s="1"/>
      <c r="E245" s="11"/>
      <c r="F245" s="1"/>
      <c r="G245" s="11"/>
      <c r="H245" s="1"/>
      <c r="I245" s="11"/>
      <c r="J245" s="1"/>
      <c r="K245" s="11"/>
      <c r="L245" s="1"/>
      <c r="M245" s="11"/>
      <c r="N245" s="1"/>
      <c r="O245" s="11"/>
      <c r="P245" s="8"/>
      <c r="Q245" s="11"/>
      <c r="R245" s="8">
        <f t="shared" si="316"/>
        <v>0</v>
      </c>
      <c r="S245" s="11">
        <f t="shared" si="317"/>
        <v>0</v>
      </c>
      <c r="T245" t="s">
        <v>68</v>
      </c>
      <c r="W245" s="17" t="e">
        <f t="shared" si="339"/>
        <v>#DIV/0!</v>
      </c>
      <c r="X245" s="17" t="e">
        <f t="shared" si="318"/>
        <v>#DIV/0!</v>
      </c>
      <c r="Y245" s="17" t="e">
        <f t="shared" si="335"/>
        <v>#DIV/0!</v>
      </c>
      <c r="Z245" s="17" t="e">
        <f t="shared" si="336"/>
        <v>#DIV/0!</v>
      </c>
      <c r="AA245" s="17" t="e">
        <f t="shared" si="337"/>
        <v>#DIV/0!</v>
      </c>
      <c r="AB245" s="17" t="e">
        <f t="shared" si="338"/>
        <v>#DIV/0!</v>
      </c>
      <c r="AD245" s="30"/>
      <c r="AE245" s="30"/>
      <c r="AF245" s="31"/>
      <c r="AG245" s="32"/>
      <c r="AI245" s="2" t="s">
        <v>11</v>
      </c>
      <c r="AJ245" s="2">
        <v>2020</v>
      </c>
      <c r="AK245" s="1">
        <f t="shared" si="328"/>
        <v>0</v>
      </c>
      <c r="AL245" s="11">
        <f t="shared" si="329"/>
        <v>0</v>
      </c>
      <c r="AM245" s="1">
        <f t="shared" si="330"/>
        <v>0</v>
      </c>
      <c r="AN245" s="11">
        <f t="shared" si="319"/>
        <v>0</v>
      </c>
      <c r="AO245" s="8">
        <f t="shared" si="320"/>
        <v>0</v>
      </c>
      <c r="AP245" s="11">
        <f t="shared" si="321"/>
        <v>0</v>
      </c>
      <c r="AQ245" s="8">
        <f t="shared" si="322"/>
        <v>0</v>
      </c>
      <c r="AR245" s="11">
        <f t="shared" si="323"/>
        <v>0</v>
      </c>
      <c r="AS245" s="8">
        <f t="shared" si="324"/>
        <v>0</v>
      </c>
      <c r="AT245" s="11">
        <f t="shared" si="325"/>
        <v>0</v>
      </c>
      <c r="AU245" s="8">
        <f t="shared" si="331"/>
        <v>0</v>
      </c>
      <c r="AV245" s="11">
        <f t="shared" si="326"/>
        <v>0</v>
      </c>
      <c r="AW245" t="str">
        <f t="shared" si="332"/>
        <v>IRAPUATO</v>
      </c>
      <c r="AX245" s="37">
        <f t="shared" si="333"/>
        <v>0</v>
      </c>
      <c r="AY245" s="37">
        <f t="shared" si="327"/>
        <v>0</v>
      </c>
    </row>
    <row r="246" spans="2:51" x14ac:dyDescent="0.25">
      <c r="B246" s="2" t="s">
        <v>4</v>
      </c>
      <c r="C246" s="2">
        <v>2020</v>
      </c>
      <c r="D246" s="1">
        <v>22</v>
      </c>
      <c r="E246" s="11">
        <v>1111</v>
      </c>
      <c r="F246" s="1">
        <v>19</v>
      </c>
      <c r="G246" s="11">
        <v>1560</v>
      </c>
      <c r="H246" s="1">
        <v>13</v>
      </c>
      <c r="I246" s="11">
        <v>990</v>
      </c>
      <c r="J246" s="1">
        <v>1964</v>
      </c>
      <c r="K246" s="11">
        <v>150777</v>
      </c>
      <c r="L246" s="1">
        <v>119</v>
      </c>
      <c r="M246" s="11">
        <v>9232</v>
      </c>
      <c r="N246" s="1">
        <v>86</v>
      </c>
      <c r="O246" s="11">
        <v>7863</v>
      </c>
      <c r="P246" s="8">
        <v>0</v>
      </c>
      <c r="Q246" s="11">
        <v>0</v>
      </c>
      <c r="R246" s="8">
        <f t="shared" si="316"/>
        <v>2223</v>
      </c>
      <c r="S246" s="11">
        <f t="shared" si="317"/>
        <v>171533</v>
      </c>
      <c r="T246" t="s">
        <v>68</v>
      </c>
      <c r="U246" s="38"/>
      <c r="W246" s="17">
        <f t="shared" si="339"/>
        <v>1.5744489428699954E-2</v>
      </c>
      <c r="X246" s="17">
        <f t="shared" si="318"/>
        <v>0.98425551057130001</v>
      </c>
      <c r="Y246" s="17">
        <f t="shared" si="335"/>
        <v>0.88349077822762034</v>
      </c>
      <c r="Z246" s="17">
        <f t="shared" si="336"/>
        <v>5.3531264057579846E-2</v>
      </c>
      <c r="AA246" s="17">
        <f t="shared" si="337"/>
        <v>3.8686459739091315E-2</v>
      </c>
      <c r="AB246" s="17">
        <f t="shared" si="338"/>
        <v>0</v>
      </c>
      <c r="AD246" s="30">
        <v>1213.5</v>
      </c>
      <c r="AE246" s="30">
        <f t="shared" ref="AE246:AE250" si="340">+AD246/J246</f>
        <v>0.61787169042769863</v>
      </c>
      <c r="AF246" s="31">
        <v>1026.6599999999999</v>
      </c>
      <c r="AG246" s="36">
        <f t="shared" ref="AG246:AG250" si="341">+AF246/K246</f>
        <v>6.8091287132652847E-3</v>
      </c>
      <c r="AI246" s="2" t="s">
        <v>4</v>
      </c>
      <c r="AJ246" s="2">
        <v>2020</v>
      </c>
      <c r="AK246" s="1">
        <f t="shared" si="328"/>
        <v>35</v>
      </c>
      <c r="AL246" s="11">
        <f t="shared" si="329"/>
        <v>2101</v>
      </c>
      <c r="AM246" s="1">
        <f t="shared" si="330"/>
        <v>1964</v>
      </c>
      <c r="AN246" s="11">
        <f t="shared" si="319"/>
        <v>150777</v>
      </c>
      <c r="AO246" s="8">
        <f t="shared" si="320"/>
        <v>119</v>
      </c>
      <c r="AP246" s="11">
        <f t="shared" si="321"/>
        <v>9232</v>
      </c>
      <c r="AQ246" s="8">
        <f t="shared" si="322"/>
        <v>86</v>
      </c>
      <c r="AR246" s="11">
        <f t="shared" si="323"/>
        <v>7863</v>
      </c>
      <c r="AS246" s="8">
        <f t="shared" si="324"/>
        <v>0</v>
      </c>
      <c r="AT246" s="11">
        <f t="shared" si="325"/>
        <v>0</v>
      </c>
      <c r="AU246" s="8">
        <f t="shared" si="331"/>
        <v>2204</v>
      </c>
      <c r="AV246" s="11">
        <f t="shared" si="326"/>
        <v>169973</v>
      </c>
      <c r="AW246" t="str">
        <f t="shared" si="332"/>
        <v>IRAPUATO</v>
      </c>
      <c r="AX246" s="37">
        <f t="shared" si="333"/>
        <v>-19</v>
      </c>
      <c r="AY246" s="37">
        <f t="shared" si="327"/>
        <v>-1560</v>
      </c>
    </row>
    <row r="247" spans="2:51" x14ac:dyDescent="0.25">
      <c r="B247" s="2" t="s">
        <v>28</v>
      </c>
      <c r="C247" s="2">
        <v>2020</v>
      </c>
      <c r="D247" s="1">
        <v>194</v>
      </c>
      <c r="E247" s="11">
        <v>10314</v>
      </c>
      <c r="F247" s="1">
        <v>95</v>
      </c>
      <c r="G247" s="11">
        <v>7819</v>
      </c>
      <c r="H247" s="1">
        <v>29</v>
      </c>
      <c r="I247" s="11">
        <v>1873</v>
      </c>
      <c r="J247" s="1">
        <v>9981</v>
      </c>
      <c r="K247" s="11">
        <v>750117</v>
      </c>
      <c r="L247" s="1">
        <v>857</v>
      </c>
      <c r="M247" s="11">
        <v>72377</v>
      </c>
      <c r="N247" s="1">
        <v>366</v>
      </c>
      <c r="O247" s="11">
        <v>32852</v>
      </c>
      <c r="P247" s="8">
        <v>0</v>
      </c>
      <c r="Q247" s="11">
        <v>0</v>
      </c>
      <c r="R247" s="8">
        <f t="shared" si="316"/>
        <v>11522</v>
      </c>
      <c r="S247" s="11">
        <f t="shared" si="317"/>
        <v>875352</v>
      </c>
      <c r="T247" t="s">
        <v>68</v>
      </c>
      <c r="W247" s="17">
        <f t="shared" si="339"/>
        <v>1.9354278771046694E-2</v>
      </c>
      <c r="X247" s="17">
        <f t="shared" si="318"/>
        <v>0.98064572122895333</v>
      </c>
      <c r="Y247" s="17">
        <f t="shared" si="335"/>
        <v>0.86625585835792396</v>
      </c>
      <c r="Z247" s="17">
        <f t="shared" si="336"/>
        <v>7.4379448012497837E-2</v>
      </c>
      <c r="AA247" s="17">
        <f t="shared" si="337"/>
        <v>3.1765318521090088E-2</v>
      </c>
      <c r="AB247" s="17">
        <f t="shared" si="338"/>
        <v>0</v>
      </c>
      <c r="AD247" s="30">
        <v>6285.9299999999994</v>
      </c>
      <c r="AE247" s="30">
        <f t="shared" si="340"/>
        <v>0.62978960024045683</v>
      </c>
      <c r="AF247" s="31">
        <v>4587.3850000000002</v>
      </c>
      <c r="AG247" s="32">
        <f t="shared" si="341"/>
        <v>6.115559306081585E-3</v>
      </c>
      <c r="AI247" s="2" t="s">
        <v>28</v>
      </c>
      <c r="AJ247" s="2">
        <v>2020</v>
      </c>
      <c r="AK247" s="1">
        <f t="shared" si="328"/>
        <v>223</v>
      </c>
      <c r="AL247" s="11">
        <f t="shared" si="329"/>
        <v>12187</v>
      </c>
      <c r="AM247" s="1">
        <f t="shared" si="330"/>
        <v>9981</v>
      </c>
      <c r="AN247" s="11">
        <f t="shared" si="319"/>
        <v>750117</v>
      </c>
      <c r="AO247" s="8">
        <f t="shared" si="320"/>
        <v>857</v>
      </c>
      <c r="AP247" s="11">
        <f t="shared" si="321"/>
        <v>72377</v>
      </c>
      <c r="AQ247" s="8">
        <f t="shared" si="322"/>
        <v>366</v>
      </c>
      <c r="AR247" s="11">
        <f t="shared" si="323"/>
        <v>32852</v>
      </c>
      <c r="AS247" s="8">
        <f t="shared" si="324"/>
        <v>0</v>
      </c>
      <c r="AT247" s="11">
        <f t="shared" si="325"/>
        <v>0</v>
      </c>
      <c r="AU247" s="8">
        <f t="shared" si="331"/>
        <v>11427</v>
      </c>
      <c r="AV247" s="11">
        <f t="shared" si="326"/>
        <v>867533</v>
      </c>
      <c r="AW247" t="str">
        <f t="shared" si="332"/>
        <v>IRAPUATO</v>
      </c>
      <c r="AX247" s="37">
        <f t="shared" si="333"/>
        <v>-95</v>
      </c>
      <c r="AY247" s="37">
        <f t="shared" si="327"/>
        <v>-7819</v>
      </c>
    </row>
    <row r="248" spans="2:51" x14ac:dyDescent="0.25">
      <c r="B248" s="2" t="s">
        <v>29</v>
      </c>
      <c r="C248" s="2">
        <v>2020</v>
      </c>
      <c r="D248" s="1">
        <v>324</v>
      </c>
      <c r="E248" s="11">
        <v>14917</v>
      </c>
      <c r="F248" s="1">
        <v>124</v>
      </c>
      <c r="G248" s="11">
        <v>11062</v>
      </c>
      <c r="H248" s="1">
        <v>24</v>
      </c>
      <c r="I248" s="11">
        <v>1148</v>
      </c>
      <c r="J248" s="1">
        <v>14153</v>
      </c>
      <c r="K248" s="11">
        <v>1057189</v>
      </c>
      <c r="L248" s="1">
        <v>1036</v>
      </c>
      <c r="M248" s="11">
        <v>88881</v>
      </c>
      <c r="N248" s="1">
        <v>433</v>
      </c>
      <c r="O248" s="11">
        <v>39400</v>
      </c>
      <c r="P248" s="8">
        <v>0</v>
      </c>
      <c r="Q248" s="11">
        <v>0</v>
      </c>
      <c r="R248" s="8">
        <f t="shared" si="316"/>
        <v>16094</v>
      </c>
      <c r="S248" s="11">
        <f t="shared" si="317"/>
        <v>1212597</v>
      </c>
      <c r="T248" t="s">
        <v>68</v>
      </c>
      <c r="W248" s="17">
        <f t="shared" si="339"/>
        <v>2.1622965080154096E-2</v>
      </c>
      <c r="X248" s="17">
        <f t="shared" si="318"/>
        <v>0.97837703491984596</v>
      </c>
      <c r="Y248" s="17">
        <f t="shared" si="335"/>
        <v>0.87939604821672668</v>
      </c>
      <c r="Z248" s="17">
        <f t="shared" si="336"/>
        <v>6.4371815583447248E-2</v>
      </c>
      <c r="AA248" s="17">
        <f t="shared" si="337"/>
        <v>2.6904436435938858E-2</v>
      </c>
      <c r="AB248" s="17">
        <f t="shared" si="338"/>
        <v>0</v>
      </c>
      <c r="AD248" s="30">
        <v>8951.18</v>
      </c>
      <c r="AE248" s="30">
        <f t="shared" si="340"/>
        <v>0.63245813608422241</v>
      </c>
      <c r="AF248" s="31">
        <v>6396.8249999999998</v>
      </c>
      <c r="AG248" s="32">
        <f t="shared" si="341"/>
        <v>6.0507865670187634E-3</v>
      </c>
      <c r="AI248" s="2" t="s">
        <v>29</v>
      </c>
      <c r="AJ248" s="2">
        <v>2020</v>
      </c>
      <c r="AK248" s="1">
        <f t="shared" si="328"/>
        <v>348</v>
      </c>
      <c r="AL248" s="11">
        <f t="shared" si="329"/>
        <v>16065</v>
      </c>
      <c r="AM248" s="1">
        <f t="shared" si="330"/>
        <v>14153</v>
      </c>
      <c r="AN248" s="11">
        <f t="shared" si="319"/>
        <v>1057189</v>
      </c>
      <c r="AO248" s="8">
        <f t="shared" si="320"/>
        <v>1036</v>
      </c>
      <c r="AP248" s="11">
        <f t="shared" si="321"/>
        <v>88881</v>
      </c>
      <c r="AQ248" s="8">
        <f t="shared" si="322"/>
        <v>433</v>
      </c>
      <c r="AR248" s="11">
        <f t="shared" si="323"/>
        <v>39400</v>
      </c>
      <c r="AS248" s="8">
        <f t="shared" si="324"/>
        <v>0</v>
      </c>
      <c r="AT248" s="11">
        <f t="shared" si="325"/>
        <v>0</v>
      </c>
      <c r="AU248" s="8">
        <f t="shared" si="331"/>
        <v>15970</v>
      </c>
      <c r="AV248" s="11">
        <f t="shared" si="326"/>
        <v>1201535</v>
      </c>
      <c r="AW248" t="str">
        <f t="shared" si="332"/>
        <v>IRAPUATO</v>
      </c>
      <c r="AX248" s="37">
        <f t="shared" si="333"/>
        <v>-124</v>
      </c>
      <c r="AY248" s="37">
        <f t="shared" si="327"/>
        <v>-11062</v>
      </c>
    </row>
    <row r="249" spans="2:51" x14ac:dyDescent="0.25">
      <c r="B249" s="2" t="s">
        <v>30</v>
      </c>
      <c r="C249" s="2">
        <v>2020</v>
      </c>
      <c r="D249" s="1">
        <v>259</v>
      </c>
      <c r="E249" s="11">
        <v>13202</v>
      </c>
      <c r="F249" s="1">
        <v>128</v>
      </c>
      <c r="G249" s="11">
        <v>10018</v>
      </c>
      <c r="H249" s="1">
        <v>39</v>
      </c>
      <c r="I249" s="11">
        <v>2157</v>
      </c>
      <c r="J249" s="1">
        <v>16045</v>
      </c>
      <c r="K249" s="11">
        <v>1232541</v>
      </c>
      <c r="L249" s="1">
        <v>1073</v>
      </c>
      <c r="M249" s="11">
        <v>91002</v>
      </c>
      <c r="N249" s="1">
        <v>525</v>
      </c>
      <c r="O249" s="11">
        <v>46595</v>
      </c>
      <c r="P249" s="8">
        <v>0</v>
      </c>
      <c r="Q249" s="11">
        <v>0</v>
      </c>
      <c r="R249" s="8">
        <f t="shared" si="316"/>
        <v>18069</v>
      </c>
      <c r="S249" s="11">
        <f t="shared" si="317"/>
        <v>1395515</v>
      </c>
      <c r="T249" t="s">
        <v>68</v>
      </c>
      <c r="W249" s="17">
        <f t="shared" si="339"/>
        <v>1.6492334938292101E-2</v>
      </c>
      <c r="X249" s="17">
        <f t="shared" si="318"/>
        <v>0.98350766506170795</v>
      </c>
      <c r="Y249" s="17">
        <f t="shared" si="335"/>
        <v>0.88798494659361338</v>
      </c>
      <c r="Z249" s="17">
        <f t="shared" si="336"/>
        <v>5.9383474459018211E-2</v>
      </c>
      <c r="AA249" s="17">
        <f t="shared" si="337"/>
        <v>2.905528806242736E-2</v>
      </c>
      <c r="AB249" s="17">
        <f t="shared" si="338"/>
        <v>0</v>
      </c>
      <c r="AD249" s="30">
        <v>10477.77</v>
      </c>
      <c r="AE249" s="30">
        <f t="shared" si="340"/>
        <v>0.65302399501402308</v>
      </c>
      <c r="AF249" s="31">
        <v>6800.9825000000001</v>
      </c>
      <c r="AG249" s="36">
        <f t="shared" si="341"/>
        <v>5.5178549841344024E-3</v>
      </c>
      <c r="AI249" s="2" t="s">
        <v>30</v>
      </c>
      <c r="AJ249" s="2">
        <v>2020</v>
      </c>
      <c r="AK249" s="1">
        <f t="shared" si="328"/>
        <v>298</v>
      </c>
      <c r="AL249" s="11">
        <f t="shared" si="329"/>
        <v>15359</v>
      </c>
      <c r="AM249" s="1">
        <f t="shared" si="330"/>
        <v>16045</v>
      </c>
      <c r="AN249" s="11">
        <f t="shared" si="319"/>
        <v>1232541</v>
      </c>
      <c r="AO249" s="8">
        <f t="shared" si="320"/>
        <v>1073</v>
      </c>
      <c r="AP249" s="11">
        <f t="shared" si="321"/>
        <v>91002</v>
      </c>
      <c r="AQ249" s="8">
        <f t="shared" si="322"/>
        <v>525</v>
      </c>
      <c r="AR249" s="11">
        <f t="shared" si="323"/>
        <v>46595</v>
      </c>
      <c r="AS249" s="8">
        <f t="shared" si="324"/>
        <v>0</v>
      </c>
      <c r="AT249" s="11">
        <f t="shared" si="325"/>
        <v>0</v>
      </c>
      <c r="AU249" s="8">
        <f t="shared" si="331"/>
        <v>17941</v>
      </c>
      <c r="AV249" s="11">
        <f t="shared" si="326"/>
        <v>1385497</v>
      </c>
      <c r="AW249" t="str">
        <f t="shared" si="332"/>
        <v>IRAPUATO</v>
      </c>
      <c r="AX249" s="37">
        <f t="shared" si="333"/>
        <v>-128</v>
      </c>
      <c r="AY249" s="37">
        <f t="shared" si="327"/>
        <v>-10018</v>
      </c>
    </row>
    <row r="250" spans="2:51" x14ac:dyDescent="0.25">
      <c r="B250" s="2" t="s">
        <v>31</v>
      </c>
      <c r="C250" s="2">
        <v>2020</v>
      </c>
      <c r="D250" s="1">
        <v>312</v>
      </c>
      <c r="E250" s="11">
        <v>16015</v>
      </c>
      <c r="F250" s="1">
        <v>107</v>
      </c>
      <c r="G250" s="11">
        <v>7939</v>
      </c>
      <c r="H250" s="1">
        <v>23</v>
      </c>
      <c r="I250" s="11">
        <v>1253</v>
      </c>
      <c r="J250" s="1">
        <v>15535</v>
      </c>
      <c r="K250" s="11">
        <v>1157563</v>
      </c>
      <c r="L250" s="1">
        <v>1194</v>
      </c>
      <c r="M250" s="11">
        <v>105493</v>
      </c>
      <c r="N250" s="1">
        <v>466</v>
      </c>
      <c r="O250" s="11">
        <v>39684</v>
      </c>
      <c r="P250" s="8">
        <v>0</v>
      </c>
      <c r="Q250" s="11">
        <v>0</v>
      </c>
      <c r="R250" s="8">
        <f t="shared" si="316"/>
        <v>17637</v>
      </c>
      <c r="S250" s="11">
        <f t="shared" si="317"/>
        <v>1327947</v>
      </c>
      <c r="T250" t="s">
        <v>68</v>
      </c>
      <c r="W250" s="17">
        <f t="shared" si="339"/>
        <v>1.899416000453592E-2</v>
      </c>
      <c r="X250" s="17">
        <f t="shared" si="318"/>
        <v>0.98100583999546409</v>
      </c>
      <c r="Y250" s="17">
        <f t="shared" si="335"/>
        <v>0.88081873334467309</v>
      </c>
      <c r="Z250" s="17">
        <f t="shared" si="336"/>
        <v>6.7698588195271303E-2</v>
      </c>
      <c r="AA250" s="17">
        <f t="shared" si="337"/>
        <v>2.6421727051085784E-2</v>
      </c>
      <c r="AB250" s="17">
        <f t="shared" si="338"/>
        <v>0</v>
      </c>
      <c r="AD250" s="30">
        <v>9872.68</v>
      </c>
      <c r="AE250" s="30">
        <f t="shared" si="340"/>
        <v>0.63551206952043771</v>
      </c>
      <c r="AF250" s="31">
        <v>7039.17</v>
      </c>
      <c r="AG250" s="32">
        <f t="shared" si="341"/>
        <v>6.0810253955940197E-3</v>
      </c>
      <c r="AI250" s="2" t="s">
        <v>31</v>
      </c>
      <c r="AJ250" s="2">
        <v>2020</v>
      </c>
      <c r="AK250" s="1">
        <f t="shared" si="328"/>
        <v>335</v>
      </c>
      <c r="AL250" s="11">
        <f t="shared" si="329"/>
        <v>17268</v>
      </c>
      <c r="AM250" s="1">
        <f t="shared" si="330"/>
        <v>15535</v>
      </c>
      <c r="AN250" s="11">
        <f t="shared" si="319"/>
        <v>1157563</v>
      </c>
      <c r="AO250" s="8">
        <f t="shared" si="320"/>
        <v>1194</v>
      </c>
      <c r="AP250" s="11">
        <f t="shared" si="321"/>
        <v>105493</v>
      </c>
      <c r="AQ250" s="8">
        <f t="shared" si="322"/>
        <v>466</v>
      </c>
      <c r="AR250" s="11">
        <f t="shared" si="323"/>
        <v>39684</v>
      </c>
      <c r="AS250" s="8">
        <f t="shared" si="324"/>
        <v>0</v>
      </c>
      <c r="AT250" s="11">
        <f t="shared" si="325"/>
        <v>0</v>
      </c>
      <c r="AU250" s="8">
        <f t="shared" si="331"/>
        <v>17530</v>
      </c>
      <c r="AV250" s="11">
        <f t="shared" si="326"/>
        <v>1320008</v>
      </c>
      <c r="AW250" t="str">
        <f t="shared" si="332"/>
        <v>IRAPUATO</v>
      </c>
      <c r="AX250" s="37">
        <f t="shared" si="333"/>
        <v>-107</v>
      </c>
      <c r="AY250" s="37">
        <f t="shared" si="327"/>
        <v>-7939</v>
      </c>
    </row>
    <row r="251" spans="2:51" x14ac:dyDescent="0.25">
      <c r="W251" s="18"/>
      <c r="X251" s="19"/>
      <c r="Y251" s="18"/>
      <c r="Z251" s="18"/>
      <c r="AA251" s="18"/>
      <c r="AB251" s="18"/>
      <c r="AL251" s="9"/>
      <c r="AN251" s="9"/>
      <c r="AP251" s="9"/>
      <c r="AR251" s="9"/>
      <c r="AS251" s="9"/>
      <c r="AT251" s="9"/>
      <c r="AV251" s="9"/>
    </row>
    <row r="252" spans="2:51" x14ac:dyDescent="0.25">
      <c r="B252" s="3" t="s">
        <v>12</v>
      </c>
      <c r="C252" s="3"/>
      <c r="D252" s="4">
        <f t="shared" ref="D252:S252" si="342">SUM(D239:D251)</f>
        <v>1111</v>
      </c>
      <c r="E252" s="12">
        <f t="shared" si="342"/>
        <v>55559</v>
      </c>
      <c r="F252" s="4">
        <f t="shared" si="342"/>
        <v>473</v>
      </c>
      <c r="G252" s="12">
        <f t="shared" si="342"/>
        <v>38398</v>
      </c>
      <c r="H252" s="4">
        <f t="shared" si="342"/>
        <v>128</v>
      </c>
      <c r="I252" s="12">
        <f t="shared" si="342"/>
        <v>7421</v>
      </c>
      <c r="J252" s="4">
        <f t="shared" si="342"/>
        <v>57678</v>
      </c>
      <c r="K252" s="12">
        <f t="shared" si="342"/>
        <v>4348187</v>
      </c>
      <c r="L252" s="4">
        <f t="shared" si="342"/>
        <v>4279</v>
      </c>
      <c r="M252" s="12">
        <f t="shared" si="342"/>
        <v>366985</v>
      </c>
      <c r="N252" s="4">
        <f t="shared" si="342"/>
        <v>1876</v>
      </c>
      <c r="O252" s="12">
        <f t="shared" si="342"/>
        <v>166394</v>
      </c>
      <c r="P252" s="4">
        <f t="shared" si="342"/>
        <v>0</v>
      </c>
      <c r="Q252" s="12">
        <f t="shared" si="342"/>
        <v>0</v>
      </c>
      <c r="R252" s="4">
        <f t="shared" si="342"/>
        <v>65545</v>
      </c>
      <c r="S252" s="12">
        <f t="shared" si="342"/>
        <v>4982944</v>
      </c>
      <c r="W252" s="16">
        <f>+(D252+H252)/R252</f>
        <v>1.890304371042795E-2</v>
      </c>
      <c r="X252" s="16">
        <f>1-W252</f>
        <v>0.98109695628957205</v>
      </c>
      <c r="Y252" s="16">
        <f>+J252/R252</f>
        <v>0.87997558928980091</v>
      </c>
      <c r="Z252" s="16">
        <f>+L252/R252</f>
        <v>6.5283393088717681E-2</v>
      </c>
      <c r="AA252" s="16">
        <f>+N252/R252</f>
        <v>2.862155770844458E-2</v>
      </c>
      <c r="AB252" s="16">
        <f>+P252/R252</f>
        <v>0</v>
      </c>
      <c r="AD252" s="12">
        <f>AVERAGE(AD239:AD251)</f>
        <v>7360.2119999999995</v>
      </c>
      <c r="AE252" s="12">
        <f t="shared" ref="AE252:AG252" si="343">AVERAGE(AE239:AE251)</f>
        <v>0.63373109825736784</v>
      </c>
      <c r="AF252" s="12">
        <f t="shared" si="343"/>
        <v>5170.2044999999998</v>
      </c>
      <c r="AG252" s="16">
        <f t="shared" si="343"/>
        <v>6.1148709932188107E-3</v>
      </c>
      <c r="AI252" s="3" t="s">
        <v>12</v>
      </c>
      <c r="AJ252" s="3"/>
      <c r="AK252" s="4">
        <f t="shared" ref="AK252:AV252" si="344">SUM(AK239:AK251)</f>
        <v>1239</v>
      </c>
      <c r="AL252" s="12">
        <f t="shared" si="344"/>
        <v>62980</v>
      </c>
      <c r="AM252" s="4">
        <f t="shared" si="344"/>
        <v>57678</v>
      </c>
      <c r="AN252" s="12">
        <f t="shared" si="344"/>
        <v>4348187</v>
      </c>
      <c r="AO252" s="4">
        <f t="shared" si="344"/>
        <v>4279</v>
      </c>
      <c r="AP252" s="12">
        <f t="shared" si="344"/>
        <v>366985</v>
      </c>
      <c r="AQ252" s="4">
        <f t="shared" si="344"/>
        <v>1876</v>
      </c>
      <c r="AR252" s="12">
        <f t="shared" si="344"/>
        <v>166394</v>
      </c>
      <c r="AS252" s="4">
        <f t="shared" si="344"/>
        <v>0</v>
      </c>
      <c r="AT252" s="12">
        <f t="shared" si="344"/>
        <v>0</v>
      </c>
      <c r="AU252" s="4">
        <f t="shared" si="344"/>
        <v>65072</v>
      </c>
      <c r="AV252" s="12">
        <f t="shared" si="344"/>
        <v>4944546</v>
      </c>
    </row>
    <row r="253" spans="2:51" x14ac:dyDescent="0.25">
      <c r="L253" s="28">
        <f>AVERAGE(L239:L248)</f>
        <v>670.66666666666663</v>
      </c>
      <c r="M253" s="28">
        <f>AVERAGE(M239:M248)</f>
        <v>56830</v>
      </c>
      <c r="R253" s="28">
        <f>AVERAGE(R239:R248)</f>
        <v>2983.9</v>
      </c>
      <c r="S253" s="28">
        <f>AVERAGE(S239:S248)</f>
        <v>225948.2</v>
      </c>
      <c r="T253" s="29"/>
    </row>
    <row r="254" spans="2:51" x14ac:dyDescent="0.25">
      <c r="B254" s="5" t="s">
        <v>14</v>
      </c>
      <c r="L254" s="28"/>
      <c r="M254" s="28"/>
      <c r="R254" s="44">
        <f>+L253/R253</f>
        <v>0.22476177709261927</v>
      </c>
      <c r="S254" s="44">
        <f>+M253/S253</f>
        <v>0.25151782576714482</v>
      </c>
    </row>
    <row r="255" spans="2:51" x14ac:dyDescent="0.25">
      <c r="B255" s="5" t="s">
        <v>33</v>
      </c>
      <c r="M255" s="26"/>
    </row>
    <row r="256" spans="2:51" x14ac:dyDescent="0.25">
      <c r="B256" s="5"/>
    </row>
    <row r="257" spans="1:63" x14ac:dyDescent="0.25">
      <c r="D257" s="89" t="s">
        <v>15</v>
      </c>
      <c r="E257" s="90"/>
      <c r="F257" s="89" t="s">
        <v>15</v>
      </c>
      <c r="G257" s="90"/>
      <c r="H257" s="89" t="s">
        <v>16</v>
      </c>
      <c r="I257" s="90"/>
      <c r="J257" s="89" t="s">
        <v>17</v>
      </c>
      <c r="K257" s="93"/>
      <c r="L257" s="89" t="s">
        <v>18</v>
      </c>
      <c r="M257" s="93"/>
      <c r="N257" s="89" t="s">
        <v>13</v>
      </c>
      <c r="O257" s="93"/>
      <c r="P257" s="89" t="s">
        <v>34</v>
      </c>
      <c r="Q257" s="93"/>
      <c r="R257" s="89" t="s">
        <v>46</v>
      </c>
      <c r="S257" s="93"/>
      <c r="T257" s="89" t="s">
        <v>44</v>
      </c>
      <c r="U257" s="93"/>
      <c r="W257" s="94" t="s">
        <v>42</v>
      </c>
      <c r="X257" s="94"/>
      <c r="Y257" s="94"/>
      <c r="Z257" s="94"/>
      <c r="AA257" s="94"/>
      <c r="AB257" s="92"/>
      <c r="AK257" s="89" t="s">
        <v>69</v>
      </c>
      <c r="AL257" s="90"/>
      <c r="AM257" s="89" t="s">
        <v>17</v>
      </c>
      <c r="AN257" s="93"/>
      <c r="AO257" s="89" t="s">
        <v>18</v>
      </c>
      <c r="AP257" s="93"/>
      <c r="AQ257" s="89" t="s">
        <v>13</v>
      </c>
      <c r="AR257" s="93"/>
      <c r="AS257" s="89" t="s">
        <v>34</v>
      </c>
      <c r="AT257" s="93"/>
      <c r="AU257" s="89" t="s">
        <v>12</v>
      </c>
      <c r="AV257" s="93"/>
    </row>
    <row r="258" spans="1:63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W258" s="7" t="s">
        <v>38</v>
      </c>
      <c r="X258" s="10" t="s">
        <v>39</v>
      </c>
      <c r="Y258" s="10" t="s">
        <v>40</v>
      </c>
      <c r="Z258" s="10" t="s">
        <v>18</v>
      </c>
      <c r="AA258" s="10" t="s">
        <v>13</v>
      </c>
      <c r="AB258" s="24" t="s">
        <v>41</v>
      </c>
      <c r="AI258" s="7" t="s">
        <v>0</v>
      </c>
      <c r="AJ258" s="7" t="s">
        <v>1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  <c r="AU258" s="7" t="s">
        <v>2</v>
      </c>
      <c r="AV258" s="10" t="s">
        <v>3</v>
      </c>
    </row>
    <row r="259" spans="1:63" x14ac:dyDescent="0.25">
      <c r="R259" s="9"/>
      <c r="U259" s="9"/>
      <c r="X259" s="9"/>
      <c r="AL259" s="9"/>
      <c r="AN259" s="9"/>
      <c r="AP259" s="9"/>
      <c r="AR259" s="9"/>
      <c r="AS259" s="9"/>
      <c r="AT259" s="9"/>
      <c r="AV259" s="9"/>
    </row>
    <row r="260" spans="1:63" x14ac:dyDescent="0.25">
      <c r="B260" s="2" t="s">
        <v>5</v>
      </c>
      <c r="C260" s="2">
        <v>2020</v>
      </c>
      <c r="D260" s="1">
        <f>+D92+D71+D50+D29+D8+D113+D134+D155+D176+D197+D218+D239</f>
        <v>2099238</v>
      </c>
      <c r="E260" s="11">
        <f t="shared" ref="E260:Q260" si="345">+E92+E71+E50+E29+E8+E113+E134+E155+E176+E197+E218+E239</f>
        <v>83795726.049999997</v>
      </c>
      <c r="F260" s="1">
        <f>+F92+F71+F50+F29+F8+F113+F134+F155+F176+F197+F218+F239</f>
        <v>1158137</v>
      </c>
      <c r="G260" s="11">
        <f t="shared" ref="G260" si="346">+G92+G71+G50+G29+G8+G113+G134+G155+G176+G197+G218+G239</f>
        <v>45549870.159999996</v>
      </c>
      <c r="H260" s="1">
        <f t="shared" si="345"/>
        <v>190988</v>
      </c>
      <c r="I260" s="11">
        <f t="shared" si="345"/>
        <v>8200328.0899999999</v>
      </c>
      <c r="J260" s="1">
        <f t="shared" si="345"/>
        <v>8232073</v>
      </c>
      <c r="K260" s="11">
        <f t="shared" si="345"/>
        <v>472774169.79000008</v>
      </c>
      <c r="L260" s="8">
        <f t="shared" si="345"/>
        <v>565428</v>
      </c>
      <c r="M260" s="11">
        <f t="shared" si="345"/>
        <v>56985383.910000004</v>
      </c>
      <c r="N260" s="8">
        <f t="shared" si="345"/>
        <v>120170</v>
      </c>
      <c r="O260" s="11">
        <f t="shared" si="345"/>
        <v>10864176.620000001</v>
      </c>
      <c r="P260" s="8">
        <f t="shared" si="345"/>
        <v>277</v>
      </c>
      <c r="Q260" s="11">
        <f t="shared" si="345"/>
        <v>30516</v>
      </c>
      <c r="R260" s="8">
        <f>+R113</f>
        <v>38740</v>
      </c>
      <c r="S260" s="11">
        <f t="shared" ref="S260:S271" si="347">+S113</f>
        <v>2189928</v>
      </c>
      <c r="T260" s="8">
        <f>N260+L260+J260+H260+D260+P260+R260+F260</f>
        <v>12405051</v>
      </c>
      <c r="U260" s="11">
        <f>O260+M260+K260+I260+E260+Q260+S260+G260</f>
        <v>680390098.62</v>
      </c>
      <c r="W260" s="17">
        <f t="shared" ref="W260:W268" si="348">+(D260+H260+R260)/T260</f>
        <v>0.18774336357021024</v>
      </c>
      <c r="X260" s="17">
        <f t="shared" ref="X260:X268" si="349">1-W260</f>
        <v>0.81225663642978974</v>
      </c>
      <c r="Y260" s="17">
        <f t="shared" ref="Y260:Y268" si="350">+J260/T260</f>
        <v>0.66360654220607396</v>
      </c>
      <c r="Z260" s="17">
        <f t="shared" ref="Z260:Z268" si="351">+L260/T260</f>
        <v>4.5580465570032723E-2</v>
      </c>
      <c r="AA260" s="17">
        <f t="shared" ref="AA260:AA268" si="352">+N260/T260</f>
        <v>9.687183067606896E-3</v>
      </c>
      <c r="AB260" s="17">
        <f t="shared" ref="AB260:AB268" si="353">+P260/T260</f>
        <v>2.2329613961280771E-5</v>
      </c>
      <c r="AI260" s="2" t="s">
        <v>5</v>
      </c>
      <c r="AJ260" s="2">
        <v>2020</v>
      </c>
      <c r="AK260" s="1">
        <f>D260+H260+R260</f>
        <v>2328966</v>
      </c>
      <c r="AL260" s="11">
        <f t="shared" ref="AL260:AL271" si="354">E260+I260+S260</f>
        <v>94185982.140000001</v>
      </c>
      <c r="AM260" s="1">
        <f>+J260</f>
        <v>8232073</v>
      </c>
      <c r="AN260" s="11">
        <f t="shared" ref="AN260:AN271" si="355">+K260</f>
        <v>472774169.79000008</v>
      </c>
      <c r="AO260" s="8">
        <f t="shared" ref="AO260:AO271" si="356">+L260</f>
        <v>565428</v>
      </c>
      <c r="AP260" s="11">
        <f t="shared" ref="AP260:AP271" si="357">+M260</f>
        <v>56985383.910000004</v>
      </c>
      <c r="AQ260" s="8">
        <f t="shared" ref="AQ260:AQ271" si="358">+N260</f>
        <v>120170</v>
      </c>
      <c r="AR260" s="11">
        <f t="shared" ref="AR260:AR271" si="359">+O260</f>
        <v>10864176.620000001</v>
      </c>
      <c r="AS260" s="8">
        <f t="shared" ref="AS260:AS271" si="360">+P260</f>
        <v>277</v>
      </c>
      <c r="AT260" s="11">
        <f t="shared" ref="AT260:AT271" si="361">+Q260</f>
        <v>30516</v>
      </c>
      <c r="AU260" s="8">
        <f>AS260+AQ260+AO260+AM260+AK260</f>
        <v>11246914</v>
      </c>
      <c r="AV260" s="11">
        <f t="shared" ref="AV260:AV271" si="362">AT260+AR260+AP260+AN260+AL260</f>
        <v>634840228.46000004</v>
      </c>
      <c r="AW260" t="s">
        <v>70</v>
      </c>
      <c r="AX260" s="37">
        <f>+AU260-T260</f>
        <v>-1158137</v>
      </c>
      <c r="AY260" s="37">
        <f t="shared" ref="AY260:AY271" si="363">+AV260-U260</f>
        <v>-45549870.159999967</v>
      </c>
      <c r="AZ260" s="13">
        <f>K260+M260+O260+Q260</f>
        <v>540654246.32000005</v>
      </c>
      <c r="BA260" s="40">
        <f>(AZ260/$BK$260)/1000</f>
        <v>23006.563673191493</v>
      </c>
      <c r="BB260" s="40">
        <f>+BA260*30%</f>
        <v>6901.9691019574475</v>
      </c>
      <c r="BC260" s="13">
        <f>I260</f>
        <v>8200328.0899999999</v>
      </c>
      <c r="BD260" s="40">
        <f t="shared" ref="BD260:BD271" si="364">(BC260/$BK$260)/1000</f>
        <v>348.9501314893617</v>
      </c>
      <c r="BE260" s="40">
        <f>+BD260*0.3</f>
        <v>104.6850394468085</v>
      </c>
      <c r="BF260" s="13">
        <f>+E260+S260</f>
        <v>85985654.049999997</v>
      </c>
      <c r="BG260" s="40">
        <f t="shared" ref="BG260:BG271" si="365">(BF260/$BK$260)/1000</f>
        <v>3658.9640021276596</v>
      </c>
      <c r="BH260" s="40">
        <f>+BG260*0.3</f>
        <v>1097.6892006382977</v>
      </c>
      <c r="BJ260" s="41">
        <v>43861</v>
      </c>
      <c r="BK260" s="43">
        <v>23.5</v>
      </c>
    </row>
    <row r="261" spans="1:63" x14ac:dyDescent="0.25">
      <c r="B261" s="2" t="s">
        <v>6</v>
      </c>
      <c r="C261" s="2">
        <v>2020</v>
      </c>
      <c r="D261" s="1">
        <f t="shared" ref="D261:Q261" si="366">+D93+D72+D51+D30+D9+D114+D135+D156+D177+D198+D219+D240</f>
        <v>2044153</v>
      </c>
      <c r="E261" s="11">
        <f t="shared" si="366"/>
        <v>83935280.440000013</v>
      </c>
      <c r="F261" s="1">
        <f t="shared" ref="F261:G261" si="367">+F93+F72+F51+F30+F9+F114+F135+F156+F177+F198+F219+F240</f>
        <v>1227034</v>
      </c>
      <c r="G261" s="11">
        <f t="shared" si="367"/>
        <v>49507351.969999999</v>
      </c>
      <c r="H261" s="1">
        <f t="shared" si="366"/>
        <v>177333</v>
      </c>
      <c r="I261" s="11">
        <f t="shared" si="366"/>
        <v>7955327.5199999996</v>
      </c>
      <c r="J261" s="1">
        <f t="shared" si="366"/>
        <v>8158950</v>
      </c>
      <c r="K261" s="11">
        <f t="shared" si="366"/>
        <v>481756666.77999997</v>
      </c>
      <c r="L261" s="8">
        <f t="shared" si="366"/>
        <v>551778</v>
      </c>
      <c r="M261" s="11">
        <f t="shared" si="366"/>
        <v>57508638.240000002</v>
      </c>
      <c r="N261" s="8">
        <f t="shared" si="366"/>
        <v>118152</v>
      </c>
      <c r="O261" s="11">
        <f t="shared" si="366"/>
        <v>11139467.890000001</v>
      </c>
      <c r="P261" s="8">
        <f t="shared" si="366"/>
        <v>173</v>
      </c>
      <c r="Q261" s="11">
        <f t="shared" si="366"/>
        <v>18528</v>
      </c>
      <c r="R261" s="8">
        <f t="shared" ref="R261" si="368">+R114</f>
        <v>38330</v>
      </c>
      <c r="S261" s="11">
        <f t="shared" si="347"/>
        <v>2348085</v>
      </c>
      <c r="T261" s="8">
        <f t="shared" ref="T261:T271" si="369">N261+L261+J261+H261+D261+P261+R261+F261</f>
        <v>12315903</v>
      </c>
      <c r="U261" s="11">
        <f t="shared" ref="U261:U271" si="370">O261+M261+K261+I261+E261+Q261+S261+G261</f>
        <v>694169345.84000003</v>
      </c>
      <c r="W261" s="17">
        <f t="shared" si="348"/>
        <v>0.18348764195365944</v>
      </c>
      <c r="X261" s="17">
        <f t="shared" si="349"/>
        <v>0.81651235804634059</v>
      </c>
      <c r="Y261" s="17">
        <f t="shared" si="350"/>
        <v>0.66247273951410623</v>
      </c>
      <c r="Z261" s="17">
        <f t="shared" si="351"/>
        <v>4.4802074196264779E-2</v>
      </c>
      <c r="AA261" s="17">
        <f t="shared" si="352"/>
        <v>9.5934500296080607E-3</v>
      </c>
      <c r="AB261" s="17">
        <f t="shared" si="353"/>
        <v>1.4046879063597692E-5</v>
      </c>
      <c r="AI261" s="2" t="s">
        <v>6</v>
      </c>
      <c r="AJ261" s="2">
        <v>2020</v>
      </c>
      <c r="AK261" s="1">
        <f t="shared" ref="AK261:AK271" si="371">D261+H261+R261</f>
        <v>2259816</v>
      </c>
      <c r="AL261" s="11">
        <f t="shared" si="354"/>
        <v>94238692.960000008</v>
      </c>
      <c r="AM261" s="1">
        <f t="shared" ref="AM261:AM271" si="372">+J261</f>
        <v>8158950</v>
      </c>
      <c r="AN261" s="11">
        <f t="shared" si="355"/>
        <v>481756666.77999997</v>
      </c>
      <c r="AO261" s="8">
        <f t="shared" si="356"/>
        <v>551778</v>
      </c>
      <c r="AP261" s="11">
        <f t="shared" si="357"/>
        <v>57508638.240000002</v>
      </c>
      <c r="AQ261" s="8">
        <f t="shared" si="358"/>
        <v>118152</v>
      </c>
      <c r="AR261" s="11">
        <f t="shared" si="359"/>
        <v>11139467.890000001</v>
      </c>
      <c r="AS261" s="8">
        <f t="shared" si="360"/>
        <v>173</v>
      </c>
      <c r="AT261" s="11">
        <f t="shared" si="361"/>
        <v>18528</v>
      </c>
      <c r="AU261" s="8">
        <f t="shared" ref="AU261:AU271" si="373">AS261+AQ261+AO261+AM261+AK261</f>
        <v>11088869</v>
      </c>
      <c r="AV261" s="11">
        <f t="shared" si="362"/>
        <v>644661993.87</v>
      </c>
      <c r="AW261" t="s">
        <v>70</v>
      </c>
      <c r="AX261" s="37">
        <f t="shared" ref="AX261:AX271" si="374">+AU261-T261</f>
        <v>-1227034</v>
      </c>
      <c r="AY261" s="37">
        <f t="shared" si="363"/>
        <v>-49507351.970000029</v>
      </c>
      <c r="AZ261" s="13">
        <f t="shared" ref="AZ261:AZ271" si="375">K261+M261+O261+Q261</f>
        <v>550423300.90999997</v>
      </c>
      <c r="BA261" s="40">
        <f t="shared" ref="BA261:BA271" si="376">(AZ261/$BK$260)/1000</f>
        <v>23422.268123829785</v>
      </c>
      <c r="BB261" s="40">
        <f t="shared" ref="BB261:BB271" si="377">+BA261*30%</f>
        <v>7026.6804371489352</v>
      </c>
      <c r="BC261" s="13">
        <f t="shared" ref="BC261:BC271" si="378">I261</f>
        <v>7955327.5199999996</v>
      </c>
      <c r="BD261" s="40">
        <f t="shared" si="364"/>
        <v>338.52457531914888</v>
      </c>
      <c r="BE261" s="40">
        <f t="shared" ref="BE261:BE271" si="379">+BD261*0.3</f>
        <v>101.55737259574467</v>
      </c>
      <c r="BF261" s="13">
        <f t="shared" ref="BF261:BF271" si="380">+E261+S261</f>
        <v>86283365.440000013</v>
      </c>
      <c r="BG261" s="40">
        <f t="shared" si="365"/>
        <v>3671.632571914894</v>
      </c>
      <c r="BH261" s="40">
        <f t="shared" ref="BH261:BH271" si="381">+BG261*0.3</f>
        <v>1101.4897715744683</v>
      </c>
      <c r="BJ261" s="41">
        <v>43889</v>
      </c>
      <c r="BK261" s="43">
        <v>23.5</v>
      </c>
    </row>
    <row r="262" spans="1:63" x14ac:dyDescent="0.25">
      <c r="B262" s="2" t="s">
        <v>7</v>
      </c>
      <c r="C262" s="2">
        <v>2020</v>
      </c>
      <c r="D262" s="1">
        <f t="shared" ref="D262:Q262" si="382">+D94+D73+D52+D31+D10+D115+D136+D157+D178+D199+D220+D241</f>
        <v>1465495</v>
      </c>
      <c r="E262" s="11">
        <f t="shared" si="382"/>
        <v>62231124.929999992</v>
      </c>
      <c r="F262" s="1">
        <f t="shared" ref="F262:G262" si="383">+F94+F73+F52+F31+F10+F115+F136+F157+F178+F199+F220+F241</f>
        <v>875937</v>
      </c>
      <c r="G262" s="11">
        <f t="shared" si="383"/>
        <v>37464495.019999996</v>
      </c>
      <c r="H262" s="1">
        <f t="shared" si="382"/>
        <v>130342</v>
      </c>
      <c r="I262" s="11">
        <f t="shared" si="382"/>
        <v>6174719.9800000004</v>
      </c>
      <c r="J262" s="1">
        <f t="shared" si="382"/>
        <v>6487181</v>
      </c>
      <c r="K262" s="11">
        <f t="shared" si="382"/>
        <v>436482599.90000004</v>
      </c>
      <c r="L262" s="8">
        <f t="shared" si="382"/>
        <v>508594</v>
      </c>
      <c r="M262" s="11">
        <f t="shared" si="382"/>
        <v>57198708.509999998</v>
      </c>
      <c r="N262" s="8">
        <f t="shared" si="382"/>
        <v>109161</v>
      </c>
      <c r="O262" s="11">
        <f t="shared" si="382"/>
        <v>11283411.640000001</v>
      </c>
      <c r="P262" s="8">
        <f t="shared" si="382"/>
        <v>29</v>
      </c>
      <c r="Q262" s="11">
        <f t="shared" si="382"/>
        <v>1920</v>
      </c>
      <c r="R262" s="8">
        <f t="shared" ref="R262" si="384">+R115</f>
        <v>31445</v>
      </c>
      <c r="S262" s="11">
        <f t="shared" si="347"/>
        <v>1906765</v>
      </c>
      <c r="T262" s="8">
        <f t="shared" si="369"/>
        <v>9608184</v>
      </c>
      <c r="U262" s="11">
        <f t="shared" si="370"/>
        <v>612743744.98000002</v>
      </c>
      <c r="V262" s="13"/>
      <c r="W262" s="17">
        <f t="shared" si="348"/>
        <v>0.16936415872135671</v>
      </c>
      <c r="X262" s="17">
        <f t="shared" si="349"/>
        <v>0.83063584127864332</v>
      </c>
      <c r="Y262" s="17">
        <f t="shared" si="350"/>
        <v>0.67517243633136081</v>
      </c>
      <c r="Z262" s="17">
        <f t="shared" si="351"/>
        <v>5.2933415929586697E-2</v>
      </c>
      <c r="AA262" s="17">
        <f t="shared" si="352"/>
        <v>1.1361252032642172E-2</v>
      </c>
      <c r="AB262" s="17">
        <f t="shared" si="353"/>
        <v>3.0182602664561794E-6</v>
      </c>
      <c r="AI262" s="2" t="s">
        <v>7</v>
      </c>
      <c r="AJ262" s="2">
        <v>2020</v>
      </c>
      <c r="AK262" s="1">
        <f t="shared" si="371"/>
        <v>1627282</v>
      </c>
      <c r="AL262" s="11">
        <f t="shared" si="354"/>
        <v>70312609.909999996</v>
      </c>
      <c r="AM262" s="1">
        <f t="shared" si="372"/>
        <v>6487181</v>
      </c>
      <c r="AN262" s="11">
        <f t="shared" si="355"/>
        <v>436482599.90000004</v>
      </c>
      <c r="AO262" s="8">
        <f t="shared" si="356"/>
        <v>508594</v>
      </c>
      <c r="AP262" s="11">
        <f t="shared" si="357"/>
        <v>57198708.509999998</v>
      </c>
      <c r="AQ262" s="8">
        <f t="shared" si="358"/>
        <v>109161</v>
      </c>
      <c r="AR262" s="11">
        <f t="shared" si="359"/>
        <v>11283411.640000001</v>
      </c>
      <c r="AS262" s="8">
        <f t="shared" si="360"/>
        <v>29</v>
      </c>
      <c r="AT262" s="11">
        <f t="shared" si="361"/>
        <v>1920</v>
      </c>
      <c r="AU262" s="8">
        <f t="shared" si="373"/>
        <v>8732247</v>
      </c>
      <c r="AV262" s="11">
        <f t="shared" si="362"/>
        <v>575279249.96000004</v>
      </c>
      <c r="AW262" t="s">
        <v>70</v>
      </c>
      <c r="AX262" s="37">
        <f t="shared" si="374"/>
        <v>-875937</v>
      </c>
      <c r="AY262" s="37">
        <f t="shared" si="363"/>
        <v>-37464495.019999981</v>
      </c>
      <c r="AZ262" s="13">
        <f t="shared" si="375"/>
        <v>504966640.05000001</v>
      </c>
      <c r="BA262" s="40">
        <f t="shared" si="376"/>
        <v>21487.942129787232</v>
      </c>
      <c r="BB262" s="40">
        <f t="shared" si="377"/>
        <v>6446.3826389361693</v>
      </c>
      <c r="BC262" s="13">
        <f t="shared" si="378"/>
        <v>6174719.9800000004</v>
      </c>
      <c r="BD262" s="40">
        <f t="shared" si="364"/>
        <v>262.75404170212767</v>
      </c>
      <c r="BE262" s="40">
        <f t="shared" si="379"/>
        <v>78.8262125106383</v>
      </c>
      <c r="BF262" s="13">
        <f t="shared" si="380"/>
        <v>64137889.929999992</v>
      </c>
      <c r="BG262" s="40">
        <f t="shared" si="365"/>
        <v>2729.2719119148933</v>
      </c>
      <c r="BH262" s="40">
        <f t="shared" si="381"/>
        <v>818.78157357446798</v>
      </c>
      <c r="BJ262" s="41">
        <v>43921</v>
      </c>
      <c r="BK262" s="43">
        <v>23.5</v>
      </c>
    </row>
    <row r="263" spans="1:63" x14ac:dyDescent="0.25">
      <c r="B263" s="2" t="s">
        <v>8</v>
      </c>
      <c r="C263" s="2">
        <v>2020</v>
      </c>
      <c r="D263" s="1">
        <f t="shared" ref="D263:Q263" si="385">+D95+D74+D53+D32+D11+D116+D137+D158+D179+D200+D221+D242</f>
        <v>436990</v>
      </c>
      <c r="E263" s="11">
        <f t="shared" si="385"/>
        <v>21709366.32</v>
      </c>
      <c r="F263" s="1">
        <f t="shared" ref="F263:G263" si="386">+F95+F74+F53+F32+F11+F116+F137+F158+F179+F200+F221+F242</f>
        <v>221517</v>
      </c>
      <c r="G263" s="11">
        <f t="shared" si="386"/>
        <v>12010597.01</v>
      </c>
      <c r="H263" s="1">
        <f t="shared" si="385"/>
        <v>37799</v>
      </c>
      <c r="I263" s="11">
        <f t="shared" si="385"/>
        <v>2434268.08</v>
      </c>
      <c r="J263" s="1">
        <f t="shared" si="385"/>
        <v>2750190</v>
      </c>
      <c r="K263" s="11">
        <f t="shared" si="385"/>
        <v>252784325.75999999</v>
      </c>
      <c r="L263" s="8">
        <f t="shared" si="385"/>
        <v>282823</v>
      </c>
      <c r="M263" s="11">
        <f t="shared" si="385"/>
        <v>35785365.140000001</v>
      </c>
      <c r="N263" s="8">
        <f t="shared" si="385"/>
        <v>72094</v>
      </c>
      <c r="O263" s="11">
        <f t="shared" si="385"/>
        <v>8708925.2100000009</v>
      </c>
      <c r="P263" s="8">
        <f t="shared" si="385"/>
        <v>22</v>
      </c>
      <c r="Q263" s="11">
        <f t="shared" si="385"/>
        <v>1036</v>
      </c>
      <c r="R263" s="8">
        <f t="shared" ref="R263" si="387">+R116</f>
        <v>9057</v>
      </c>
      <c r="S263" s="11">
        <f t="shared" si="347"/>
        <v>505024</v>
      </c>
      <c r="T263" s="8">
        <f t="shared" si="369"/>
        <v>3810492</v>
      </c>
      <c r="U263" s="11">
        <f t="shared" si="370"/>
        <v>333938907.51999998</v>
      </c>
      <c r="W263" s="17">
        <f t="shared" si="348"/>
        <v>0.12697730371825999</v>
      </c>
      <c r="X263" s="17">
        <f t="shared" si="349"/>
        <v>0.87302269628174001</v>
      </c>
      <c r="Y263" s="17">
        <f t="shared" si="350"/>
        <v>0.72174144441190269</v>
      </c>
      <c r="Z263" s="17">
        <f t="shared" si="351"/>
        <v>7.4222173934494554E-2</v>
      </c>
      <c r="AA263" s="17">
        <f t="shared" si="352"/>
        <v>1.8919866515924977E-2</v>
      </c>
      <c r="AB263" s="17">
        <f t="shared" si="353"/>
        <v>5.7735326566753061E-6</v>
      </c>
      <c r="AI263" s="2" t="s">
        <v>8</v>
      </c>
      <c r="AJ263" s="2">
        <v>2020</v>
      </c>
      <c r="AK263" s="1">
        <f t="shared" si="371"/>
        <v>483846</v>
      </c>
      <c r="AL263" s="11">
        <f t="shared" si="354"/>
        <v>24648658.399999999</v>
      </c>
      <c r="AM263" s="1">
        <f t="shared" si="372"/>
        <v>2750190</v>
      </c>
      <c r="AN263" s="11">
        <f t="shared" si="355"/>
        <v>252784325.75999999</v>
      </c>
      <c r="AO263" s="8">
        <f t="shared" si="356"/>
        <v>282823</v>
      </c>
      <c r="AP263" s="11">
        <f t="shared" si="357"/>
        <v>35785365.140000001</v>
      </c>
      <c r="AQ263" s="8">
        <f t="shared" si="358"/>
        <v>72094</v>
      </c>
      <c r="AR263" s="11">
        <f t="shared" si="359"/>
        <v>8708925.2100000009</v>
      </c>
      <c r="AS263" s="8">
        <f t="shared" si="360"/>
        <v>22</v>
      </c>
      <c r="AT263" s="11">
        <f t="shared" si="361"/>
        <v>1036</v>
      </c>
      <c r="AU263" s="8">
        <f t="shared" si="373"/>
        <v>3588975</v>
      </c>
      <c r="AV263" s="11">
        <f t="shared" si="362"/>
        <v>321928310.50999999</v>
      </c>
      <c r="AW263" t="s">
        <v>70</v>
      </c>
      <c r="AX263" s="37">
        <f t="shared" si="374"/>
        <v>-221517</v>
      </c>
      <c r="AY263" s="37">
        <f t="shared" si="363"/>
        <v>-12010597.00999999</v>
      </c>
      <c r="AZ263" s="13">
        <f t="shared" si="375"/>
        <v>297279652.10999995</v>
      </c>
      <c r="BA263" s="40">
        <f t="shared" si="376"/>
        <v>12650.197962127657</v>
      </c>
      <c r="BB263" s="40">
        <f t="shared" si="377"/>
        <v>3795.0593886382967</v>
      </c>
      <c r="BC263" s="13">
        <f t="shared" si="378"/>
        <v>2434268.08</v>
      </c>
      <c r="BD263" s="40">
        <f t="shared" si="364"/>
        <v>103.58587574468086</v>
      </c>
      <c r="BE263" s="40">
        <f t="shared" si="379"/>
        <v>31.075762723404257</v>
      </c>
      <c r="BF263" s="13">
        <f t="shared" si="380"/>
        <v>22214390.32</v>
      </c>
      <c r="BG263" s="40">
        <f t="shared" si="365"/>
        <v>945.29320510638297</v>
      </c>
      <c r="BH263" s="40">
        <f t="shared" si="381"/>
        <v>283.58796153191486</v>
      </c>
      <c r="BJ263" s="41">
        <v>43951</v>
      </c>
      <c r="BK263" s="43">
        <v>23.5</v>
      </c>
    </row>
    <row r="264" spans="1:63" x14ac:dyDescent="0.25">
      <c r="B264" s="2" t="s">
        <v>9</v>
      </c>
      <c r="C264" s="2">
        <v>2020</v>
      </c>
      <c r="D264" s="1">
        <f t="shared" ref="D264:Q264" si="388">+D96+D75+D54+D33+D12+D117+D138+D159+D180+D201+D222+D243</f>
        <v>439110</v>
      </c>
      <c r="E264" s="11">
        <f t="shared" si="388"/>
        <v>22340833.890000001</v>
      </c>
      <c r="F264" s="1">
        <f t="shared" ref="F264:G264" si="389">+F96+F75+F54+F33+F12+F117+F138+F159+F180+F201+F222+F243</f>
        <v>223600</v>
      </c>
      <c r="G264" s="11">
        <f t="shared" si="389"/>
        <v>12266738.33</v>
      </c>
      <c r="H264" s="1">
        <f t="shared" si="388"/>
        <v>34445</v>
      </c>
      <c r="I264" s="11">
        <f t="shared" si="388"/>
        <v>2266442.3200000003</v>
      </c>
      <c r="J264" s="1">
        <f t="shared" si="388"/>
        <v>2738093</v>
      </c>
      <c r="K264" s="11">
        <f t="shared" si="388"/>
        <v>245359026.09</v>
      </c>
      <c r="L264" s="8">
        <f t="shared" si="388"/>
        <v>274199</v>
      </c>
      <c r="M264" s="11">
        <f t="shared" si="388"/>
        <v>34320374.829999998</v>
      </c>
      <c r="N264" s="8">
        <f t="shared" si="388"/>
        <v>78575</v>
      </c>
      <c r="O264" s="11">
        <f t="shared" si="388"/>
        <v>9147215.3000000007</v>
      </c>
      <c r="P264" s="8">
        <f t="shared" si="388"/>
        <v>36</v>
      </c>
      <c r="Q264" s="11">
        <f t="shared" si="388"/>
        <v>2622</v>
      </c>
      <c r="R264" s="8">
        <f t="shared" ref="R264" si="390">+R117</f>
        <v>8186</v>
      </c>
      <c r="S264" s="11">
        <f t="shared" si="347"/>
        <v>454939</v>
      </c>
      <c r="T264" s="8">
        <f t="shared" si="369"/>
        <v>3796244</v>
      </c>
      <c r="U264" s="11">
        <f t="shared" si="370"/>
        <v>326158191.75999999</v>
      </c>
      <c r="W264" s="17">
        <f t="shared" si="348"/>
        <v>0.12689937738459384</v>
      </c>
      <c r="X264" s="17">
        <f t="shared" si="349"/>
        <v>0.87310062261540611</v>
      </c>
      <c r="Y264" s="17">
        <f t="shared" si="350"/>
        <v>0.72126370170094445</v>
      </c>
      <c r="Z264" s="17">
        <f t="shared" si="351"/>
        <v>7.2229024267144046E-2</v>
      </c>
      <c r="AA264" s="17">
        <f t="shared" si="352"/>
        <v>2.0698090006859411E-2</v>
      </c>
      <c r="AB264" s="17">
        <f t="shared" si="353"/>
        <v>9.4830574641672142E-6</v>
      </c>
      <c r="AI264" s="2" t="s">
        <v>9</v>
      </c>
      <c r="AJ264" s="2">
        <v>2020</v>
      </c>
      <c r="AK264" s="1">
        <f t="shared" si="371"/>
        <v>481741</v>
      </c>
      <c r="AL264" s="11">
        <f t="shared" si="354"/>
        <v>25062215.210000001</v>
      </c>
      <c r="AM264" s="1">
        <f t="shared" si="372"/>
        <v>2738093</v>
      </c>
      <c r="AN264" s="11">
        <f t="shared" si="355"/>
        <v>245359026.09</v>
      </c>
      <c r="AO264" s="8">
        <f t="shared" si="356"/>
        <v>274199</v>
      </c>
      <c r="AP264" s="11">
        <f t="shared" si="357"/>
        <v>34320374.829999998</v>
      </c>
      <c r="AQ264" s="8">
        <f t="shared" si="358"/>
        <v>78575</v>
      </c>
      <c r="AR264" s="11">
        <f t="shared" si="359"/>
        <v>9147215.3000000007</v>
      </c>
      <c r="AS264" s="8">
        <f t="shared" si="360"/>
        <v>36</v>
      </c>
      <c r="AT264" s="11">
        <f t="shared" si="361"/>
        <v>2622</v>
      </c>
      <c r="AU264" s="8">
        <f t="shared" si="373"/>
        <v>3572644</v>
      </c>
      <c r="AV264" s="11">
        <f t="shared" si="362"/>
        <v>313891453.43000001</v>
      </c>
      <c r="AW264" t="s">
        <v>70</v>
      </c>
      <c r="AX264" s="37">
        <f t="shared" si="374"/>
        <v>-223600</v>
      </c>
      <c r="AY264" s="37">
        <f t="shared" si="363"/>
        <v>-12266738.329999983</v>
      </c>
      <c r="AZ264" s="13">
        <f t="shared" si="375"/>
        <v>288829238.22000003</v>
      </c>
      <c r="BA264" s="40">
        <f t="shared" si="376"/>
        <v>12290.605881702129</v>
      </c>
      <c r="BB264" s="40">
        <f t="shared" si="377"/>
        <v>3687.1817645106385</v>
      </c>
      <c r="BC264" s="13">
        <f t="shared" si="378"/>
        <v>2266442.3200000003</v>
      </c>
      <c r="BD264" s="40">
        <f t="shared" si="364"/>
        <v>96.444354042553201</v>
      </c>
      <c r="BE264" s="40">
        <f t="shared" si="379"/>
        <v>28.933306212765959</v>
      </c>
      <c r="BF264" s="13">
        <f t="shared" si="380"/>
        <v>22795772.890000001</v>
      </c>
      <c r="BG264" s="40">
        <f t="shared" si="365"/>
        <v>970.03288893617025</v>
      </c>
      <c r="BH264" s="40">
        <f t="shared" si="381"/>
        <v>291.00986668085108</v>
      </c>
      <c r="BJ264" s="41">
        <v>43980</v>
      </c>
      <c r="BK264" s="43">
        <v>23.5</v>
      </c>
    </row>
    <row r="265" spans="1:63" x14ac:dyDescent="0.25">
      <c r="B265" s="2" t="s">
        <v>10</v>
      </c>
      <c r="C265" s="2">
        <v>2020</v>
      </c>
      <c r="D265" s="1">
        <f t="shared" ref="D265:Q265" si="391">+D97+D76+D55+D34+D13+D118+D139+D160+D181+D202+D223+D244</f>
        <v>592995</v>
      </c>
      <c r="E265" s="11">
        <f t="shared" si="391"/>
        <v>29017630.57</v>
      </c>
      <c r="F265" s="1">
        <f t="shared" ref="F265:G265" si="392">+F97+F76+F55+F34+F13+F118+F139+F160+F181+F202+F223+F244</f>
        <v>305487</v>
      </c>
      <c r="G265" s="11">
        <f t="shared" si="392"/>
        <v>15946260.43</v>
      </c>
      <c r="H265" s="1">
        <f t="shared" si="391"/>
        <v>42080</v>
      </c>
      <c r="I265" s="11">
        <f t="shared" si="391"/>
        <v>2675250.48</v>
      </c>
      <c r="J265" s="1">
        <f t="shared" si="391"/>
        <v>3442401</v>
      </c>
      <c r="K265" s="11">
        <f t="shared" si="391"/>
        <v>287471490.89999998</v>
      </c>
      <c r="L265" s="8">
        <f t="shared" si="391"/>
        <v>311029</v>
      </c>
      <c r="M265" s="11">
        <f t="shared" si="391"/>
        <v>36888128.829999998</v>
      </c>
      <c r="N265" s="8">
        <f t="shared" si="391"/>
        <v>94170</v>
      </c>
      <c r="O265" s="11">
        <f t="shared" si="391"/>
        <v>10279750.43</v>
      </c>
      <c r="P265" s="8">
        <f t="shared" si="391"/>
        <v>0</v>
      </c>
      <c r="Q265" s="11">
        <f t="shared" si="391"/>
        <v>0</v>
      </c>
      <c r="R265" s="8">
        <f t="shared" ref="R265" si="393">+R118</f>
        <v>21308</v>
      </c>
      <c r="S265" s="11">
        <f t="shared" si="347"/>
        <v>1234327</v>
      </c>
      <c r="T265" s="8">
        <f t="shared" si="369"/>
        <v>4809470</v>
      </c>
      <c r="U265" s="11">
        <f t="shared" si="370"/>
        <v>383512838.63999999</v>
      </c>
      <c r="W265" s="17">
        <f t="shared" si="348"/>
        <v>0.13647720019045759</v>
      </c>
      <c r="X265" s="17">
        <f t="shared" si="349"/>
        <v>0.86352279980954239</v>
      </c>
      <c r="Y265" s="17">
        <f t="shared" si="350"/>
        <v>0.7157547505234465</v>
      </c>
      <c r="Z265" s="17">
        <f t="shared" si="351"/>
        <v>6.4670119576585361E-2</v>
      </c>
      <c r="AA265" s="17">
        <f t="shared" si="352"/>
        <v>1.9580120054808536E-2</v>
      </c>
      <c r="AB265" s="17">
        <f t="shared" si="353"/>
        <v>0</v>
      </c>
      <c r="AI265" s="2" t="s">
        <v>10</v>
      </c>
      <c r="AJ265" s="2">
        <v>2020</v>
      </c>
      <c r="AK265" s="1">
        <f t="shared" si="371"/>
        <v>656383</v>
      </c>
      <c r="AL265" s="11">
        <f t="shared" si="354"/>
        <v>32927208.050000001</v>
      </c>
      <c r="AM265" s="1">
        <f t="shared" si="372"/>
        <v>3442401</v>
      </c>
      <c r="AN265" s="11">
        <f t="shared" si="355"/>
        <v>287471490.89999998</v>
      </c>
      <c r="AO265" s="8">
        <f t="shared" si="356"/>
        <v>311029</v>
      </c>
      <c r="AP265" s="11">
        <f t="shared" si="357"/>
        <v>36888128.829999998</v>
      </c>
      <c r="AQ265" s="8">
        <f t="shared" si="358"/>
        <v>94170</v>
      </c>
      <c r="AR265" s="11">
        <f t="shared" si="359"/>
        <v>10279750.43</v>
      </c>
      <c r="AS265" s="8">
        <f t="shared" si="360"/>
        <v>0</v>
      </c>
      <c r="AT265" s="11">
        <f t="shared" si="361"/>
        <v>0</v>
      </c>
      <c r="AU265" s="8">
        <f t="shared" si="373"/>
        <v>4503983</v>
      </c>
      <c r="AV265" s="11">
        <f t="shared" si="362"/>
        <v>367566578.20999998</v>
      </c>
      <c r="AW265" t="s">
        <v>70</v>
      </c>
      <c r="AX265" s="37">
        <f t="shared" si="374"/>
        <v>-305487</v>
      </c>
      <c r="AY265" s="37">
        <f t="shared" si="363"/>
        <v>-15946260.430000007</v>
      </c>
      <c r="AZ265" s="13">
        <f t="shared" si="375"/>
        <v>334639370.15999997</v>
      </c>
      <c r="BA265" s="40">
        <f t="shared" si="376"/>
        <v>14239.973198297872</v>
      </c>
      <c r="BB265" s="40">
        <f t="shared" si="377"/>
        <v>4271.9919594893618</v>
      </c>
      <c r="BC265" s="13">
        <f t="shared" si="378"/>
        <v>2675250.48</v>
      </c>
      <c r="BD265" s="40">
        <f t="shared" si="364"/>
        <v>113.8404459574468</v>
      </c>
      <c r="BE265" s="40">
        <f t="shared" si="379"/>
        <v>34.152133787234042</v>
      </c>
      <c r="BF265" s="13">
        <f t="shared" si="380"/>
        <v>30251957.57</v>
      </c>
      <c r="BG265" s="40">
        <f t="shared" si="365"/>
        <v>1287.3173434042553</v>
      </c>
      <c r="BH265" s="40">
        <f t="shared" si="381"/>
        <v>386.1952030212766</v>
      </c>
      <c r="BJ265" s="41">
        <v>44012</v>
      </c>
      <c r="BK265" s="43">
        <v>23.5</v>
      </c>
    </row>
    <row r="266" spans="1:63" x14ac:dyDescent="0.25">
      <c r="B266" s="2" t="s">
        <v>11</v>
      </c>
      <c r="C266" s="2">
        <v>2020</v>
      </c>
      <c r="D266" s="1">
        <f t="shared" ref="D266:Q266" si="394">+D98+D77+D56+D35+D14+D119+D140+D161+D182+D203+D224+D245</f>
        <v>850464</v>
      </c>
      <c r="E266" s="11">
        <f t="shared" si="394"/>
        <v>40011386.18</v>
      </c>
      <c r="F266" s="1">
        <f t="shared" ref="F266:G266" si="395">+F98+F77+F56+F35+F14+F119+F140+F161+F182+F203+F224+F245</f>
        <v>439911</v>
      </c>
      <c r="G266" s="11">
        <f t="shared" si="395"/>
        <v>21608691.780000001</v>
      </c>
      <c r="H266" s="1">
        <f t="shared" si="394"/>
        <v>58146</v>
      </c>
      <c r="I266" s="11">
        <f t="shared" si="394"/>
        <v>3442321.93</v>
      </c>
      <c r="J266" s="1">
        <f t="shared" si="394"/>
        <v>4477931</v>
      </c>
      <c r="K266" s="11">
        <f t="shared" si="394"/>
        <v>346516162.15999997</v>
      </c>
      <c r="L266" s="8">
        <f t="shared" si="394"/>
        <v>380466</v>
      </c>
      <c r="M266" s="11">
        <f t="shared" si="394"/>
        <v>43164063.710000001</v>
      </c>
      <c r="N266" s="8">
        <f t="shared" si="394"/>
        <v>114349</v>
      </c>
      <c r="O266" s="11">
        <f t="shared" si="394"/>
        <v>11922196.93</v>
      </c>
      <c r="P266" s="8">
        <f t="shared" si="394"/>
        <v>0</v>
      </c>
      <c r="Q266" s="11">
        <f t="shared" si="394"/>
        <v>0</v>
      </c>
      <c r="R266" s="8">
        <f t="shared" ref="R266" si="396">+R119</f>
        <v>38950</v>
      </c>
      <c r="S266" s="11">
        <f t="shared" si="347"/>
        <v>2265911</v>
      </c>
      <c r="T266" s="8">
        <f t="shared" si="369"/>
        <v>6360217</v>
      </c>
      <c r="U266" s="11">
        <f t="shared" si="370"/>
        <v>468930733.68999994</v>
      </c>
      <c r="W266" s="17">
        <f t="shared" si="348"/>
        <v>0.14898233818122872</v>
      </c>
      <c r="X266" s="17">
        <f t="shared" si="349"/>
        <v>0.85101766181877125</v>
      </c>
      <c r="Y266" s="17">
        <f t="shared" si="350"/>
        <v>0.7040531793176239</v>
      </c>
      <c r="Z266" s="17">
        <f t="shared" si="351"/>
        <v>5.9819657096605354E-2</v>
      </c>
      <c r="AA266" s="17">
        <f t="shared" si="352"/>
        <v>1.7978789088485502E-2</v>
      </c>
      <c r="AB266" s="17">
        <f t="shared" si="353"/>
        <v>0</v>
      </c>
      <c r="AI266" s="2" t="s">
        <v>11</v>
      </c>
      <c r="AJ266" s="2">
        <v>2020</v>
      </c>
      <c r="AK266" s="1">
        <f t="shared" si="371"/>
        <v>947560</v>
      </c>
      <c r="AL266" s="11">
        <f t="shared" si="354"/>
        <v>45719619.109999999</v>
      </c>
      <c r="AM266" s="1">
        <f t="shared" si="372"/>
        <v>4477931</v>
      </c>
      <c r="AN266" s="11">
        <f t="shared" si="355"/>
        <v>346516162.15999997</v>
      </c>
      <c r="AO266" s="8">
        <f t="shared" si="356"/>
        <v>380466</v>
      </c>
      <c r="AP266" s="11">
        <f t="shared" si="357"/>
        <v>43164063.710000001</v>
      </c>
      <c r="AQ266" s="8">
        <f t="shared" si="358"/>
        <v>114349</v>
      </c>
      <c r="AR266" s="11">
        <f t="shared" si="359"/>
        <v>11922196.93</v>
      </c>
      <c r="AS266" s="8">
        <f t="shared" si="360"/>
        <v>0</v>
      </c>
      <c r="AT266" s="11">
        <f t="shared" si="361"/>
        <v>0</v>
      </c>
      <c r="AU266" s="8">
        <f t="shared" si="373"/>
        <v>5920306</v>
      </c>
      <c r="AV266" s="11">
        <f t="shared" si="362"/>
        <v>447322041.90999997</v>
      </c>
      <c r="AW266" t="s">
        <v>70</v>
      </c>
      <c r="AX266" s="37">
        <f t="shared" si="374"/>
        <v>-439911</v>
      </c>
      <c r="AY266" s="37">
        <f t="shared" si="363"/>
        <v>-21608691.779999971</v>
      </c>
      <c r="AZ266" s="13">
        <f t="shared" si="375"/>
        <v>401602422.79999995</v>
      </c>
      <c r="BA266" s="40">
        <f t="shared" si="376"/>
        <v>17089.464799999998</v>
      </c>
      <c r="BB266" s="40">
        <f t="shared" si="377"/>
        <v>5126.8394399999988</v>
      </c>
      <c r="BC266" s="13">
        <f t="shared" si="378"/>
        <v>3442321.93</v>
      </c>
      <c r="BD266" s="40">
        <f t="shared" si="364"/>
        <v>146.48178425531916</v>
      </c>
      <c r="BE266" s="40">
        <f t="shared" si="379"/>
        <v>43.944535276595744</v>
      </c>
      <c r="BF266" s="13">
        <f t="shared" si="380"/>
        <v>42277297.18</v>
      </c>
      <c r="BG266" s="40">
        <f t="shared" si="365"/>
        <v>1799.0339225531914</v>
      </c>
      <c r="BH266" s="40">
        <f t="shared" si="381"/>
        <v>539.71017676595739</v>
      </c>
      <c r="BJ266" s="41">
        <v>44043</v>
      </c>
      <c r="BK266" s="43">
        <v>23.5</v>
      </c>
    </row>
    <row r="267" spans="1:63" x14ac:dyDescent="0.25">
      <c r="B267" s="2" t="s">
        <v>4</v>
      </c>
      <c r="C267" s="2">
        <v>2020</v>
      </c>
      <c r="D267" s="1">
        <f>+D99+D78+D57+D36+D15+D120+D141+D162+D183+D204+D225+D246</f>
        <v>1001718</v>
      </c>
      <c r="E267" s="11">
        <f t="shared" ref="E267:Q267" si="397">+E99+E78+E57+E36+E15+E120+E141+E162+E183+E204+E225+E246</f>
        <v>46690378.07</v>
      </c>
      <c r="F267" s="1">
        <f>+F99+F78+F57+F36+F15+F120+F141+F162+F183+F204+F225+F246</f>
        <v>519665</v>
      </c>
      <c r="G267" s="11">
        <f t="shared" ref="G267" si="398">+G99+G78+G57+G36+G15+G120+G141+G162+G183+G204+G225+G246</f>
        <v>24937288.909999996</v>
      </c>
      <c r="H267" s="1">
        <f t="shared" si="397"/>
        <v>72175</v>
      </c>
      <c r="I267" s="11">
        <f t="shared" si="397"/>
        <v>3955780.79</v>
      </c>
      <c r="J267" s="1">
        <f t="shared" si="397"/>
        <v>4994266</v>
      </c>
      <c r="K267" s="11">
        <f t="shared" si="397"/>
        <v>368383429.94999999</v>
      </c>
      <c r="L267" s="8">
        <f t="shared" si="397"/>
        <v>384805</v>
      </c>
      <c r="M267" s="11">
        <f t="shared" si="397"/>
        <v>42694330</v>
      </c>
      <c r="N267" s="8">
        <f t="shared" si="397"/>
        <v>121854</v>
      </c>
      <c r="O267" s="11">
        <f t="shared" si="397"/>
        <v>12355752.73</v>
      </c>
      <c r="P267" s="8">
        <f t="shared" si="397"/>
        <v>0</v>
      </c>
      <c r="Q267" s="11">
        <f t="shared" si="397"/>
        <v>0</v>
      </c>
      <c r="R267" s="8">
        <f t="shared" ref="R267" si="399">+R120</f>
        <v>49684</v>
      </c>
      <c r="S267" s="11">
        <f t="shared" si="347"/>
        <v>3010498</v>
      </c>
      <c r="T267" s="8">
        <f t="shared" si="369"/>
        <v>7144167</v>
      </c>
      <c r="U267" s="11">
        <f t="shared" si="370"/>
        <v>502027458.45000005</v>
      </c>
      <c r="V267" s="26"/>
      <c r="W267" s="17">
        <f t="shared" si="348"/>
        <v>0.15727193947173967</v>
      </c>
      <c r="X267" s="17">
        <f t="shared" si="349"/>
        <v>0.84272806052826033</v>
      </c>
      <c r="Y267" s="17">
        <f t="shared" si="350"/>
        <v>0.69906904471857956</v>
      </c>
      <c r="Z267" s="17">
        <f t="shared" si="351"/>
        <v>5.3862822635585089E-2</v>
      </c>
      <c r="AA267" s="17">
        <f t="shared" si="352"/>
        <v>1.7056432191464729E-2</v>
      </c>
      <c r="AB267" s="17">
        <f t="shared" si="353"/>
        <v>0</v>
      </c>
      <c r="AI267" s="2" t="s">
        <v>4</v>
      </c>
      <c r="AJ267" s="2">
        <v>2020</v>
      </c>
      <c r="AK267" s="1">
        <f t="shared" si="371"/>
        <v>1123577</v>
      </c>
      <c r="AL267" s="11">
        <f t="shared" si="354"/>
        <v>53656656.859999999</v>
      </c>
      <c r="AM267" s="1">
        <f t="shared" si="372"/>
        <v>4994266</v>
      </c>
      <c r="AN267" s="11">
        <f t="shared" si="355"/>
        <v>368383429.94999999</v>
      </c>
      <c r="AO267" s="8">
        <f t="shared" si="356"/>
        <v>384805</v>
      </c>
      <c r="AP267" s="11">
        <f t="shared" si="357"/>
        <v>42694330</v>
      </c>
      <c r="AQ267" s="8">
        <f t="shared" si="358"/>
        <v>121854</v>
      </c>
      <c r="AR267" s="11">
        <f t="shared" si="359"/>
        <v>12355752.73</v>
      </c>
      <c r="AS267" s="8">
        <f t="shared" si="360"/>
        <v>0</v>
      </c>
      <c r="AT267" s="11">
        <f t="shared" si="361"/>
        <v>0</v>
      </c>
      <c r="AU267" s="8">
        <f t="shared" si="373"/>
        <v>6624502</v>
      </c>
      <c r="AV267" s="11">
        <f t="shared" si="362"/>
        <v>477090169.54000002</v>
      </c>
      <c r="AW267" t="s">
        <v>70</v>
      </c>
      <c r="AX267" s="37">
        <f t="shared" si="374"/>
        <v>-519665</v>
      </c>
      <c r="AY267" s="37">
        <f t="shared" si="363"/>
        <v>-24937288.910000026</v>
      </c>
      <c r="AZ267" s="13">
        <f t="shared" si="375"/>
        <v>423433512.68000001</v>
      </c>
      <c r="BA267" s="40">
        <f t="shared" si="376"/>
        <v>18018.447348085105</v>
      </c>
      <c r="BB267" s="40">
        <f t="shared" si="377"/>
        <v>5405.5342044255312</v>
      </c>
      <c r="BC267" s="13">
        <f t="shared" si="378"/>
        <v>3955780.79</v>
      </c>
      <c r="BD267" s="40">
        <f t="shared" si="364"/>
        <v>168.33109744680851</v>
      </c>
      <c r="BE267" s="40">
        <f t="shared" si="379"/>
        <v>50.499329234042555</v>
      </c>
      <c r="BF267" s="13">
        <f t="shared" si="380"/>
        <v>49700876.07</v>
      </c>
      <c r="BG267" s="40">
        <f t="shared" si="365"/>
        <v>2114.9308965957448</v>
      </c>
      <c r="BH267" s="40">
        <f t="shared" si="381"/>
        <v>634.47926897872344</v>
      </c>
      <c r="BJ267" s="41">
        <v>44074</v>
      </c>
      <c r="BK267" s="43">
        <v>23.5</v>
      </c>
    </row>
    <row r="268" spans="1:63" x14ac:dyDescent="0.25">
      <c r="B268" s="2" t="s">
        <v>28</v>
      </c>
      <c r="C268" s="2">
        <v>2020</v>
      </c>
      <c r="D268" s="1">
        <f t="shared" ref="D268:Q268" si="400">+D100+D79+D58+D37+D16+D121+D142+D163+D184+D205+D226+D247</f>
        <v>1039915</v>
      </c>
      <c r="E268" s="11">
        <f t="shared" si="400"/>
        <v>48109150.390000001</v>
      </c>
      <c r="F268" s="1">
        <f t="shared" ref="F268:G268" si="401">+F100+F79+F58+F37+F16+F121+F142+F163+F184+F205+F226+F247</f>
        <v>567512</v>
      </c>
      <c r="G268" s="11">
        <f t="shared" si="401"/>
        <v>26639693.07</v>
      </c>
      <c r="H268" s="1">
        <f t="shared" si="400"/>
        <v>91422</v>
      </c>
      <c r="I268" s="11">
        <f t="shared" si="400"/>
        <v>4788334.83</v>
      </c>
      <c r="J268" s="1">
        <f t="shared" si="400"/>
        <v>5266851</v>
      </c>
      <c r="K268" s="11">
        <f t="shared" si="400"/>
        <v>377198627.37</v>
      </c>
      <c r="L268" s="8">
        <f t="shared" si="400"/>
        <v>400089</v>
      </c>
      <c r="M268" s="11">
        <f t="shared" si="400"/>
        <v>43763022.140000001</v>
      </c>
      <c r="N268" s="8">
        <f t="shared" si="400"/>
        <v>129517</v>
      </c>
      <c r="O268" s="11">
        <f t="shared" si="400"/>
        <v>13047331.15</v>
      </c>
      <c r="P268" s="8">
        <f t="shared" si="400"/>
        <v>0</v>
      </c>
      <c r="Q268" s="11">
        <f t="shared" si="400"/>
        <v>0</v>
      </c>
      <c r="R268" s="8">
        <f t="shared" ref="R268" si="402">+R121</f>
        <v>48913</v>
      </c>
      <c r="S268" s="11">
        <f t="shared" si="347"/>
        <v>2984924</v>
      </c>
      <c r="T268" s="8">
        <f t="shared" si="369"/>
        <v>7544219</v>
      </c>
      <c r="U268" s="11">
        <f t="shared" si="370"/>
        <v>516531082.94999999</v>
      </c>
      <c r="W268" s="17">
        <f t="shared" si="348"/>
        <v>0.15644429198038923</v>
      </c>
      <c r="X268" s="17">
        <f t="shared" si="349"/>
        <v>0.84355570801961077</v>
      </c>
      <c r="Y268" s="17">
        <f t="shared" si="350"/>
        <v>0.69813071439203978</v>
      </c>
      <c r="Z268" s="17">
        <f t="shared" si="351"/>
        <v>5.3032527290101203E-2</v>
      </c>
      <c r="AA268" s="17">
        <f t="shared" si="352"/>
        <v>1.7167714776042425E-2</v>
      </c>
      <c r="AB268" s="17">
        <f t="shared" si="353"/>
        <v>0</v>
      </c>
      <c r="AI268" s="2" t="s">
        <v>28</v>
      </c>
      <c r="AJ268" s="2">
        <v>2020</v>
      </c>
      <c r="AK268" s="1">
        <f t="shared" si="371"/>
        <v>1180250</v>
      </c>
      <c r="AL268" s="11">
        <f t="shared" si="354"/>
        <v>55882409.219999999</v>
      </c>
      <c r="AM268" s="1">
        <f t="shared" si="372"/>
        <v>5266851</v>
      </c>
      <c r="AN268" s="11">
        <f t="shared" si="355"/>
        <v>377198627.37</v>
      </c>
      <c r="AO268" s="8">
        <f t="shared" si="356"/>
        <v>400089</v>
      </c>
      <c r="AP268" s="11">
        <f t="shared" si="357"/>
        <v>43763022.140000001</v>
      </c>
      <c r="AQ268" s="8">
        <f t="shared" si="358"/>
        <v>129517</v>
      </c>
      <c r="AR268" s="11">
        <f t="shared" si="359"/>
        <v>13047331.15</v>
      </c>
      <c r="AS268" s="8">
        <f t="shared" si="360"/>
        <v>0</v>
      </c>
      <c r="AT268" s="11">
        <f t="shared" si="361"/>
        <v>0</v>
      </c>
      <c r="AU268" s="8">
        <f t="shared" si="373"/>
        <v>6976707</v>
      </c>
      <c r="AV268" s="11">
        <f t="shared" si="362"/>
        <v>489891389.88</v>
      </c>
      <c r="AW268" t="s">
        <v>70</v>
      </c>
      <c r="AX268" s="37">
        <f t="shared" si="374"/>
        <v>-567512</v>
      </c>
      <c r="AY268" s="37">
        <f t="shared" si="363"/>
        <v>-26639693.069999993</v>
      </c>
      <c r="AZ268" s="13">
        <f t="shared" si="375"/>
        <v>434008980.65999997</v>
      </c>
      <c r="BA268" s="40">
        <f t="shared" si="376"/>
        <v>18468.467262127655</v>
      </c>
      <c r="BB268" s="40">
        <f t="shared" si="377"/>
        <v>5540.5401786382963</v>
      </c>
      <c r="BC268" s="13">
        <f t="shared" si="378"/>
        <v>4788334.83</v>
      </c>
      <c r="BD268" s="40">
        <f t="shared" si="364"/>
        <v>203.75892893617021</v>
      </c>
      <c r="BE268" s="40">
        <f t="shared" si="379"/>
        <v>61.127678680851062</v>
      </c>
      <c r="BF268" s="13">
        <f t="shared" si="380"/>
        <v>51094074.390000001</v>
      </c>
      <c r="BG268" s="40">
        <f t="shared" si="365"/>
        <v>2174.215931489362</v>
      </c>
      <c r="BH268" s="40">
        <f t="shared" si="381"/>
        <v>652.26477944680857</v>
      </c>
      <c r="BJ268" s="41">
        <v>44104</v>
      </c>
      <c r="BK268" s="43">
        <v>23.5</v>
      </c>
    </row>
    <row r="269" spans="1:63" x14ac:dyDescent="0.25">
      <c r="B269" s="2" t="s">
        <v>29</v>
      </c>
      <c r="C269" s="2">
        <v>2020</v>
      </c>
      <c r="D269" s="1">
        <f t="shared" ref="D269:Q270" si="403">+D101+D80+D59+D38+D17+D122+D143+D164+D185+D206+D227+D248</f>
        <v>1179525</v>
      </c>
      <c r="E269" s="11">
        <f t="shared" si="403"/>
        <v>54080690.439999998</v>
      </c>
      <c r="F269" s="1">
        <f t="shared" ref="F269:G269" si="404">+F101+F80+F59+F38+F17+F122+F143+F164+F185+F206+F227+F248</f>
        <v>640930</v>
      </c>
      <c r="G269" s="11">
        <f t="shared" si="404"/>
        <v>29841402.550000001</v>
      </c>
      <c r="H269" s="1">
        <f t="shared" si="403"/>
        <v>115181</v>
      </c>
      <c r="I269" s="11">
        <f t="shared" si="403"/>
        <v>5992442.9199999999</v>
      </c>
      <c r="J269" s="1">
        <f t="shared" si="403"/>
        <v>5953690</v>
      </c>
      <c r="K269" s="11">
        <f t="shared" si="403"/>
        <v>422296168.17000002</v>
      </c>
      <c r="L269" s="8">
        <f t="shared" si="403"/>
        <v>437692</v>
      </c>
      <c r="M269" s="11">
        <f t="shared" si="403"/>
        <v>48061416.629999995</v>
      </c>
      <c r="N269" s="8">
        <f t="shared" si="403"/>
        <v>146242</v>
      </c>
      <c r="O269" s="11">
        <f t="shared" si="403"/>
        <v>14757982.77</v>
      </c>
      <c r="P269" s="8">
        <f t="shared" si="403"/>
        <v>0</v>
      </c>
      <c r="Q269" s="11">
        <f t="shared" si="403"/>
        <v>0</v>
      </c>
      <c r="R269" s="8">
        <f t="shared" ref="R269:R270" si="405">+R122</f>
        <v>50103</v>
      </c>
      <c r="S269" s="11">
        <f t="shared" si="347"/>
        <v>3009910</v>
      </c>
      <c r="T269" s="8">
        <f t="shared" si="369"/>
        <v>8523363</v>
      </c>
      <c r="U269" s="11">
        <f t="shared" si="370"/>
        <v>578040013.48000002</v>
      </c>
      <c r="V269" s="13"/>
      <c r="W269" s="17"/>
      <c r="X269" s="17"/>
      <c r="Y269" s="17"/>
      <c r="Z269" s="17"/>
      <c r="AA269" s="17"/>
      <c r="AB269" s="17"/>
      <c r="AI269" s="2" t="s">
        <v>29</v>
      </c>
      <c r="AJ269" s="2">
        <v>2020</v>
      </c>
      <c r="AK269" s="1">
        <f t="shared" si="371"/>
        <v>1344809</v>
      </c>
      <c r="AL269" s="11">
        <f t="shared" si="354"/>
        <v>63083043.359999999</v>
      </c>
      <c r="AM269" s="1">
        <f t="shared" si="372"/>
        <v>5953690</v>
      </c>
      <c r="AN269" s="11">
        <f t="shared" si="355"/>
        <v>422296168.17000002</v>
      </c>
      <c r="AO269" s="8">
        <f t="shared" si="356"/>
        <v>437692</v>
      </c>
      <c r="AP269" s="11">
        <f t="shared" si="357"/>
        <v>48061416.629999995</v>
      </c>
      <c r="AQ269" s="8">
        <f t="shared" si="358"/>
        <v>146242</v>
      </c>
      <c r="AR269" s="11">
        <f t="shared" si="359"/>
        <v>14757982.77</v>
      </c>
      <c r="AS269" s="8">
        <f t="shared" si="360"/>
        <v>0</v>
      </c>
      <c r="AT269" s="11">
        <f t="shared" si="361"/>
        <v>0</v>
      </c>
      <c r="AU269" s="8">
        <f t="shared" si="373"/>
        <v>7882433</v>
      </c>
      <c r="AV269" s="11">
        <f t="shared" si="362"/>
        <v>548198610.92999995</v>
      </c>
      <c r="AW269" t="s">
        <v>70</v>
      </c>
      <c r="AX269" s="37">
        <f t="shared" si="374"/>
        <v>-640930</v>
      </c>
      <c r="AY269" s="37">
        <f t="shared" si="363"/>
        <v>-29841402.550000072</v>
      </c>
      <c r="AZ269" s="13">
        <f>(K269+M269+O269+Q269)/31</f>
        <v>15648889.276451612</v>
      </c>
      <c r="BA269" s="40">
        <f t="shared" si="376"/>
        <v>665.91018197666438</v>
      </c>
      <c r="BB269" s="40">
        <f>+BA269*0.3</f>
        <v>199.7730545929993</v>
      </c>
      <c r="BC269" s="13">
        <f>I269/31</f>
        <v>193304.61032258064</v>
      </c>
      <c r="BD269" s="40">
        <f t="shared" si="364"/>
        <v>8.2257280988332191</v>
      </c>
      <c r="BE269" s="40">
        <f>+BD269*0.3</f>
        <v>2.4677184296499655</v>
      </c>
      <c r="BF269" s="13">
        <f>+(E269+S269)/31</f>
        <v>1841632.2722580645</v>
      </c>
      <c r="BG269" s="40">
        <f t="shared" si="365"/>
        <v>78.367330734385718</v>
      </c>
      <c r="BH269" s="40">
        <f>+BG269*0.3</f>
        <v>23.510199220315716</v>
      </c>
    </row>
    <row r="270" spans="1:63" x14ac:dyDescent="0.25">
      <c r="B270" s="2" t="s">
        <v>30</v>
      </c>
      <c r="C270" s="2">
        <v>2020</v>
      </c>
      <c r="D270" s="1">
        <f t="shared" si="403"/>
        <v>1149115</v>
      </c>
      <c r="E270" s="11">
        <f t="shared" si="403"/>
        <v>52471868.769999996</v>
      </c>
      <c r="F270" s="1">
        <f t="shared" ref="F270:G270" si="406">+F102+F81+F60+F39+F18+F123+F144+F165+F186+F207+F228+F249</f>
        <v>599507</v>
      </c>
      <c r="G270" s="11">
        <f t="shared" si="406"/>
        <v>27833425.239999998</v>
      </c>
      <c r="H270" s="1">
        <f t="shared" si="403"/>
        <v>99006</v>
      </c>
      <c r="I270" s="11">
        <f t="shared" si="403"/>
        <v>5351795.5599999996</v>
      </c>
      <c r="J270" s="1">
        <f t="shared" si="403"/>
        <v>5776955</v>
      </c>
      <c r="K270" s="11">
        <f t="shared" si="403"/>
        <v>411796033.72000003</v>
      </c>
      <c r="L270" s="8">
        <f t="shared" si="403"/>
        <v>431401</v>
      </c>
      <c r="M270" s="11">
        <f t="shared" si="403"/>
        <v>47722963.25</v>
      </c>
      <c r="N270" s="8">
        <f t="shared" si="403"/>
        <v>143202</v>
      </c>
      <c r="O270" s="11">
        <f t="shared" si="403"/>
        <v>14426403.190000001</v>
      </c>
      <c r="P270" s="8">
        <f t="shared" si="403"/>
        <v>0</v>
      </c>
      <c r="Q270" s="11">
        <f t="shared" si="403"/>
        <v>0</v>
      </c>
      <c r="R270" s="8">
        <f t="shared" si="405"/>
        <v>43001</v>
      </c>
      <c r="S270" s="11">
        <f t="shared" si="347"/>
        <v>2612459</v>
      </c>
      <c r="T270" s="8">
        <f t="shared" si="369"/>
        <v>8242187</v>
      </c>
      <c r="U270" s="11">
        <f t="shared" si="370"/>
        <v>562214948.73000002</v>
      </c>
      <c r="W270" s="17"/>
      <c r="X270" s="17"/>
      <c r="Y270" s="17"/>
      <c r="Z270" s="17"/>
      <c r="AA270" s="17"/>
      <c r="AB270" s="17"/>
      <c r="AI270" s="2" t="s">
        <v>30</v>
      </c>
      <c r="AJ270" s="2">
        <v>2020</v>
      </c>
      <c r="AK270" s="1">
        <f t="shared" si="371"/>
        <v>1291122</v>
      </c>
      <c r="AL270" s="11">
        <f t="shared" si="354"/>
        <v>60436123.329999998</v>
      </c>
      <c r="AM270" s="1">
        <f t="shared" si="372"/>
        <v>5776955</v>
      </c>
      <c r="AN270" s="11">
        <f t="shared" si="355"/>
        <v>411796033.72000003</v>
      </c>
      <c r="AO270" s="8">
        <f t="shared" si="356"/>
        <v>431401</v>
      </c>
      <c r="AP270" s="11">
        <f t="shared" si="357"/>
        <v>47722963.25</v>
      </c>
      <c r="AQ270" s="8">
        <f t="shared" si="358"/>
        <v>143202</v>
      </c>
      <c r="AR270" s="11">
        <f t="shared" si="359"/>
        <v>14426403.190000001</v>
      </c>
      <c r="AS270" s="8">
        <f t="shared" si="360"/>
        <v>0</v>
      </c>
      <c r="AT270" s="11">
        <f t="shared" si="361"/>
        <v>0</v>
      </c>
      <c r="AU270" s="8">
        <f t="shared" si="373"/>
        <v>7642680</v>
      </c>
      <c r="AV270" s="11">
        <f t="shared" si="362"/>
        <v>534381523.49000001</v>
      </c>
      <c r="AW270" t="s">
        <v>70</v>
      </c>
      <c r="AX270" s="37">
        <f t="shared" si="374"/>
        <v>-599507</v>
      </c>
      <c r="AY270" s="37">
        <f t="shared" si="363"/>
        <v>-27833425.24000001</v>
      </c>
      <c r="AZ270" s="13">
        <f t="shared" si="375"/>
        <v>473945400.16000003</v>
      </c>
      <c r="BA270" s="40">
        <f t="shared" si="376"/>
        <v>20167.889368510641</v>
      </c>
      <c r="BB270" s="40">
        <f t="shared" si="377"/>
        <v>6050.3668105531924</v>
      </c>
      <c r="BC270" s="13">
        <f t="shared" si="378"/>
        <v>5351795.5599999996</v>
      </c>
      <c r="BD270" s="40">
        <f t="shared" si="364"/>
        <v>227.73598127659574</v>
      </c>
      <c r="BE270" s="40">
        <f t="shared" si="379"/>
        <v>68.320794382978718</v>
      </c>
      <c r="BF270" s="13">
        <f t="shared" si="380"/>
        <v>55084327.769999996</v>
      </c>
      <c r="BG270" s="40">
        <f t="shared" si="365"/>
        <v>2344.0139476595746</v>
      </c>
      <c r="BH270" s="40">
        <f t="shared" si="381"/>
        <v>703.2041842978723</v>
      </c>
    </row>
    <row r="271" spans="1:63" x14ac:dyDescent="0.25">
      <c r="B271" s="2" t="s">
        <v>31</v>
      </c>
      <c r="C271" s="2">
        <v>2020</v>
      </c>
      <c r="D271" s="1">
        <f t="shared" ref="D271:Q271" si="407">+D103+D82+D61+D40+D19+D124+D145+D166+D187+D208+D229+D250</f>
        <v>1115093</v>
      </c>
      <c r="E271" s="11">
        <f t="shared" si="407"/>
        <v>51429395.170000002</v>
      </c>
      <c r="F271" s="1">
        <f t="shared" ref="F271:G271" si="408">+F103+F82+F61+F40+F19+F124+F145+F166+F187+F208+F229+F250</f>
        <v>621111</v>
      </c>
      <c r="G271" s="11">
        <f t="shared" si="408"/>
        <v>29185428.530000001</v>
      </c>
      <c r="H271" s="1">
        <f t="shared" si="407"/>
        <v>98874</v>
      </c>
      <c r="I271" s="11">
        <f t="shared" si="407"/>
        <v>5293539.84</v>
      </c>
      <c r="J271" s="1">
        <f t="shared" si="407"/>
        <v>5769239</v>
      </c>
      <c r="K271" s="11">
        <f t="shared" si="407"/>
        <v>417187111.63999999</v>
      </c>
      <c r="L271" s="8">
        <f t="shared" si="407"/>
        <v>441554</v>
      </c>
      <c r="M271" s="11">
        <f t="shared" si="407"/>
        <v>50235470.580000006</v>
      </c>
      <c r="N271" s="8">
        <f t="shared" si="407"/>
        <v>147649</v>
      </c>
      <c r="O271" s="11">
        <f t="shared" si="407"/>
        <v>14972380.43</v>
      </c>
      <c r="P271" s="8">
        <f t="shared" si="407"/>
        <v>0</v>
      </c>
      <c r="Q271" s="11">
        <f t="shared" si="407"/>
        <v>0</v>
      </c>
      <c r="R271" s="8">
        <f t="shared" ref="R271" si="409">+R124</f>
        <v>38534</v>
      </c>
      <c r="S271" s="11">
        <f t="shared" si="347"/>
        <v>2376710</v>
      </c>
      <c r="T271" s="8">
        <f t="shared" si="369"/>
        <v>8232054</v>
      </c>
      <c r="U271" s="11">
        <f t="shared" si="370"/>
        <v>570680036.18999994</v>
      </c>
      <c r="W271" s="17"/>
      <c r="X271" s="17"/>
      <c r="Y271" s="17"/>
      <c r="Z271" s="17"/>
      <c r="AA271" s="17"/>
      <c r="AB271" s="17"/>
      <c r="AI271" s="2" t="s">
        <v>31</v>
      </c>
      <c r="AJ271" s="2">
        <v>2020</v>
      </c>
      <c r="AK271" s="1">
        <f t="shared" si="371"/>
        <v>1252501</v>
      </c>
      <c r="AL271" s="11">
        <f t="shared" si="354"/>
        <v>59099645.010000005</v>
      </c>
      <c r="AM271" s="1">
        <f t="shared" si="372"/>
        <v>5769239</v>
      </c>
      <c r="AN271" s="11">
        <f t="shared" si="355"/>
        <v>417187111.63999999</v>
      </c>
      <c r="AO271" s="8">
        <f t="shared" si="356"/>
        <v>441554</v>
      </c>
      <c r="AP271" s="11">
        <f t="shared" si="357"/>
        <v>50235470.580000006</v>
      </c>
      <c r="AQ271" s="8">
        <f t="shared" si="358"/>
        <v>147649</v>
      </c>
      <c r="AR271" s="11">
        <f t="shared" si="359"/>
        <v>14972380.43</v>
      </c>
      <c r="AS271" s="8">
        <f t="shared" si="360"/>
        <v>0</v>
      </c>
      <c r="AT271" s="11">
        <f t="shared" si="361"/>
        <v>0</v>
      </c>
      <c r="AU271" s="8">
        <f t="shared" si="373"/>
        <v>7610943</v>
      </c>
      <c r="AV271" s="11">
        <f t="shared" si="362"/>
        <v>541494607.65999997</v>
      </c>
      <c r="AW271" t="s">
        <v>70</v>
      </c>
      <c r="AX271" s="37">
        <f t="shared" si="374"/>
        <v>-621111</v>
      </c>
      <c r="AY271" s="37">
        <f t="shared" si="363"/>
        <v>-29185428.529999971</v>
      </c>
      <c r="AZ271" s="13">
        <f t="shared" si="375"/>
        <v>482394962.64999998</v>
      </c>
      <c r="BA271" s="40">
        <f t="shared" si="376"/>
        <v>20527.445219148933</v>
      </c>
      <c r="BB271" s="40">
        <f t="shared" si="377"/>
        <v>6158.2335657446793</v>
      </c>
      <c r="BC271" s="13">
        <f t="shared" si="378"/>
        <v>5293539.84</v>
      </c>
      <c r="BD271" s="40">
        <f t="shared" si="364"/>
        <v>225.25701446808512</v>
      </c>
      <c r="BE271" s="40">
        <f t="shared" si="379"/>
        <v>67.577104340425535</v>
      </c>
      <c r="BF271" s="13">
        <f t="shared" si="380"/>
        <v>53806105.170000002</v>
      </c>
      <c r="BG271" s="40">
        <f t="shared" si="365"/>
        <v>2289.6214965957452</v>
      </c>
      <c r="BH271" s="40">
        <f t="shared" si="381"/>
        <v>686.88644897872348</v>
      </c>
    </row>
    <row r="272" spans="1:63" x14ac:dyDescent="0.25">
      <c r="R272" s="9"/>
      <c r="U272" s="9"/>
      <c r="W272" s="18"/>
      <c r="X272" s="19"/>
      <c r="Y272" s="18"/>
      <c r="Z272" s="18"/>
      <c r="AA272" s="18"/>
      <c r="AB272" s="18"/>
      <c r="AL272" s="9"/>
      <c r="AN272" s="9"/>
      <c r="AP272" s="9"/>
      <c r="AR272" s="9"/>
      <c r="AS272" s="9"/>
      <c r="AT272" s="9"/>
      <c r="AV272" s="9"/>
    </row>
    <row r="273" spans="1:55" x14ac:dyDescent="0.25">
      <c r="B273" s="3" t="s">
        <v>12</v>
      </c>
      <c r="C273" s="3"/>
      <c r="D273" s="4">
        <f t="shared" ref="D273:Q273" si="410">SUM(D260:D272)</f>
        <v>13413811</v>
      </c>
      <c r="E273" s="12">
        <f t="shared" si="410"/>
        <v>595822831.21999991</v>
      </c>
      <c r="F273" s="4">
        <f t="shared" si="410"/>
        <v>7400348</v>
      </c>
      <c r="G273" s="12">
        <f t="shared" si="410"/>
        <v>332791243</v>
      </c>
      <c r="H273" s="4">
        <f t="shared" si="410"/>
        <v>1147791</v>
      </c>
      <c r="I273" s="12">
        <f t="shared" si="410"/>
        <v>58530552.340000004</v>
      </c>
      <c r="J273" s="4">
        <f t="shared" si="410"/>
        <v>64047820</v>
      </c>
      <c r="K273" s="12">
        <f t="shared" si="410"/>
        <v>4520005812.2299995</v>
      </c>
      <c r="L273" s="4">
        <f t="shared" si="410"/>
        <v>4969858</v>
      </c>
      <c r="M273" s="12">
        <f t="shared" si="410"/>
        <v>554327865.76999998</v>
      </c>
      <c r="N273" s="4">
        <f t="shared" si="410"/>
        <v>1395135</v>
      </c>
      <c r="O273" s="12">
        <f t="shared" si="410"/>
        <v>142904994.28999999</v>
      </c>
      <c r="P273" s="4">
        <f t="shared" si="410"/>
        <v>537</v>
      </c>
      <c r="Q273" s="12">
        <f t="shared" si="410"/>
        <v>54622</v>
      </c>
      <c r="R273" s="4">
        <f>SUM(R260:R272)</f>
        <v>416251</v>
      </c>
      <c r="S273" s="12">
        <f>SUM(S260:S272)</f>
        <v>24899480</v>
      </c>
      <c r="T273" s="4">
        <f>SUM(T260:T272)</f>
        <v>92791551</v>
      </c>
      <c r="U273" s="12">
        <f>SUM(U260:U272)</f>
        <v>6229337400.8499994</v>
      </c>
      <c r="W273" s="16">
        <f>+(D273+H273)/T273</f>
        <v>0.15692810221482342</v>
      </c>
      <c r="X273" s="16">
        <f>1-W273</f>
        <v>0.84307189778517655</v>
      </c>
      <c r="Y273" s="16">
        <f>+J273/T273</f>
        <v>0.69023331660875031</v>
      </c>
      <c r="Z273" s="16">
        <f>+L273/T273</f>
        <v>5.3559380638006582E-2</v>
      </c>
      <c r="AA273" s="16">
        <f>+N273/T273</f>
        <v>1.5035151206816233E-2</v>
      </c>
      <c r="AB273" s="16">
        <f>+P273/T273</f>
        <v>5.7871648249526509E-6</v>
      </c>
      <c r="AI273" s="3" t="s">
        <v>12</v>
      </c>
      <c r="AJ273" s="3"/>
      <c r="AK273" s="4">
        <f t="shared" ref="AK273:AV273" si="411">SUM(AK260:AK272)</f>
        <v>14977853</v>
      </c>
      <c r="AL273" s="12">
        <f t="shared" si="411"/>
        <v>679252863.56000006</v>
      </c>
      <c r="AM273" s="4">
        <f t="shared" si="411"/>
        <v>64047820</v>
      </c>
      <c r="AN273" s="12">
        <f t="shared" si="411"/>
        <v>4520005812.2299995</v>
      </c>
      <c r="AO273" s="4">
        <f t="shared" si="411"/>
        <v>4969858</v>
      </c>
      <c r="AP273" s="12">
        <f t="shared" si="411"/>
        <v>554327865.76999998</v>
      </c>
      <c r="AQ273" s="4">
        <f t="shared" si="411"/>
        <v>1395135</v>
      </c>
      <c r="AR273" s="12">
        <f t="shared" si="411"/>
        <v>142904994.28999999</v>
      </c>
      <c r="AS273" s="4">
        <f t="shared" si="411"/>
        <v>537</v>
      </c>
      <c r="AT273" s="12">
        <f t="shared" si="411"/>
        <v>54622</v>
      </c>
      <c r="AU273" s="4">
        <f t="shared" si="411"/>
        <v>85391203</v>
      </c>
      <c r="AV273" s="12">
        <f t="shared" si="411"/>
        <v>5896546157.8499994</v>
      </c>
    </row>
    <row r="274" spans="1:55" x14ac:dyDescent="0.25">
      <c r="H274" s="15"/>
      <c r="J274" s="15"/>
      <c r="L274" s="9"/>
    </row>
    <row r="275" spans="1:55" x14ac:dyDescent="0.25">
      <c r="B275" s="5" t="s">
        <v>14</v>
      </c>
      <c r="L275" s="28"/>
      <c r="M275" s="28"/>
    </row>
    <row r="276" spans="1:55" x14ac:dyDescent="0.25">
      <c r="B276" s="5" t="s">
        <v>47</v>
      </c>
    </row>
    <row r="277" spans="1:55" x14ac:dyDescent="0.25">
      <c r="B277" s="5"/>
      <c r="F277"/>
      <c r="J277" s="9"/>
    </row>
    <row r="278" spans="1:55" x14ac:dyDescent="0.25">
      <c r="D278" s="89" t="s">
        <v>53</v>
      </c>
      <c r="E278" s="90"/>
      <c r="F278" s="89" t="s">
        <v>54</v>
      </c>
      <c r="G278" s="90"/>
      <c r="H278" s="89" t="s">
        <v>18</v>
      </c>
      <c r="I278" s="90"/>
      <c r="J278" s="89" t="s">
        <v>52</v>
      </c>
      <c r="K278" s="90"/>
      <c r="L278" s="89" t="s">
        <v>13</v>
      </c>
      <c r="M278" s="90"/>
      <c r="N278" s="89" t="s">
        <v>34</v>
      </c>
      <c r="O278" s="90"/>
      <c r="P278" s="89" t="s">
        <v>43</v>
      </c>
      <c r="Q278" s="93"/>
      <c r="T278" s="89" t="s">
        <v>45</v>
      </c>
      <c r="U278" s="93"/>
    </row>
    <row r="279" spans="1:55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T279" s="7" t="s">
        <v>2</v>
      </c>
      <c r="U279" s="10" t="s">
        <v>3</v>
      </c>
    </row>
    <row r="280" spans="1:55" x14ac:dyDescent="0.25">
      <c r="F280"/>
      <c r="P280"/>
      <c r="U280" s="9"/>
    </row>
    <row r="281" spans="1:55" x14ac:dyDescent="0.25">
      <c r="B281" s="2" t="s">
        <v>5</v>
      </c>
      <c r="C281" s="2">
        <v>2020</v>
      </c>
      <c r="D281" s="1">
        <v>436103</v>
      </c>
      <c r="E281" s="11">
        <v>12188233.590000004</v>
      </c>
      <c r="F281" s="1">
        <v>806473</v>
      </c>
      <c r="G281" s="11">
        <v>59629681</v>
      </c>
      <c r="H281" s="1">
        <v>16176</v>
      </c>
      <c r="I281" s="11">
        <v>770349</v>
      </c>
      <c r="J281" s="1">
        <v>541565</v>
      </c>
      <c r="K281" s="11">
        <v>55861483</v>
      </c>
      <c r="L281" s="8">
        <v>333862</v>
      </c>
      <c r="M281" s="11">
        <v>17841082</v>
      </c>
      <c r="N281" s="8">
        <v>3722</v>
      </c>
      <c r="O281" s="11">
        <v>331887</v>
      </c>
      <c r="P281" s="8">
        <f t="shared" ref="P281:P292" si="412">+L281+H281+F281+D281+N281+J281</f>
        <v>2137901</v>
      </c>
      <c r="Q281" s="11">
        <f t="shared" ref="Q281:Q292" si="413">+M281+I281+G281+E281+O281+K281</f>
        <v>146622715.59</v>
      </c>
      <c r="T281" s="20">
        <f t="shared" ref="T281:T292" si="414">+P281+T260</f>
        <v>14542952</v>
      </c>
      <c r="U281" s="21">
        <f>+Q281+U260</f>
        <v>827012814.21000004</v>
      </c>
      <c r="AX281" s="13">
        <f>+Q281</f>
        <v>146622715.59</v>
      </c>
      <c r="AY281" s="40">
        <f>(AX281/$BK$260)/1000</f>
        <v>6239.2644931914901</v>
      </c>
      <c r="AZ281" s="40">
        <f>+AY281*30%</f>
        <v>1871.779347957447</v>
      </c>
      <c r="BA281" s="13"/>
      <c r="BB281" s="41">
        <v>43861</v>
      </c>
      <c r="BC281" s="42">
        <v>20.867999999999999</v>
      </c>
    </row>
    <row r="282" spans="1:55" x14ac:dyDescent="0.25">
      <c r="B282" s="2" t="s">
        <v>6</v>
      </c>
      <c r="C282" s="2">
        <v>2020</v>
      </c>
      <c r="D282" s="1">
        <v>467634</v>
      </c>
      <c r="E282" s="11">
        <v>13483631.620000001</v>
      </c>
      <c r="F282" s="1">
        <v>799891</v>
      </c>
      <c r="G282" s="11">
        <v>59667884</v>
      </c>
      <c r="H282" s="1">
        <v>14457</v>
      </c>
      <c r="I282" s="11">
        <v>736406</v>
      </c>
      <c r="J282" s="1">
        <v>516732</v>
      </c>
      <c r="K282" s="11">
        <v>55178024</v>
      </c>
      <c r="L282" s="8">
        <v>338593</v>
      </c>
      <c r="M282" s="11">
        <v>18113978</v>
      </c>
      <c r="N282" s="8">
        <v>1735</v>
      </c>
      <c r="O282" s="11">
        <v>163470</v>
      </c>
      <c r="P282" s="8">
        <f t="shared" si="412"/>
        <v>2139042</v>
      </c>
      <c r="Q282" s="11">
        <f t="shared" si="413"/>
        <v>147343393.62</v>
      </c>
      <c r="T282" s="20">
        <f t="shared" si="414"/>
        <v>14454945</v>
      </c>
      <c r="U282" s="21">
        <f t="shared" ref="U282:U292" si="415">+Q282+U261</f>
        <v>841512739.46000004</v>
      </c>
      <c r="AX282" s="13">
        <f t="shared" ref="AX282:AX292" si="416">+Q282</f>
        <v>147343393.62</v>
      </c>
      <c r="AY282" s="40">
        <f t="shared" ref="AY282:AY292" si="417">(AX282/$BK$260)/1000</f>
        <v>6269.9316434042557</v>
      </c>
      <c r="AZ282" s="40">
        <f t="shared" ref="AZ282:AZ292" si="418">+AY282*30%</f>
        <v>1880.9794930212765</v>
      </c>
      <c r="BA282" s="13"/>
      <c r="BB282" s="41">
        <v>43889</v>
      </c>
      <c r="BC282" s="42">
        <v>21.736799999999999</v>
      </c>
    </row>
    <row r="283" spans="1:55" x14ac:dyDescent="0.25">
      <c r="B283" s="2" t="s">
        <v>7</v>
      </c>
      <c r="C283" s="2">
        <v>2020</v>
      </c>
      <c r="D283" s="1">
        <v>327246</v>
      </c>
      <c r="E283" s="11">
        <v>10728921.880000003</v>
      </c>
      <c r="F283" s="1">
        <v>741530</v>
      </c>
      <c r="G283" s="11">
        <v>59654246.039999999</v>
      </c>
      <c r="H283" s="1">
        <v>14988</v>
      </c>
      <c r="I283" s="11">
        <v>780931</v>
      </c>
      <c r="J283" s="1">
        <v>515104</v>
      </c>
      <c r="K283" s="11">
        <v>57630172</v>
      </c>
      <c r="L283" s="8">
        <v>275029</v>
      </c>
      <c r="M283" s="11">
        <v>16195400</v>
      </c>
      <c r="N283" s="8">
        <v>0</v>
      </c>
      <c r="O283" s="11">
        <v>0</v>
      </c>
      <c r="P283" s="8">
        <f t="shared" si="412"/>
        <v>1873897</v>
      </c>
      <c r="Q283" s="11">
        <f t="shared" si="413"/>
        <v>144989670.91999999</v>
      </c>
      <c r="T283" s="20">
        <f t="shared" si="414"/>
        <v>11482081</v>
      </c>
      <c r="U283" s="21">
        <f t="shared" si="415"/>
        <v>757733415.89999998</v>
      </c>
      <c r="AX283" s="13">
        <f t="shared" si="416"/>
        <v>144989670.91999999</v>
      </c>
      <c r="AY283" s="40">
        <f t="shared" si="417"/>
        <v>6169.7732306382977</v>
      </c>
      <c r="AZ283" s="40">
        <f t="shared" si="418"/>
        <v>1850.9319691914893</v>
      </c>
      <c r="BA283" s="13"/>
      <c r="BB283" s="41">
        <v>43921</v>
      </c>
      <c r="BC283" s="42">
        <v>25.712199999999999</v>
      </c>
    </row>
    <row r="284" spans="1:55" x14ac:dyDescent="0.25">
      <c r="B284" s="2" t="s">
        <v>8</v>
      </c>
      <c r="C284" s="2">
        <v>2020</v>
      </c>
      <c r="D284" s="1">
        <v>73972</v>
      </c>
      <c r="E284" s="11">
        <v>3378084.58</v>
      </c>
      <c r="F284" s="1">
        <v>422435</v>
      </c>
      <c r="G284" s="11">
        <v>38142288</v>
      </c>
      <c r="H284" s="1">
        <v>12909</v>
      </c>
      <c r="I284" s="11">
        <v>641516</v>
      </c>
      <c r="J284" s="1">
        <v>341034</v>
      </c>
      <c r="K284" s="11">
        <v>40142115</v>
      </c>
      <c r="L284" s="8">
        <v>133239</v>
      </c>
      <c r="M284" s="11">
        <v>9889897</v>
      </c>
      <c r="N284" s="8">
        <v>0</v>
      </c>
      <c r="O284" s="11">
        <v>0</v>
      </c>
      <c r="P284" s="8">
        <f t="shared" si="412"/>
        <v>983589</v>
      </c>
      <c r="Q284" s="11">
        <f t="shared" si="413"/>
        <v>92193900.579999998</v>
      </c>
      <c r="T284" s="20">
        <f t="shared" si="414"/>
        <v>4794081</v>
      </c>
      <c r="U284" s="21">
        <f t="shared" si="415"/>
        <v>426132808.09999996</v>
      </c>
      <c r="AX284" s="13">
        <f t="shared" si="416"/>
        <v>92193900.579999998</v>
      </c>
      <c r="AY284" s="40">
        <f t="shared" si="417"/>
        <v>3923.1447055319145</v>
      </c>
      <c r="AZ284" s="40">
        <f t="shared" si="418"/>
        <v>1176.9434116595744</v>
      </c>
      <c r="BA284" s="13"/>
      <c r="BB284" s="41">
        <v>43951</v>
      </c>
      <c r="BC284" s="42">
        <v>26.025600000000001</v>
      </c>
    </row>
    <row r="285" spans="1:55" x14ac:dyDescent="0.25">
      <c r="B285" s="2" t="s">
        <v>9</v>
      </c>
      <c r="C285" s="2">
        <v>2020</v>
      </c>
      <c r="D285" s="1">
        <v>72387</v>
      </c>
      <c r="E285" s="11">
        <v>3390570.8699999996</v>
      </c>
      <c r="F285" s="1">
        <v>433430</v>
      </c>
      <c r="G285" s="11">
        <v>40069550</v>
      </c>
      <c r="H285" s="1">
        <v>14238</v>
      </c>
      <c r="I285" s="11">
        <v>698649</v>
      </c>
      <c r="J285" s="1">
        <v>351245</v>
      </c>
      <c r="K285" s="11">
        <v>41448789</v>
      </c>
      <c r="L285" s="8">
        <v>132916</v>
      </c>
      <c r="M285" s="11">
        <v>9978933</v>
      </c>
      <c r="N285" s="8">
        <v>0</v>
      </c>
      <c r="O285" s="11">
        <v>0</v>
      </c>
      <c r="P285" s="8">
        <f t="shared" si="412"/>
        <v>1004216</v>
      </c>
      <c r="Q285" s="11">
        <f t="shared" si="413"/>
        <v>95586491.870000005</v>
      </c>
      <c r="T285" s="20">
        <f t="shared" si="414"/>
        <v>4800460</v>
      </c>
      <c r="U285" s="21">
        <f t="shared" si="415"/>
        <v>421744683.63</v>
      </c>
      <c r="AX285" s="13">
        <f t="shared" si="416"/>
        <v>95586491.870000005</v>
      </c>
      <c r="AY285" s="40">
        <f t="shared" si="417"/>
        <v>4067.5102923404256</v>
      </c>
      <c r="AZ285" s="40">
        <f t="shared" si="418"/>
        <v>1220.2530877021277</v>
      </c>
      <c r="BA285" s="13"/>
      <c r="BB285" s="41">
        <v>43980</v>
      </c>
      <c r="BC285" s="42">
        <v>24.689399999999999</v>
      </c>
    </row>
    <row r="286" spans="1:55" x14ac:dyDescent="0.25">
      <c r="B286" s="2" t="s">
        <v>10</v>
      </c>
      <c r="C286" s="2">
        <v>2020</v>
      </c>
      <c r="D286" s="1">
        <v>108299</v>
      </c>
      <c r="E286" s="11">
        <v>4542207.4499999993</v>
      </c>
      <c r="F286" s="1">
        <v>519739</v>
      </c>
      <c r="G286" s="11">
        <v>49049155</v>
      </c>
      <c r="H286" s="1">
        <v>16511</v>
      </c>
      <c r="I286" s="11">
        <v>792437</v>
      </c>
      <c r="J286" s="1">
        <v>412618</v>
      </c>
      <c r="K286" s="11">
        <v>48353598</v>
      </c>
      <c r="L286" s="8">
        <v>160515</v>
      </c>
      <c r="M286" s="11">
        <v>11730344</v>
      </c>
      <c r="N286" s="8">
        <v>0</v>
      </c>
      <c r="O286" s="11">
        <v>0</v>
      </c>
      <c r="P286" s="8">
        <f t="shared" si="412"/>
        <v>1217682</v>
      </c>
      <c r="Q286" s="11">
        <f t="shared" si="413"/>
        <v>114467741.45</v>
      </c>
      <c r="T286" s="20">
        <f t="shared" si="414"/>
        <v>6027152</v>
      </c>
      <c r="U286" s="21">
        <f t="shared" si="415"/>
        <v>497980580.08999997</v>
      </c>
      <c r="AX286" s="13">
        <f t="shared" si="416"/>
        <v>114467741.45</v>
      </c>
      <c r="AY286" s="40">
        <f t="shared" si="417"/>
        <v>4870.9677212765964</v>
      </c>
      <c r="AZ286" s="40">
        <f t="shared" si="418"/>
        <v>1461.290316382979</v>
      </c>
      <c r="BA286" s="13"/>
      <c r="BB286" s="41">
        <v>44012</v>
      </c>
      <c r="BC286" s="42">
        <v>25.880800000000001</v>
      </c>
    </row>
    <row r="287" spans="1:55" x14ac:dyDescent="0.25">
      <c r="B287" s="2" t="s">
        <v>11</v>
      </c>
      <c r="C287" s="2">
        <v>2020</v>
      </c>
      <c r="D287" s="1">
        <v>172664</v>
      </c>
      <c r="E287" s="11">
        <v>7873893.9100000011</v>
      </c>
      <c r="F287" s="1">
        <v>629249</v>
      </c>
      <c r="G287" s="11">
        <v>57827261</v>
      </c>
      <c r="H287" s="1">
        <v>19468</v>
      </c>
      <c r="I287" s="11">
        <v>934775</v>
      </c>
      <c r="J287" s="1">
        <v>517677</v>
      </c>
      <c r="K287" s="11">
        <v>59212071</v>
      </c>
      <c r="L287" s="8">
        <v>202934</v>
      </c>
      <c r="M287" s="11">
        <v>14482971</v>
      </c>
      <c r="N287" s="8">
        <v>0</v>
      </c>
      <c r="O287" s="11">
        <v>0</v>
      </c>
      <c r="P287" s="8">
        <f t="shared" si="412"/>
        <v>1541992</v>
      </c>
      <c r="Q287" s="11">
        <f t="shared" si="413"/>
        <v>140330971.91</v>
      </c>
      <c r="T287" s="20">
        <f t="shared" si="414"/>
        <v>7902209</v>
      </c>
      <c r="U287" s="21">
        <f t="shared" si="415"/>
        <v>609261705.5999999</v>
      </c>
      <c r="AX287" s="13">
        <f t="shared" si="416"/>
        <v>140330971.91</v>
      </c>
      <c r="AY287" s="40">
        <f t="shared" si="417"/>
        <v>5971.5307195744681</v>
      </c>
      <c r="AZ287" s="40">
        <f t="shared" si="418"/>
        <v>1791.4592158723403</v>
      </c>
      <c r="BA287" s="13"/>
      <c r="BB287" s="41">
        <v>44043</v>
      </c>
      <c r="BC287" s="42">
        <v>26.302900000000001</v>
      </c>
    </row>
    <row r="288" spans="1:55" x14ac:dyDescent="0.25">
      <c r="B288" s="2" t="s">
        <v>4</v>
      </c>
      <c r="C288" s="2">
        <v>2020</v>
      </c>
      <c r="D288" s="1">
        <v>186952</v>
      </c>
      <c r="E288" s="11">
        <v>8489852.4900000002</v>
      </c>
      <c r="F288" s="1">
        <v>707949</v>
      </c>
      <c r="G288" s="11">
        <v>64132781</v>
      </c>
      <c r="H288" s="1">
        <v>19912</v>
      </c>
      <c r="I288" s="11">
        <v>944648</v>
      </c>
      <c r="J288" s="1">
        <v>547039</v>
      </c>
      <c r="K288" s="11">
        <v>62299947</v>
      </c>
      <c r="L288" s="8">
        <v>233900</v>
      </c>
      <c r="M288" s="11">
        <v>16740367</v>
      </c>
      <c r="N288" s="8">
        <v>0</v>
      </c>
      <c r="O288" s="11">
        <v>0</v>
      </c>
      <c r="P288" s="8">
        <f t="shared" si="412"/>
        <v>1695752</v>
      </c>
      <c r="Q288" s="11">
        <f t="shared" si="413"/>
        <v>152607595.49000001</v>
      </c>
      <c r="T288" s="20">
        <f t="shared" si="414"/>
        <v>8839919</v>
      </c>
      <c r="U288" s="21">
        <f t="shared" si="415"/>
        <v>654635053.94000006</v>
      </c>
      <c r="AX288" s="13">
        <f t="shared" si="416"/>
        <v>152607595.49000001</v>
      </c>
      <c r="AY288" s="40">
        <f t="shared" si="417"/>
        <v>6493.9402336170215</v>
      </c>
      <c r="AZ288" s="40">
        <f t="shared" si="418"/>
        <v>1948.1820700851063</v>
      </c>
      <c r="BA288" s="13"/>
      <c r="BB288" s="41">
        <v>44074</v>
      </c>
      <c r="BC288" s="42">
        <v>26.093800000000002</v>
      </c>
    </row>
    <row r="289" spans="2:55" x14ac:dyDescent="0.25">
      <c r="B289" s="2" t="s">
        <v>28</v>
      </c>
      <c r="C289" s="2">
        <v>2020</v>
      </c>
      <c r="D289" s="1">
        <v>199446</v>
      </c>
      <c r="E289" s="11">
        <v>8559175.7200000025</v>
      </c>
      <c r="F289" s="1">
        <v>710094</v>
      </c>
      <c r="G289" s="11">
        <v>64696922</v>
      </c>
      <c r="H289" s="1">
        <v>20633</v>
      </c>
      <c r="I289" s="11">
        <v>971517</v>
      </c>
      <c r="J289" s="1">
        <v>528948</v>
      </c>
      <c r="K289" s="11">
        <v>61043016</v>
      </c>
      <c r="L289" s="8">
        <v>232268</v>
      </c>
      <c r="M289" s="11">
        <v>16387441</v>
      </c>
      <c r="N289" s="8">
        <v>0</v>
      </c>
      <c r="O289" s="11">
        <v>0</v>
      </c>
      <c r="P289" s="8">
        <f t="shared" si="412"/>
        <v>1691389</v>
      </c>
      <c r="Q289" s="11">
        <f t="shared" si="413"/>
        <v>151658071.72</v>
      </c>
      <c r="T289" s="20">
        <f t="shared" si="414"/>
        <v>9235608</v>
      </c>
      <c r="U289" s="21">
        <f t="shared" si="415"/>
        <v>668189154.66999996</v>
      </c>
      <c r="AX289" s="13">
        <f t="shared" si="416"/>
        <v>151658071.72</v>
      </c>
      <c r="AY289" s="40">
        <f t="shared" si="417"/>
        <v>6453.5349668085109</v>
      </c>
      <c r="AZ289" s="40">
        <f t="shared" si="418"/>
        <v>1936.0604900425533</v>
      </c>
      <c r="BA289" s="13"/>
      <c r="BB289" s="41">
        <v>44104</v>
      </c>
      <c r="BC289" s="42">
        <v>25.9315</v>
      </c>
    </row>
    <row r="290" spans="2:55" x14ac:dyDescent="0.25">
      <c r="B290" s="2" t="s">
        <v>29</v>
      </c>
      <c r="C290" s="2">
        <v>2020</v>
      </c>
      <c r="D290" s="1">
        <v>254684</v>
      </c>
      <c r="E290" s="11">
        <v>10155119.659999998</v>
      </c>
      <c r="F290" s="1">
        <v>789437</v>
      </c>
      <c r="G290" s="11">
        <v>73242442</v>
      </c>
      <c r="H290" s="1">
        <v>22719</v>
      </c>
      <c r="I290" s="11">
        <v>1070077</v>
      </c>
      <c r="J290" s="1">
        <v>552346</v>
      </c>
      <c r="K290" s="11">
        <v>65421747</v>
      </c>
      <c r="L290" s="8">
        <v>262859</v>
      </c>
      <c r="M290" s="11">
        <v>18613357</v>
      </c>
      <c r="N290" s="8">
        <v>0</v>
      </c>
      <c r="O290" s="11">
        <v>0</v>
      </c>
      <c r="P290" s="8">
        <f t="shared" si="412"/>
        <v>1882045</v>
      </c>
      <c r="Q290" s="11">
        <f t="shared" si="413"/>
        <v>168502742.66</v>
      </c>
      <c r="T290" s="20">
        <f t="shared" si="414"/>
        <v>10405408</v>
      </c>
      <c r="U290" s="21">
        <f t="shared" si="415"/>
        <v>746542756.13999999</v>
      </c>
      <c r="AX290" s="13">
        <f>+Q290/31</f>
        <v>5435572.3438709676</v>
      </c>
      <c r="AY290" s="40">
        <f t="shared" si="417"/>
        <v>231.3009508030199</v>
      </c>
      <c r="AZ290" s="40">
        <f t="shared" si="418"/>
        <v>69.390285240905968</v>
      </c>
      <c r="BA290" s="13"/>
      <c r="BB290" s="40"/>
      <c r="BC290" s="40"/>
    </row>
    <row r="291" spans="2:55" x14ac:dyDescent="0.25">
      <c r="B291" s="2" t="s">
        <v>30</v>
      </c>
      <c r="C291" s="2">
        <v>2020</v>
      </c>
      <c r="D291" s="1">
        <v>253947</v>
      </c>
      <c r="E291" s="11">
        <v>10480315.020000001</v>
      </c>
      <c r="F291" s="1">
        <v>730918</v>
      </c>
      <c r="G291" s="11">
        <v>72996752</v>
      </c>
      <c r="H291" s="1">
        <v>21960</v>
      </c>
      <c r="I291" s="11">
        <v>1057268</v>
      </c>
      <c r="J291" s="1">
        <v>575500</v>
      </c>
      <c r="K291" s="11">
        <v>66772381</v>
      </c>
      <c r="L291" s="8">
        <v>247267</v>
      </c>
      <c r="M291" s="11">
        <v>17995293</v>
      </c>
      <c r="N291" s="8"/>
      <c r="O291" s="11"/>
      <c r="P291" s="8">
        <f t="shared" si="412"/>
        <v>1829592</v>
      </c>
      <c r="Q291" s="11">
        <f t="shared" si="413"/>
        <v>169302009.01999998</v>
      </c>
      <c r="T291" s="20">
        <f t="shared" si="414"/>
        <v>10071779</v>
      </c>
      <c r="U291" s="21">
        <f t="shared" si="415"/>
        <v>731516957.75</v>
      </c>
      <c r="AX291" s="13">
        <f t="shared" si="416"/>
        <v>169302009.01999998</v>
      </c>
      <c r="AY291" s="40">
        <f t="shared" si="417"/>
        <v>7204.3408093617008</v>
      </c>
      <c r="AZ291" s="40">
        <f t="shared" si="418"/>
        <v>2161.3022428085101</v>
      </c>
      <c r="BA291" s="13"/>
      <c r="BB291" s="40"/>
      <c r="BC291" s="40"/>
    </row>
    <row r="292" spans="2:55" x14ac:dyDescent="0.25">
      <c r="B292" s="2" t="s">
        <v>31</v>
      </c>
      <c r="C292" s="2">
        <v>2020</v>
      </c>
      <c r="D292" s="1">
        <v>253564</v>
      </c>
      <c r="E292" s="11">
        <v>10551992.83</v>
      </c>
      <c r="F292" s="1">
        <v>802689</v>
      </c>
      <c r="G292" s="11">
        <v>81829085</v>
      </c>
      <c r="H292" s="1">
        <v>24897</v>
      </c>
      <c r="I292" s="11">
        <v>1132602</v>
      </c>
      <c r="J292" s="1">
        <v>651827</v>
      </c>
      <c r="K292" s="11">
        <v>75365277</v>
      </c>
      <c r="L292" s="8">
        <v>248145</v>
      </c>
      <c r="M292" s="11">
        <v>18267079</v>
      </c>
      <c r="N292" s="8"/>
      <c r="O292" s="11"/>
      <c r="P292" s="8">
        <f t="shared" si="412"/>
        <v>1981122</v>
      </c>
      <c r="Q292" s="11">
        <f t="shared" si="413"/>
        <v>187146035.82999998</v>
      </c>
      <c r="T292" s="20">
        <f t="shared" si="414"/>
        <v>10213176</v>
      </c>
      <c r="U292" s="21">
        <f t="shared" si="415"/>
        <v>757826072.01999998</v>
      </c>
      <c r="AX292" s="13">
        <f t="shared" si="416"/>
        <v>187146035.82999998</v>
      </c>
      <c r="AY292" s="40">
        <f t="shared" si="417"/>
        <v>7963.661099148936</v>
      </c>
      <c r="AZ292" s="40">
        <f t="shared" si="418"/>
        <v>2389.0983297446805</v>
      </c>
      <c r="BA292" s="13"/>
      <c r="BB292" s="40"/>
      <c r="BC292" s="40"/>
    </row>
    <row r="293" spans="2:55" x14ac:dyDescent="0.25">
      <c r="F293"/>
      <c r="P293"/>
      <c r="U293" s="9"/>
    </row>
    <row r="294" spans="2:55" x14ac:dyDescent="0.25">
      <c r="B294" s="3" t="s">
        <v>12</v>
      </c>
      <c r="C294" s="3"/>
      <c r="D294" s="4">
        <f>SUM(D281:D293)</f>
        <v>2806898</v>
      </c>
      <c r="E294" s="12">
        <f t="shared" ref="E294:Q294" si="419">SUM(E281:E293)</f>
        <v>103821999.61999999</v>
      </c>
      <c r="F294" s="4">
        <f t="shared" si="419"/>
        <v>8093834</v>
      </c>
      <c r="G294" s="12">
        <f t="shared" si="419"/>
        <v>720938047.03999996</v>
      </c>
      <c r="H294" s="4">
        <f t="shared" si="419"/>
        <v>218868</v>
      </c>
      <c r="I294" s="12">
        <f t="shared" si="419"/>
        <v>10531175</v>
      </c>
      <c r="J294" s="4">
        <f>SUM(J281:J293)</f>
        <v>6051635</v>
      </c>
      <c r="K294" s="12">
        <f>SUM(K281:K293)</f>
        <v>688728620</v>
      </c>
      <c r="L294" s="4">
        <f t="shared" si="419"/>
        <v>2801527</v>
      </c>
      <c r="M294" s="12">
        <f t="shared" si="419"/>
        <v>186236142</v>
      </c>
      <c r="N294" s="4">
        <f t="shared" si="419"/>
        <v>5457</v>
      </c>
      <c r="O294" s="12">
        <f t="shared" si="419"/>
        <v>495357</v>
      </c>
      <c r="P294" s="4">
        <f t="shared" si="419"/>
        <v>19978219</v>
      </c>
      <c r="Q294" s="12">
        <f t="shared" si="419"/>
        <v>1710751340.6599998</v>
      </c>
      <c r="R294" s="13"/>
      <c r="T294" s="22">
        <f>SUM(T281:T293)</f>
        <v>112769770</v>
      </c>
      <c r="U294" s="23">
        <f>SUM(U281:U293)</f>
        <v>7940088741.5100002</v>
      </c>
    </row>
    <row r="295" spans="2:55" x14ac:dyDescent="0.25">
      <c r="F295" s="39">
        <f>+F294+D294</f>
        <v>10900732</v>
      </c>
      <c r="G295" s="9">
        <f>+G294+E294</f>
        <v>824760046.65999997</v>
      </c>
      <c r="H295" s="39"/>
      <c r="J295" s="39">
        <f t="shared" ref="J295:K295" si="420">+J294</f>
        <v>6051635</v>
      </c>
      <c r="K295" s="9">
        <f t="shared" si="420"/>
        <v>688728620</v>
      </c>
      <c r="L295" s="39"/>
      <c r="N295" s="39"/>
      <c r="P295" s="9">
        <f>+N295+L295+J295+H295+F295</f>
        <v>16952367</v>
      </c>
      <c r="Q295" s="9">
        <f>+O295+M295+K295+I295+G295</f>
        <v>1513488666.6599998</v>
      </c>
      <c r="R295" s="9"/>
    </row>
    <row r="296" spans="2:55" x14ac:dyDescent="0.25">
      <c r="F296"/>
      <c r="N296" s="9"/>
      <c r="P296" s="29">
        <f>+P295/P294</f>
        <v>0.84854245516079285</v>
      </c>
      <c r="Q296" s="29">
        <f>+Q295/Q294</f>
        <v>0.88469237503335996</v>
      </c>
      <c r="R296" s="9"/>
      <c r="S296"/>
    </row>
    <row r="297" spans="2:55" x14ac:dyDescent="0.25">
      <c r="B297" s="5" t="s">
        <v>14</v>
      </c>
      <c r="F297"/>
      <c r="N297" s="9"/>
      <c r="P297"/>
      <c r="S297"/>
    </row>
    <row r="298" spans="2:55" x14ac:dyDescent="0.25">
      <c r="B298" s="5" t="s">
        <v>74</v>
      </c>
      <c r="F298"/>
      <c r="N298" s="9"/>
      <c r="P298"/>
      <c r="S298"/>
    </row>
    <row r="299" spans="2:55" x14ac:dyDescent="0.25">
      <c r="F299"/>
      <c r="N299" s="9"/>
      <c r="P299"/>
      <c r="Q299"/>
      <c r="S299"/>
    </row>
    <row r="300" spans="2:55" x14ac:dyDescent="0.25">
      <c r="D300" s="89" t="s">
        <v>15</v>
      </c>
      <c r="E300" s="90"/>
      <c r="F300" s="89" t="s">
        <v>72</v>
      </c>
      <c r="G300" s="90"/>
      <c r="H300" s="89" t="s">
        <v>16</v>
      </c>
      <c r="I300" s="90"/>
      <c r="J300" s="89" t="s">
        <v>73</v>
      </c>
      <c r="K300" s="90"/>
      <c r="L300" s="89" t="s">
        <v>70</v>
      </c>
      <c r="M300" s="90"/>
      <c r="N300" s="9"/>
      <c r="P300"/>
      <c r="Q300"/>
      <c r="S300"/>
    </row>
    <row r="301" spans="2:55" x14ac:dyDescent="0.25">
      <c r="B301" s="7" t="s">
        <v>0</v>
      </c>
      <c r="C301" s="7" t="s">
        <v>1</v>
      </c>
      <c r="D301" s="7" t="s">
        <v>2</v>
      </c>
      <c r="E301" s="10" t="s">
        <v>3</v>
      </c>
      <c r="F301" s="7" t="s">
        <v>2</v>
      </c>
      <c r="G301" s="10" t="s">
        <v>3</v>
      </c>
      <c r="H301" s="7" t="s">
        <v>2</v>
      </c>
      <c r="I301" s="10" t="s">
        <v>3</v>
      </c>
      <c r="J301" s="7" t="s">
        <v>2</v>
      </c>
      <c r="K301" s="10" t="s">
        <v>3</v>
      </c>
      <c r="L301" s="7" t="s">
        <v>2</v>
      </c>
      <c r="M301" s="10" t="s">
        <v>3</v>
      </c>
      <c r="N301" s="9"/>
      <c r="P301"/>
      <c r="Q301"/>
      <c r="S301"/>
    </row>
    <row r="302" spans="2:55" x14ac:dyDescent="0.25">
      <c r="N302" s="9"/>
      <c r="P302"/>
      <c r="Q302"/>
      <c r="S302"/>
    </row>
    <row r="303" spans="2:55" x14ac:dyDescent="0.25">
      <c r="B303" s="2" t="s">
        <v>5</v>
      </c>
      <c r="C303" s="2">
        <v>2020</v>
      </c>
      <c r="D303" s="1">
        <v>255961</v>
      </c>
      <c r="E303" s="11">
        <v>7755137.1799999997</v>
      </c>
      <c r="F303" s="1">
        <v>155599</v>
      </c>
      <c r="G303" s="11">
        <v>3926958.25</v>
      </c>
      <c r="H303" s="1">
        <v>24214</v>
      </c>
      <c r="I303" s="11">
        <v>499227.68000000005</v>
      </c>
      <c r="J303" s="1">
        <v>329</v>
      </c>
      <c r="K303" s="11">
        <v>6910.48</v>
      </c>
      <c r="L303" s="1">
        <f>+D303+F303+H303+J303</f>
        <v>436103</v>
      </c>
      <c r="M303" s="11">
        <f>+E303+G303+I303+K303</f>
        <v>12188233.59</v>
      </c>
      <c r="N303" s="39">
        <f>+L303-D281</f>
        <v>0</v>
      </c>
      <c r="O303" s="13">
        <f>+M303-E281</f>
        <v>0</v>
      </c>
      <c r="P303"/>
      <c r="Q303"/>
    </row>
    <row r="304" spans="2:55" x14ac:dyDescent="0.25">
      <c r="B304" s="2" t="s">
        <v>6</v>
      </c>
      <c r="C304" s="2">
        <v>2020</v>
      </c>
      <c r="D304" s="1">
        <v>266925</v>
      </c>
      <c r="E304" s="11">
        <v>8397511.7700000014</v>
      </c>
      <c r="F304" s="1">
        <v>175349</v>
      </c>
      <c r="G304" s="11">
        <v>4535701.0699999994</v>
      </c>
      <c r="H304" s="1">
        <v>24986</v>
      </c>
      <c r="I304" s="11">
        <v>540186.78999999992</v>
      </c>
      <c r="J304" s="1">
        <v>374</v>
      </c>
      <c r="K304" s="11">
        <v>10231.989999999996</v>
      </c>
      <c r="L304" s="1">
        <f t="shared" ref="L304:L314" si="421">+D304+F304+H304+J304</f>
        <v>467634</v>
      </c>
      <c r="M304" s="11">
        <f t="shared" ref="M304:M314" si="422">+E304+G304+I304+K304</f>
        <v>13483631.619999999</v>
      </c>
      <c r="N304" s="39">
        <f>+L304-D282</f>
        <v>0</v>
      </c>
      <c r="O304" s="13">
        <f t="shared" ref="O304" si="423">+M304-E282</f>
        <v>0</v>
      </c>
      <c r="P304"/>
      <c r="Q304"/>
    </row>
    <row r="305" spans="2:17" x14ac:dyDescent="0.25">
      <c r="B305" s="2" t="s">
        <v>7</v>
      </c>
      <c r="C305" s="2">
        <v>2020</v>
      </c>
      <c r="D305" s="1">
        <v>189051</v>
      </c>
      <c r="E305" s="11">
        <v>6746880.4299999988</v>
      </c>
      <c r="F305" s="1">
        <v>121668</v>
      </c>
      <c r="G305" s="11">
        <v>3621292.9700000007</v>
      </c>
      <c r="H305" s="1">
        <v>16333</v>
      </c>
      <c r="I305" s="11">
        <v>354832.42</v>
      </c>
      <c r="J305" s="1">
        <v>194</v>
      </c>
      <c r="K305" s="11">
        <v>5916.0600000000013</v>
      </c>
      <c r="L305" s="1">
        <f t="shared" si="421"/>
        <v>327246</v>
      </c>
      <c r="M305" s="11">
        <f t="shared" si="422"/>
        <v>10728921.879999999</v>
      </c>
      <c r="N305" s="39">
        <f t="shared" ref="N305:O305" si="424">+L305-D283</f>
        <v>0</v>
      </c>
      <c r="O305" s="13">
        <f t="shared" si="424"/>
        <v>0</v>
      </c>
      <c r="P305"/>
      <c r="Q305"/>
    </row>
    <row r="306" spans="2:17" x14ac:dyDescent="0.25">
      <c r="B306" s="2" t="s">
        <v>8</v>
      </c>
      <c r="C306" s="2">
        <v>2020</v>
      </c>
      <c r="D306" s="1">
        <v>46345</v>
      </c>
      <c r="E306" s="11">
        <v>2209985.1200000006</v>
      </c>
      <c r="F306" s="1">
        <v>25550</v>
      </c>
      <c r="G306" s="11">
        <v>1112745.8999999999</v>
      </c>
      <c r="H306" s="1">
        <v>2010</v>
      </c>
      <c r="I306" s="11">
        <v>52826.060000000005</v>
      </c>
      <c r="J306" s="1">
        <v>67</v>
      </c>
      <c r="K306" s="11">
        <v>2527.4999999999995</v>
      </c>
      <c r="L306" s="1">
        <f t="shared" si="421"/>
        <v>73972</v>
      </c>
      <c r="M306" s="11">
        <f t="shared" si="422"/>
        <v>3378084.5800000005</v>
      </c>
      <c r="N306" s="39">
        <f t="shared" ref="N306:O306" si="425">+L306-D284</f>
        <v>0</v>
      </c>
      <c r="O306" s="13">
        <f t="shared" si="425"/>
        <v>0</v>
      </c>
      <c r="P306"/>
      <c r="Q306"/>
    </row>
    <row r="307" spans="2:17" x14ac:dyDescent="0.25">
      <c r="B307" s="2" t="s">
        <v>9</v>
      </c>
      <c r="C307" s="2">
        <v>2020</v>
      </c>
      <c r="D307" s="1">
        <v>44745</v>
      </c>
      <c r="E307" s="11">
        <v>2215322.3699999992</v>
      </c>
      <c r="F307" s="1">
        <v>25872</v>
      </c>
      <c r="G307" s="11">
        <v>1127889.5900000001</v>
      </c>
      <c r="H307" s="1">
        <v>1713</v>
      </c>
      <c r="I307" s="11">
        <v>45447.490000000005</v>
      </c>
      <c r="J307" s="1">
        <v>57</v>
      </c>
      <c r="K307" s="11">
        <v>1911.42</v>
      </c>
      <c r="L307" s="1">
        <f t="shared" si="421"/>
        <v>72387</v>
      </c>
      <c r="M307" s="11">
        <f t="shared" si="422"/>
        <v>3390570.8699999992</v>
      </c>
      <c r="N307" s="39">
        <f t="shared" ref="N307:O307" si="426">+L307-D285</f>
        <v>0</v>
      </c>
      <c r="O307" s="13">
        <f t="shared" si="426"/>
        <v>0</v>
      </c>
      <c r="P307"/>
      <c r="Q307"/>
    </row>
    <row r="308" spans="2:17" x14ac:dyDescent="0.25">
      <c r="B308" s="2" t="s">
        <v>10</v>
      </c>
      <c r="C308" s="2">
        <v>2020</v>
      </c>
      <c r="D308" s="1">
        <v>65904</v>
      </c>
      <c r="E308" s="11">
        <v>2894093.86</v>
      </c>
      <c r="F308" s="1">
        <v>39622</v>
      </c>
      <c r="G308" s="11">
        <v>1580572.7100000002</v>
      </c>
      <c r="H308" s="1">
        <v>2681</v>
      </c>
      <c r="I308" s="11">
        <v>64725.700000000012</v>
      </c>
      <c r="J308" s="1">
        <v>92</v>
      </c>
      <c r="K308" s="11">
        <v>2815.1800000000007</v>
      </c>
      <c r="L308" s="1">
        <f t="shared" si="421"/>
        <v>108299</v>
      </c>
      <c r="M308" s="11">
        <f t="shared" si="422"/>
        <v>4542207.45</v>
      </c>
      <c r="N308" s="39">
        <f t="shared" ref="N308:O308" si="427">+L308-D286</f>
        <v>0</v>
      </c>
      <c r="O308" s="13">
        <f t="shared" si="427"/>
        <v>0</v>
      </c>
      <c r="P308"/>
      <c r="Q308"/>
    </row>
    <row r="309" spans="2:17" x14ac:dyDescent="0.25">
      <c r="B309" s="2" t="s">
        <v>11</v>
      </c>
      <c r="C309" s="2">
        <v>2020</v>
      </c>
      <c r="D309" s="1">
        <v>105865</v>
      </c>
      <c r="E309" s="11">
        <v>5102961.5199999986</v>
      </c>
      <c r="F309" s="1">
        <v>61877</v>
      </c>
      <c r="G309" s="11">
        <v>2630601.2000000002</v>
      </c>
      <c r="H309" s="1">
        <v>4690</v>
      </c>
      <c r="I309" s="11">
        <v>131988.96</v>
      </c>
      <c r="J309" s="1">
        <v>232</v>
      </c>
      <c r="K309" s="11">
        <v>8342.23</v>
      </c>
      <c r="L309" s="1">
        <f t="shared" si="421"/>
        <v>172664</v>
      </c>
      <c r="M309" s="11">
        <f t="shared" si="422"/>
        <v>7873893.9099999992</v>
      </c>
      <c r="N309" s="39">
        <f t="shared" ref="N309:O309" si="428">+L309-D287</f>
        <v>0</v>
      </c>
      <c r="O309" s="13">
        <f t="shared" si="428"/>
        <v>0</v>
      </c>
      <c r="P309"/>
      <c r="Q309"/>
    </row>
    <row r="310" spans="2:17" x14ac:dyDescent="0.25">
      <c r="B310" s="2" t="s">
        <v>4</v>
      </c>
      <c r="C310" s="2">
        <v>2020</v>
      </c>
      <c r="D310" s="1">
        <v>116646</v>
      </c>
      <c r="E310" s="11">
        <v>5616176.1699999999</v>
      </c>
      <c r="F310" s="1">
        <v>64655</v>
      </c>
      <c r="G310" s="11">
        <v>2710460.19</v>
      </c>
      <c r="H310" s="1">
        <v>5432</v>
      </c>
      <c r="I310" s="11">
        <v>153800.49000000002</v>
      </c>
      <c r="J310" s="1">
        <v>219</v>
      </c>
      <c r="K310" s="11">
        <v>9415.6400000000012</v>
      </c>
      <c r="L310" s="1">
        <f t="shared" si="421"/>
        <v>186952</v>
      </c>
      <c r="M310" s="11">
        <f t="shared" si="422"/>
        <v>8489852.4900000002</v>
      </c>
      <c r="N310" s="39">
        <f t="shared" ref="N310:O310" si="429">+L310-D288</f>
        <v>0</v>
      </c>
      <c r="O310" s="13">
        <f t="shared" si="429"/>
        <v>0</v>
      </c>
      <c r="P310"/>
      <c r="Q310"/>
    </row>
    <row r="311" spans="2:17" x14ac:dyDescent="0.25">
      <c r="B311" s="2" t="s">
        <v>28</v>
      </c>
      <c r="C311" s="2">
        <v>2020</v>
      </c>
      <c r="D311" s="1">
        <v>121901</v>
      </c>
      <c r="E311" s="11">
        <v>5603968.9500000002</v>
      </c>
      <c r="F311" s="1">
        <v>70278</v>
      </c>
      <c r="G311" s="11">
        <v>2760726.6199999996</v>
      </c>
      <c r="H311" s="1">
        <v>7075</v>
      </c>
      <c r="I311" s="11">
        <v>187573.51000000004</v>
      </c>
      <c r="J311" s="1">
        <v>192</v>
      </c>
      <c r="K311" s="11">
        <v>6906.6400000000012</v>
      </c>
      <c r="L311" s="1">
        <f t="shared" si="421"/>
        <v>199446</v>
      </c>
      <c r="M311" s="11">
        <f t="shared" si="422"/>
        <v>8559175.7200000007</v>
      </c>
      <c r="N311" s="39">
        <f t="shared" ref="N311:O311" si="430">+L311-D289</f>
        <v>0</v>
      </c>
      <c r="O311" s="13">
        <f t="shared" si="430"/>
        <v>0</v>
      </c>
      <c r="P311"/>
      <c r="Q311"/>
    </row>
    <row r="312" spans="2:17" x14ac:dyDescent="0.25">
      <c r="B312" s="2" t="s">
        <v>29</v>
      </c>
      <c r="C312" s="2">
        <v>2020</v>
      </c>
      <c r="D312" s="1">
        <v>153202</v>
      </c>
      <c r="E312" s="11">
        <v>6577317.9199999999</v>
      </c>
      <c r="F312" s="1">
        <v>91247</v>
      </c>
      <c r="G312" s="11">
        <v>3318947.8299999996</v>
      </c>
      <c r="H312" s="1">
        <v>10055</v>
      </c>
      <c r="I312" s="11">
        <v>254009.41999999998</v>
      </c>
      <c r="J312" s="1">
        <v>180</v>
      </c>
      <c r="K312" s="11">
        <v>4844.49</v>
      </c>
      <c r="L312" s="1">
        <f t="shared" si="421"/>
        <v>254684</v>
      </c>
      <c r="M312" s="11">
        <f t="shared" si="422"/>
        <v>10155119.66</v>
      </c>
      <c r="N312" s="39">
        <f t="shared" ref="N312:O312" si="431">+L312-D290</f>
        <v>0</v>
      </c>
      <c r="O312" s="13">
        <f t="shared" si="431"/>
        <v>0</v>
      </c>
      <c r="P312"/>
      <c r="Q312"/>
    </row>
    <row r="313" spans="2:17" x14ac:dyDescent="0.25">
      <c r="B313" s="2" t="s">
        <v>30</v>
      </c>
      <c r="C313" s="2">
        <v>2020</v>
      </c>
      <c r="D313" s="1">
        <v>157132</v>
      </c>
      <c r="E313" s="11">
        <v>7019465.9500000011</v>
      </c>
      <c r="F313" s="1">
        <v>87434</v>
      </c>
      <c r="G313" s="11">
        <v>3224177.13</v>
      </c>
      <c r="H313" s="1">
        <v>9381</v>
      </c>
      <c r="I313" s="11">
        <v>236671.94000000006</v>
      </c>
      <c r="J313" s="1">
        <v>0</v>
      </c>
      <c r="K313" s="11">
        <v>0</v>
      </c>
      <c r="L313" s="1">
        <f t="shared" si="421"/>
        <v>253947</v>
      </c>
      <c r="M313" s="11">
        <f t="shared" si="422"/>
        <v>10480315.020000001</v>
      </c>
      <c r="N313" s="39">
        <f t="shared" ref="N313:O313" si="432">+L313-D291</f>
        <v>0</v>
      </c>
      <c r="O313" s="13">
        <f t="shared" si="432"/>
        <v>0</v>
      </c>
      <c r="P313"/>
      <c r="Q313"/>
    </row>
    <row r="314" spans="2:17" x14ac:dyDescent="0.25">
      <c r="B314" s="2" t="s">
        <v>31</v>
      </c>
      <c r="C314" s="2">
        <v>2020</v>
      </c>
      <c r="D314" s="1">
        <v>156960</v>
      </c>
      <c r="E314" s="11">
        <v>7127398.3500000006</v>
      </c>
      <c r="F314" s="1">
        <v>87622</v>
      </c>
      <c r="G314" s="11">
        <v>3200357.2399999998</v>
      </c>
      <c r="H314" s="1">
        <v>8982</v>
      </c>
      <c r="I314" s="11">
        <v>224237.23999999996</v>
      </c>
      <c r="J314" s="1">
        <v>0</v>
      </c>
      <c r="K314" s="11">
        <v>0</v>
      </c>
      <c r="L314" s="1">
        <f t="shared" si="421"/>
        <v>253564</v>
      </c>
      <c r="M314" s="11">
        <f t="shared" si="422"/>
        <v>10551992.83</v>
      </c>
      <c r="N314" s="39">
        <f t="shared" ref="N314:O314" si="433">+L314-D292</f>
        <v>0</v>
      </c>
      <c r="O314" s="13">
        <f t="shared" si="433"/>
        <v>0</v>
      </c>
      <c r="P314"/>
      <c r="Q314"/>
    </row>
    <row r="315" spans="2:17" x14ac:dyDescent="0.25">
      <c r="P315"/>
      <c r="Q315"/>
    </row>
    <row r="316" spans="2:17" x14ac:dyDescent="0.25">
      <c r="B316" s="88" t="s">
        <v>12</v>
      </c>
      <c r="C316" s="88"/>
      <c r="D316" s="4">
        <f>SUM(D303:D315)</f>
        <v>1680637</v>
      </c>
      <c r="E316" s="12">
        <f>SUM(E303:E315)</f>
        <v>67266219.590000004</v>
      </c>
      <c r="F316" s="4">
        <f t="shared" ref="F316:M316" si="434">SUM(F303:F315)</f>
        <v>1006773</v>
      </c>
      <c r="G316" s="12">
        <f t="shared" si="434"/>
        <v>33750430.700000003</v>
      </c>
      <c r="H316" s="4">
        <f t="shared" si="434"/>
        <v>117552</v>
      </c>
      <c r="I316" s="12">
        <f t="shared" si="434"/>
        <v>2745527.6999999997</v>
      </c>
      <c r="J316" s="4">
        <f t="shared" si="434"/>
        <v>1936</v>
      </c>
      <c r="K316" s="12">
        <f t="shared" si="434"/>
        <v>59821.63</v>
      </c>
      <c r="L316" s="4">
        <f t="shared" si="434"/>
        <v>2806898</v>
      </c>
      <c r="M316" s="12">
        <f t="shared" si="434"/>
        <v>103821999.61999999</v>
      </c>
      <c r="P316"/>
      <c r="Q316"/>
    </row>
    <row r="318" spans="2:17" x14ac:dyDescent="0.25">
      <c r="B318" s="5" t="s">
        <v>14</v>
      </c>
    </row>
    <row r="319" spans="2:17" x14ac:dyDescent="0.25">
      <c r="B319" s="5" t="s">
        <v>75</v>
      </c>
    </row>
    <row r="321" spans="2:15" x14ac:dyDescent="0.25">
      <c r="D321" s="89" t="s">
        <v>15</v>
      </c>
      <c r="E321" s="90"/>
      <c r="F321" s="89" t="s">
        <v>72</v>
      </c>
      <c r="G321" s="90"/>
      <c r="H321" s="89" t="s">
        <v>16</v>
      </c>
      <c r="I321" s="90"/>
      <c r="J321" s="89" t="s">
        <v>73</v>
      </c>
      <c r="K321" s="90"/>
      <c r="L321" s="89" t="s">
        <v>70</v>
      </c>
      <c r="M321" s="90"/>
      <c r="N321" s="9"/>
    </row>
    <row r="322" spans="2:15" x14ac:dyDescent="0.25">
      <c r="B322" s="7" t="s">
        <v>0</v>
      </c>
      <c r="C322" s="7" t="s">
        <v>1</v>
      </c>
      <c r="D322" s="7" t="s">
        <v>2</v>
      </c>
      <c r="E322" s="10" t="s">
        <v>3</v>
      </c>
      <c r="F322" s="7" t="s">
        <v>2</v>
      </c>
      <c r="G322" s="10" t="s">
        <v>3</v>
      </c>
      <c r="H322" s="7" t="s">
        <v>2</v>
      </c>
      <c r="I322" s="10" t="s">
        <v>3</v>
      </c>
      <c r="J322" s="7" t="s">
        <v>2</v>
      </c>
      <c r="K322" s="10" t="s">
        <v>3</v>
      </c>
      <c r="L322" s="7" t="s">
        <v>2</v>
      </c>
      <c r="M322" s="10" t="s">
        <v>3</v>
      </c>
      <c r="N322" s="9"/>
    </row>
    <row r="323" spans="2:15" x14ac:dyDescent="0.25">
      <c r="N323" s="9"/>
    </row>
    <row r="324" spans="2:15" x14ac:dyDescent="0.25">
      <c r="B324" s="2" t="s">
        <v>5</v>
      </c>
      <c r="C324" s="2">
        <v>2020</v>
      </c>
      <c r="D324" s="1">
        <v>391600</v>
      </c>
      <c r="E324" s="11">
        <v>30230386</v>
      </c>
      <c r="F324" s="1">
        <v>316668</v>
      </c>
      <c r="G324" s="11">
        <v>22543381</v>
      </c>
      <c r="H324" s="1">
        <v>97594</v>
      </c>
      <c r="I324" s="11">
        <v>6820077</v>
      </c>
      <c r="J324" s="1">
        <v>611</v>
      </c>
      <c r="K324" s="11">
        <v>35837</v>
      </c>
      <c r="L324" s="1">
        <f>+D324+F324+H324+J324</f>
        <v>806473</v>
      </c>
      <c r="M324" s="11">
        <f>+E324+G324+I324+K324</f>
        <v>59629681</v>
      </c>
      <c r="N324" s="39">
        <f>+L324-F281</f>
        <v>0</v>
      </c>
      <c r="O324" s="13">
        <f>+M324-G281</f>
        <v>0</v>
      </c>
    </row>
    <row r="325" spans="2:15" x14ac:dyDescent="0.25">
      <c r="B325" s="2" t="s">
        <v>6</v>
      </c>
      <c r="C325" s="2">
        <v>2020</v>
      </c>
      <c r="D325" s="1">
        <v>375586</v>
      </c>
      <c r="E325" s="11">
        <v>29196641</v>
      </c>
      <c r="F325" s="1">
        <v>335195</v>
      </c>
      <c r="G325" s="11">
        <v>23566411</v>
      </c>
      <c r="H325" s="1">
        <v>88467</v>
      </c>
      <c r="I325" s="11">
        <v>6868991</v>
      </c>
      <c r="J325" s="1">
        <v>643</v>
      </c>
      <c r="K325" s="11">
        <v>35841</v>
      </c>
      <c r="L325" s="1">
        <f t="shared" ref="L325:L335" si="435">+D325+F325+H325+J325</f>
        <v>799891</v>
      </c>
      <c r="M325" s="11">
        <f t="shared" ref="M325:M335" si="436">+E325+G325+I325+K325</f>
        <v>59667884</v>
      </c>
      <c r="N325" s="39">
        <f t="shared" ref="N325:O325" si="437">+L325-F282</f>
        <v>0</v>
      </c>
      <c r="O325" s="13">
        <f t="shared" si="437"/>
        <v>0</v>
      </c>
    </row>
    <row r="326" spans="2:15" x14ac:dyDescent="0.25">
      <c r="B326" s="2" t="s">
        <v>7</v>
      </c>
      <c r="C326" s="2">
        <v>2020</v>
      </c>
      <c r="D326" s="1">
        <v>338935</v>
      </c>
      <c r="E326" s="11">
        <v>28363477</v>
      </c>
      <c r="F326" s="1">
        <v>318097</v>
      </c>
      <c r="G326" s="11">
        <v>24402369.039999999</v>
      </c>
      <c r="H326" s="1">
        <v>84106</v>
      </c>
      <c r="I326" s="11">
        <v>6866407</v>
      </c>
      <c r="J326" s="1">
        <v>392</v>
      </c>
      <c r="K326" s="11">
        <v>21993</v>
      </c>
      <c r="L326" s="1">
        <f t="shared" si="435"/>
        <v>741530</v>
      </c>
      <c r="M326" s="11">
        <f t="shared" si="436"/>
        <v>59654246.039999999</v>
      </c>
      <c r="N326" s="39">
        <f t="shared" ref="N326:O326" si="438">+L326-F283</f>
        <v>0</v>
      </c>
      <c r="O326" s="13">
        <f t="shared" si="438"/>
        <v>0</v>
      </c>
    </row>
    <row r="327" spans="2:15" x14ac:dyDescent="0.25">
      <c r="B327" s="2" t="s">
        <v>8</v>
      </c>
      <c r="C327" s="2">
        <v>2020</v>
      </c>
      <c r="D327" s="1">
        <v>205916</v>
      </c>
      <c r="E327" s="11">
        <v>18630361</v>
      </c>
      <c r="F327" s="1">
        <v>171641</v>
      </c>
      <c r="G327" s="11">
        <v>15288827</v>
      </c>
      <c r="H327" s="1">
        <v>44664</v>
      </c>
      <c r="I327" s="11">
        <v>4212591</v>
      </c>
      <c r="J327" s="1">
        <v>214</v>
      </c>
      <c r="K327" s="11">
        <v>10509</v>
      </c>
      <c r="L327" s="1">
        <f t="shared" si="435"/>
        <v>422435</v>
      </c>
      <c r="M327" s="11">
        <f t="shared" si="436"/>
        <v>38142288</v>
      </c>
      <c r="N327" s="39">
        <f t="shared" ref="N327:O327" si="439">+L327-F284</f>
        <v>0</v>
      </c>
      <c r="O327" s="13">
        <f t="shared" si="439"/>
        <v>0</v>
      </c>
    </row>
    <row r="328" spans="2:15" x14ac:dyDescent="0.25">
      <c r="B328" s="2" t="s">
        <v>9</v>
      </c>
      <c r="C328" s="2">
        <v>2020</v>
      </c>
      <c r="D328" s="1">
        <v>209586</v>
      </c>
      <c r="E328" s="11">
        <v>19776069</v>
      </c>
      <c r="F328" s="1">
        <v>180671</v>
      </c>
      <c r="G328" s="11">
        <v>16187718</v>
      </c>
      <c r="H328" s="1">
        <v>42856</v>
      </c>
      <c r="I328" s="11">
        <v>4088036</v>
      </c>
      <c r="J328" s="1">
        <v>317</v>
      </c>
      <c r="K328" s="11">
        <v>17727</v>
      </c>
      <c r="L328" s="1">
        <f t="shared" si="435"/>
        <v>433430</v>
      </c>
      <c r="M328" s="11">
        <f t="shared" si="436"/>
        <v>40069550</v>
      </c>
      <c r="N328" s="39">
        <f t="shared" ref="N328:O328" si="440">+L328-F285</f>
        <v>0</v>
      </c>
      <c r="O328" s="13">
        <f t="shared" si="440"/>
        <v>0</v>
      </c>
    </row>
    <row r="329" spans="2:15" x14ac:dyDescent="0.25">
      <c r="B329" s="2" t="s">
        <v>10</v>
      </c>
      <c r="C329" s="2">
        <v>2020</v>
      </c>
      <c r="D329" s="1">
        <v>260662</v>
      </c>
      <c r="E329" s="11">
        <v>25584205</v>
      </c>
      <c r="F329" s="1">
        <v>211784</v>
      </c>
      <c r="G329" s="11">
        <v>19074423</v>
      </c>
      <c r="H329" s="1">
        <v>46948</v>
      </c>
      <c r="I329" s="11">
        <v>4367921</v>
      </c>
      <c r="J329" s="1">
        <v>345</v>
      </c>
      <c r="K329" s="11">
        <v>22606</v>
      </c>
      <c r="L329" s="1">
        <f t="shared" si="435"/>
        <v>519739</v>
      </c>
      <c r="M329" s="11">
        <f t="shared" si="436"/>
        <v>49049155</v>
      </c>
      <c r="N329" s="39">
        <f t="shared" ref="N329:O329" si="441">+L329-F286</f>
        <v>0</v>
      </c>
      <c r="O329" s="13">
        <f t="shared" si="441"/>
        <v>0</v>
      </c>
    </row>
    <row r="330" spans="2:15" x14ac:dyDescent="0.25">
      <c r="B330" s="2" t="s">
        <v>11</v>
      </c>
      <c r="C330" s="2">
        <v>2020</v>
      </c>
      <c r="D330" s="1">
        <v>316900</v>
      </c>
      <c r="E330" s="11">
        <v>30455956</v>
      </c>
      <c r="F330" s="1">
        <v>256801</v>
      </c>
      <c r="G330" s="11">
        <v>22388307</v>
      </c>
      <c r="H330" s="1">
        <v>55048</v>
      </c>
      <c r="I330" s="11">
        <v>4955143</v>
      </c>
      <c r="J330" s="1">
        <v>500</v>
      </c>
      <c r="K330" s="11">
        <v>27855</v>
      </c>
      <c r="L330" s="1">
        <f t="shared" si="435"/>
        <v>629249</v>
      </c>
      <c r="M330" s="11">
        <f t="shared" si="436"/>
        <v>57827261</v>
      </c>
      <c r="N330" s="39">
        <f t="shared" ref="N330:O330" si="442">+L330-F287</f>
        <v>0</v>
      </c>
      <c r="O330" s="13">
        <f t="shared" si="442"/>
        <v>0</v>
      </c>
    </row>
    <row r="331" spans="2:15" x14ac:dyDescent="0.25">
      <c r="B331" s="2" t="s">
        <v>4</v>
      </c>
      <c r="C331" s="2">
        <v>2020</v>
      </c>
      <c r="D331" s="1">
        <v>363824</v>
      </c>
      <c r="E331" s="11">
        <v>34799809</v>
      </c>
      <c r="F331" s="1">
        <v>279327</v>
      </c>
      <c r="G331" s="11">
        <v>23904098</v>
      </c>
      <c r="H331" s="1">
        <v>64199</v>
      </c>
      <c r="I331" s="11">
        <v>5390942</v>
      </c>
      <c r="J331" s="1">
        <v>599</v>
      </c>
      <c r="K331" s="11">
        <v>37932</v>
      </c>
      <c r="L331" s="1">
        <f t="shared" si="435"/>
        <v>707949</v>
      </c>
      <c r="M331" s="11">
        <f t="shared" si="436"/>
        <v>64132781</v>
      </c>
      <c r="N331" s="39">
        <f t="shared" ref="N331:O331" si="443">+L331-F288</f>
        <v>0</v>
      </c>
      <c r="O331" s="13">
        <f t="shared" si="443"/>
        <v>0</v>
      </c>
    </row>
    <row r="332" spans="2:15" x14ac:dyDescent="0.25">
      <c r="B332" s="2" t="s">
        <v>28</v>
      </c>
      <c r="C332" s="2">
        <v>2020</v>
      </c>
      <c r="D332" s="1">
        <v>358507</v>
      </c>
      <c r="E332" s="11">
        <v>34384568</v>
      </c>
      <c r="F332" s="1">
        <v>279191</v>
      </c>
      <c r="G332" s="11">
        <v>24377848</v>
      </c>
      <c r="H332" s="1">
        <v>71899</v>
      </c>
      <c r="I332" s="11">
        <v>5904949</v>
      </c>
      <c r="J332" s="1">
        <v>497</v>
      </c>
      <c r="K332" s="11">
        <v>29557</v>
      </c>
      <c r="L332" s="1">
        <f t="shared" si="435"/>
        <v>710094</v>
      </c>
      <c r="M332" s="11">
        <f t="shared" si="436"/>
        <v>64696922</v>
      </c>
      <c r="N332" s="39">
        <f t="shared" ref="N332:O332" si="444">+L332-F289</f>
        <v>0</v>
      </c>
      <c r="O332" s="13">
        <f t="shared" si="444"/>
        <v>0</v>
      </c>
    </row>
    <row r="333" spans="2:15" x14ac:dyDescent="0.25">
      <c r="B333" s="2" t="s">
        <v>29</v>
      </c>
      <c r="C333" s="2">
        <v>2020</v>
      </c>
      <c r="D333" s="1">
        <v>397503</v>
      </c>
      <c r="E333" s="11">
        <v>38889547</v>
      </c>
      <c r="F333" s="1">
        <v>302880</v>
      </c>
      <c r="G333" s="11">
        <v>27023911</v>
      </c>
      <c r="H333" s="1">
        <v>88559</v>
      </c>
      <c r="I333" s="11">
        <v>7298112</v>
      </c>
      <c r="J333" s="1">
        <v>495</v>
      </c>
      <c r="K333" s="11">
        <v>30872</v>
      </c>
      <c r="L333" s="1">
        <f t="shared" si="435"/>
        <v>789437</v>
      </c>
      <c r="M333" s="11">
        <f t="shared" si="436"/>
        <v>73242442</v>
      </c>
      <c r="N333" s="39">
        <f t="shared" ref="N333:O333" si="445">+L333-F290</f>
        <v>0</v>
      </c>
      <c r="O333" s="13">
        <f t="shared" si="445"/>
        <v>0</v>
      </c>
    </row>
    <row r="334" spans="2:15" x14ac:dyDescent="0.25">
      <c r="B334" s="2" t="s">
        <v>30</v>
      </c>
      <c r="C334" s="2">
        <v>2020</v>
      </c>
      <c r="D334" s="1">
        <v>379901</v>
      </c>
      <c r="E334" s="11">
        <v>39632562</v>
      </c>
      <c r="F334" s="1">
        <v>275524</v>
      </c>
      <c r="G334" s="11">
        <v>26147063</v>
      </c>
      <c r="H334" s="1">
        <v>75481</v>
      </c>
      <c r="I334" s="11">
        <v>7216381</v>
      </c>
      <c r="J334" s="1">
        <v>12</v>
      </c>
      <c r="K334" s="11">
        <v>746</v>
      </c>
      <c r="L334" s="1">
        <f t="shared" si="435"/>
        <v>730918</v>
      </c>
      <c r="M334" s="11">
        <f t="shared" si="436"/>
        <v>72996752</v>
      </c>
      <c r="N334" s="39">
        <f t="shared" ref="N334:O334" si="446">+L334-F291</f>
        <v>0</v>
      </c>
      <c r="O334" s="13">
        <f t="shared" si="446"/>
        <v>0</v>
      </c>
    </row>
    <row r="335" spans="2:15" x14ac:dyDescent="0.25">
      <c r="B335" s="2" t="s">
        <v>31</v>
      </c>
      <c r="C335" s="2">
        <v>2020</v>
      </c>
      <c r="D335" s="1">
        <v>418279</v>
      </c>
      <c r="E335" s="11">
        <v>45315724</v>
      </c>
      <c r="F335" s="1">
        <v>307539</v>
      </c>
      <c r="G335" s="11">
        <v>29011267</v>
      </c>
      <c r="H335" s="1">
        <v>76864</v>
      </c>
      <c r="I335" s="11">
        <v>7501604</v>
      </c>
      <c r="J335" s="1">
        <v>7</v>
      </c>
      <c r="K335" s="11">
        <v>490</v>
      </c>
      <c r="L335" s="1">
        <f t="shared" si="435"/>
        <v>802689</v>
      </c>
      <c r="M335" s="11">
        <f t="shared" si="436"/>
        <v>81829085</v>
      </c>
      <c r="N335" s="39">
        <f>+L335-F292</f>
        <v>0</v>
      </c>
      <c r="O335" s="13">
        <f>+M335-G292</f>
        <v>0</v>
      </c>
    </row>
    <row r="337" spans="2:15" x14ac:dyDescent="0.25">
      <c r="B337" s="88" t="s">
        <v>12</v>
      </c>
      <c r="C337" s="88"/>
      <c r="D337" s="4">
        <f>SUM(D324:D336)</f>
        <v>4017199</v>
      </c>
      <c r="E337" s="12">
        <f>SUM(E324:E336)</f>
        <v>375259305</v>
      </c>
      <c r="F337" s="4">
        <f t="shared" ref="F337" si="447">SUM(F324:F336)</f>
        <v>3235318</v>
      </c>
      <c r="G337" s="12">
        <f t="shared" ref="G337" si="448">SUM(G324:G336)</f>
        <v>273915623.03999996</v>
      </c>
      <c r="H337" s="4">
        <f t="shared" ref="H337" si="449">SUM(H324:H336)</f>
        <v>836685</v>
      </c>
      <c r="I337" s="12">
        <f t="shared" ref="I337" si="450">SUM(I324:I336)</f>
        <v>71491154</v>
      </c>
      <c r="J337" s="4">
        <f t="shared" ref="J337" si="451">SUM(J324:J336)</f>
        <v>4632</v>
      </c>
      <c r="K337" s="12">
        <f t="shared" ref="K337" si="452">SUM(K324:K336)</f>
        <v>271965</v>
      </c>
      <c r="L337" s="4">
        <f t="shared" ref="L337" si="453">SUM(L324:L336)</f>
        <v>8093834</v>
      </c>
      <c r="M337" s="12">
        <f t="shared" ref="M337" si="454">SUM(M324:M336)</f>
        <v>720938047.03999996</v>
      </c>
    </row>
    <row r="339" spans="2:15" x14ac:dyDescent="0.25">
      <c r="B339" s="5" t="s">
        <v>14</v>
      </c>
    </row>
    <row r="340" spans="2:15" x14ac:dyDescent="0.25">
      <c r="B340" s="5" t="s">
        <v>76</v>
      </c>
    </row>
    <row r="342" spans="2:15" x14ac:dyDescent="0.25">
      <c r="D342" s="89" t="s">
        <v>15</v>
      </c>
      <c r="E342" s="90"/>
      <c r="F342" s="89" t="s">
        <v>72</v>
      </c>
      <c r="G342" s="90"/>
      <c r="H342" s="89" t="s">
        <v>16</v>
      </c>
      <c r="I342" s="90"/>
      <c r="J342" s="89" t="s">
        <v>73</v>
      </c>
      <c r="K342" s="90"/>
      <c r="L342" s="89" t="s">
        <v>70</v>
      </c>
      <c r="M342" s="90"/>
      <c r="N342" s="9"/>
    </row>
    <row r="343" spans="2:15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</row>
    <row r="344" spans="2:15" x14ac:dyDescent="0.25">
      <c r="N344" s="9"/>
    </row>
    <row r="345" spans="2:15" x14ac:dyDescent="0.25">
      <c r="B345" s="2" t="s">
        <v>5</v>
      </c>
      <c r="C345" s="2">
        <v>2020</v>
      </c>
      <c r="D345" s="1">
        <v>8386</v>
      </c>
      <c r="E345" s="11">
        <v>369376</v>
      </c>
      <c r="F345" s="1">
        <v>4171</v>
      </c>
      <c r="G345" s="11">
        <v>237568</v>
      </c>
      <c r="H345" s="1">
        <v>3619</v>
      </c>
      <c r="I345" s="11">
        <v>163405</v>
      </c>
      <c r="J345" s="1">
        <v>0</v>
      </c>
      <c r="K345" s="11">
        <v>0</v>
      </c>
      <c r="L345" s="1">
        <f>+D345+F345+H345+J345</f>
        <v>16176</v>
      </c>
      <c r="M345" s="11">
        <f>+E345+G345+I345+K345</f>
        <v>770349</v>
      </c>
      <c r="N345" s="39">
        <f>+L345-H281</f>
        <v>0</v>
      </c>
      <c r="O345" s="13">
        <f>+M345-I281</f>
        <v>0</v>
      </c>
    </row>
    <row r="346" spans="2:15" x14ac:dyDescent="0.25">
      <c r="B346" s="2" t="s">
        <v>6</v>
      </c>
      <c r="C346" s="2">
        <v>2020</v>
      </c>
      <c r="D346" s="1">
        <v>6964</v>
      </c>
      <c r="E346" s="11">
        <v>334173</v>
      </c>
      <c r="F346" s="1">
        <v>3894</v>
      </c>
      <c r="G346" s="11">
        <v>235679</v>
      </c>
      <c r="H346" s="1">
        <v>3595</v>
      </c>
      <c r="I346" s="11">
        <v>166458</v>
      </c>
      <c r="J346" s="1">
        <v>4</v>
      </c>
      <c r="K346" s="11">
        <v>96</v>
      </c>
      <c r="L346" s="1">
        <f t="shared" ref="L346:L356" si="455">+D346+F346+H346+J346</f>
        <v>14457</v>
      </c>
      <c r="M346" s="11">
        <f t="shared" ref="M346:M356" si="456">+E346+G346+I346+K346</f>
        <v>736406</v>
      </c>
      <c r="N346" s="39">
        <f t="shared" ref="N346:O346" si="457">+L346-H282</f>
        <v>0</v>
      </c>
      <c r="O346" s="13">
        <f t="shared" si="457"/>
        <v>0</v>
      </c>
    </row>
    <row r="347" spans="2:15" x14ac:dyDescent="0.25">
      <c r="B347" s="2" t="s">
        <v>7</v>
      </c>
      <c r="C347" s="2">
        <v>2020</v>
      </c>
      <c r="D347" s="1">
        <v>6951</v>
      </c>
      <c r="E347" s="11">
        <v>337829</v>
      </c>
      <c r="F347" s="1">
        <v>4220</v>
      </c>
      <c r="G347" s="11">
        <v>273246</v>
      </c>
      <c r="H347" s="1">
        <v>3817</v>
      </c>
      <c r="I347" s="11">
        <v>169856</v>
      </c>
      <c r="J347" s="1">
        <v>0</v>
      </c>
      <c r="K347" s="11">
        <v>0</v>
      </c>
      <c r="L347" s="1">
        <f t="shared" si="455"/>
        <v>14988</v>
      </c>
      <c r="M347" s="11">
        <f t="shared" si="456"/>
        <v>780931</v>
      </c>
      <c r="N347" s="39">
        <f t="shared" ref="N347:O347" si="458">+L347-H283</f>
        <v>0</v>
      </c>
      <c r="O347" s="13">
        <f t="shared" si="458"/>
        <v>0</v>
      </c>
    </row>
    <row r="348" spans="2:15" x14ac:dyDescent="0.25">
      <c r="B348" s="2" t="s">
        <v>8</v>
      </c>
      <c r="C348" s="2">
        <v>2020</v>
      </c>
      <c r="D348" s="1">
        <v>5549</v>
      </c>
      <c r="E348" s="11">
        <v>241231</v>
      </c>
      <c r="F348" s="1">
        <v>3747</v>
      </c>
      <c r="G348" s="11">
        <v>245064</v>
      </c>
      <c r="H348" s="1">
        <v>3613</v>
      </c>
      <c r="I348" s="11">
        <v>155221</v>
      </c>
      <c r="J348" s="1">
        <v>0</v>
      </c>
      <c r="K348" s="11">
        <v>0</v>
      </c>
      <c r="L348" s="1">
        <f t="shared" si="455"/>
        <v>12909</v>
      </c>
      <c r="M348" s="11">
        <f t="shared" si="456"/>
        <v>641516</v>
      </c>
      <c r="N348" s="39">
        <f t="shared" ref="N348:O348" si="459">+L348-H284</f>
        <v>0</v>
      </c>
      <c r="O348" s="13">
        <f t="shared" si="459"/>
        <v>0</v>
      </c>
    </row>
    <row r="349" spans="2:15" x14ac:dyDescent="0.25">
      <c r="B349" s="2" t="s">
        <v>9</v>
      </c>
      <c r="C349" s="2">
        <v>2020</v>
      </c>
      <c r="D349" s="1">
        <v>6824</v>
      </c>
      <c r="E349" s="11">
        <v>297687</v>
      </c>
      <c r="F349" s="1">
        <v>3784</v>
      </c>
      <c r="G349" s="11">
        <v>240980</v>
      </c>
      <c r="H349" s="1">
        <v>3630</v>
      </c>
      <c r="I349" s="11">
        <v>159982</v>
      </c>
      <c r="J349" s="1">
        <v>0</v>
      </c>
      <c r="K349" s="11">
        <v>0</v>
      </c>
      <c r="L349" s="1">
        <f t="shared" si="455"/>
        <v>14238</v>
      </c>
      <c r="M349" s="11">
        <f t="shared" si="456"/>
        <v>698649</v>
      </c>
      <c r="N349" s="39">
        <f t="shared" ref="N349:O349" si="460">+L349-H285</f>
        <v>0</v>
      </c>
      <c r="O349" s="13">
        <f t="shared" si="460"/>
        <v>0</v>
      </c>
    </row>
    <row r="350" spans="2:15" x14ac:dyDescent="0.25">
      <c r="B350" s="2" t="s">
        <v>10</v>
      </c>
      <c r="C350" s="2">
        <v>2020</v>
      </c>
      <c r="D350" s="1">
        <v>8828</v>
      </c>
      <c r="E350" s="11">
        <v>394333</v>
      </c>
      <c r="F350" s="1">
        <v>3984</v>
      </c>
      <c r="G350" s="11">
        <v>239340</v>
      </c>
      <c r="H350" s="1">
        <v>3699</v>
      </c>
      <c r="I350" s="11">
        <v>158764</v>
      </c>
      <c r="J350" s="1">
        <v>0</v>
      </c>
      <c r="K350" s="11">
        <v>0</v>
      </c>
      <c r="L350" s="1">
        <f t="shared" si="455"/>
        <v>16511</v>
      </c>
      <c r="M350" s="11">
        <f t="shared" si="456"/>
        <v>792437</v>
      </c>
      <c r="N350" s="39">
        <f t="shared" ref="N350:O350" si="461">+L350-H286</f>
        <v>0</v>
      </c>
      <c r="O350" s="13">
        <f t="shared" si="461"/>
        <v>0</v>
      </c>
    </row>
    <row r="351" spans="2:15" x14ac:dyDescent="0.25">
      <c r="B351" s="2" t="s">
        <v>11</v>
      </c>
      <c r="C351" s="2">
        <v>2020</v>
      </c>
      <c r="D351" s="1">
        <v>10732</v>
      </c>
      <c r="E351" s="11">
        <v>459854</v>
      </c>
      <c r="F351" s="1">
        <v>4896</v>
      </c>
      <c r="G351" s="11">
        <v>307402</v>
      </c>
      <c r="H351" s="1">
        <v>3840</v>
      </c>
      <c r="I351" s="11">
        <v>167519</v>
      </c>
      <c r="J351" s="1">
        <v>0</v>
      </c>
      <c r="K351" s="11">
        <v>0</v>
      </c>
      <c r="L351" s="1">
        <f t="shared" si="455"/>
        <v>19468</v>
      </c>
      <c r="M351" s="11">
        <f t="shared" si="456"/>
        <v>934775</v>
      </c>
      <c r="N351" s="39">
        <f t="shared" ref="N351:O351" si="462">+L351-H287</f>
        <v>0</v>
      </c>
      <c r="O351" s="13">
        <f t="shared" si="462"/>
        <v>0</v>
      </c>
    </row>
    <row r="352" spans="2:15" x14ac:dyDescent="0.25">
      <c r="B352" s="2" t="s">
        <v>4</v>
      </c>
      <c r="C352" s="2">
        <v>2020</v>
      </c>
      <c r="D352" s="1">
        <v>11292</v>
      </c>
      <c r="E352" s="11">
        <v>477956</v>
      </c>
      <c r="F352" s="1">
        <v>4959</v>
      </c>
      <c r="G352" s="11">
        <v>305430</v>
      </c>
      <c r="H352" s="1">
        <v>3661</v>
      </c>
      <c r="I352" s="11">
        <v>161262</v>
      </c>
      <c r="J352" s="1">
        <v>0</v>
      </c>
      <c r="K352" s="11">
        <v>0</v>
      </c>
      <c r="L352" s="1">
        <f t="shared" si="455"/>
        <v>19912</v>
      </c>
      <c r="M352" s="11">
        <f t="shared" si="456"/>
        <v>944648</v>
      </c>
      <c r="N352" s="39">
        <f t="shared" ref="N352:O352" si="463">+L352-H288</f>
        <v>0</v>
      </c>
      <c r="O352" s="13">
        <f t="shared" si="463"/>
        <v>0</v>
      </c>
    </row>
    <row r="353" spans="2:15" x14ac:dyDescent="0.25">
      <c r="B353" s="2" t="s">
        <v>28</v>
      </c>
      <c r="C353" s="2">
        <v>2020</v>
      </c>
      <c r="D353" s="1">
        <v>11946</v>
      </c>
      <c r="E353" s="11">
        <v>502945</v>
      </c>
      <c r="F353" s="1">
        <v>5123</v>
      </c>
      <c r="G353" s="11">
        <v>313852</v>
      </c>
      <c r="H353" s="1">
        <v>3564</v>
      </c>
      <c r="I353" s="11">
        <v>154720</v>
      </c>
      <c r="J353" s="1">
        <v>0</v>
      </c>
      <c r="K353" s="11">
        <v>0</v>
      </c>
      <c r="L353" s="1">
        <f t="shared" si="455"/>
        <v>20633</v>
      </c>
      <c r="M353" s="11">
        <f t="shared" si="456"/>
        <v>971517</v>
      </c>
      <c r="N353" s="39">
        <f t="shared" ref="N353:O353" si="464">+L353-H289</f>
        <v>0</v>
      </c>
      <c r="O353" s="13">
        <f t="shared" si="464"/>
        <v>0</v>
      </c>
    </row>
    <row r="354" spans="2:15" x14ac:dyDescent="0.25">
      <c r="B354" s="2" t="s">
        <v>29</v>
      </c>
      <c r="C354" s="2">
        <v>2020</v>
      </c>
      <c r="D354" s="1">
        <v>13412</v>
      </c>
      <c r="E354" s="11">
        <v>560852</v>
      </c>
      <c r="F354" s="1">
        <v>5638</v>
      </c>
      <c r="G354" s="11">
        <v>349631</v>
      </c>
      <c r="H354" s="1">
        <v>3669</v>
      </c>
      <c r="I354" s="11">
        <v>159594</v>
      </c>
      <c r="J354" s="1">
        <v>0</v>
      </c>
      <c r="K354" s="11">
        <v>0</v>
      </c>
      <c r="L354" s="1">
        <f t="shared" si="455"/>
        <v>22719</v>
      </c>
      <c r="M354" s="11">
        <f t="shared" si="456"/>
        <v>1070077</v>
      </c>
      <c r="N354" s="39">
        <f t="shared" ref="N354:O354" si="465">+L354-H290</f>
        <v>0</v>
      </c>
      <c r="O354" s="13">
        <f t="shared" si="465"/>
        <v>0</v>
      </c>
    </row>
    <row r="355" spans="2:15" x14ac:dyDescent="0.25">
      <c r="B355" s="2" t="s">
        <v>30</v>
      </c>
      <c r="C355" s="2">
        <v>2020</v>
      </c>
      <c r="D355" s="1">
        <v>13085</v>
      </c>
      <c r="E355" s="11">
        <v>557844</v>
      </c>
      <c r="F355" s="1">
        <v>5344</v>
      </c>
      <c r="G355" s="11">
        <v>347093</v>
      </c>
      <c r="H355" s="1">
        <v>3531</v>
      </c>
      <c r="I355" s="11">
        <v>152331</v>
      </c>
      <c r="J355" s="1">
        <v>0</v>
      </c>
      <c r="K355" s="11"/>
      <c r="L355" s="1">
        <f t="shared" si="455"/>
        <v>21960</v>
      </c>
      <c r="M355" s="11">
        <f t="shared" si="456"/>
        <v>1057268</v>
      </c>
      <c r="N355" s="39">
        <f t="shared" ref="N355:O355" si="466">+L355-H291</f>
        <v>0</v>
      </c>
      <c r="O355" s="13">
        <f t="shared" si="466"/>
        <v>0</v>
      </c>
    </row>
    <row r="356" spans="2:15" x14ac:dyDescent="0.25">
      <c r="B356" s="2" t="s">
        <v>31</v>
      </c>
      <c r="C356" s="2">
        <v>2020</v>
      </c>
      <c r="D356" s="1">
        <v>15704</v>
      </c>
      <c r="E356" s="11">
        <v>631210</v>
      </c>
      <c r="F356" s="1">
        <v>5638</v>
      </c>
      <c r="G356" s="11">
        <v>345264</v>
      </c>
      <c r="H356" s="1">
        <v>3555</v>
      </c>
      <c r="I356" s="11">
        <v>156128</v>
      </c>
      <c r="J356" s="1">
        <v>0</v>
      </c>
      <c r="K356" s="11">
        <v>0</v>
      </c>
      <c r="L356" s="1">
        <f t="shared" si="455"/>
        <v>24897</v>
      </c>
      <c r="M356" s="11">
        <f t="shared" si="456"/>
        <v>1132602</v>
      </c>
      <c r="N356" s="39">
        <f t="shared" ref="N356:O356" si="467">+L356-H292</f>
        <v>0</v>
      </c>
      <c r="O356" s="13">
        <f t="shared" si="467"/>
        <v>0</v>
      </c>
    </row>
    <row r="358" spans="2:15" x14ac:dyDescent="0.25">
      <c r="B358" s="88" t="s">
        <v>12</v>
      </c>
      <c r="C358" s="88"/>
      <c r="D358" s="4">
        <f>SUM(D345:D357)</f>
        <v>119673</v>
      </c>
      <c r="E358" s="12">
        <f>SUM(E345:E357)</f>
        <v>5165290</v>
      </c>
      <c r="F358" s="4">
        <f t="shared" ref="F358" si="468">SUM(F345:F357)</f>
        <v>55398</v>
      </c>
      <c r="G358" s="12">
        <f t="shared" ref="G358" si="469">SUM(G345:G357)</f>
        <v>3440549</v>
      </c>
      <c r="H358" s="4">
        <f t="shared" ref="H358" si="470">SUM(H345:H357)</f>
        <v>43793</v>
      </c>
      <c r="I358" s="12">
        <f t="shared" ref="I358" si="471">SUM(I345:I357)</f>
        <v>1925240</v>
      </c>
      <c r="J358" s="4">
        <f t="shared" ref="J358" si="472">SUM(J345:J357)</f>
        <v>4</v>
      </c>
      <c r="K358" s="12">
        <f t="shared" ref="K358" si="473">SUM(K345:K357)</f>
        <v>96</v>
      </c>
      <c r="L358" s="4">
        <f t="shared" ref="L358" si="474">SUM(L345:L357)</f>
        <v>218868</v>
      </c>
      <c r="M358" s="12">
        <f t="shared" ref="M358" si="475">SUM(M345:M357)</f>
        <v>10531175</v>
      </c>
    </row>
    <row r="360" spans="2:15" x14ac:dyDescent="0.25">
      <c r="B360" s="5" t="s">
        <v>14</v>
      </c>
    </row>
    <row r="361" spans="2:15" x14ac:dyDescent="0.25">
      <c r="B361" s="5" t="s">
        <v>77</v>
      </c>
    </row>
    <row r="363" spans="2:15" x14ac:dyDescent="0.25">
      <c r="D363" s="89" t="s">
        <v>15</v>
      </c>
      <c r="E363" s="90"/>
      <c r="F363" s="89" t="s">
        <v>72</v>
      </c>
      <c r="G363" s="90"/>
      <c r="H363" s="89" t="s">
        <v>16</v>
      </c>
      <c r="I363" s="90"/>
      <c r="J363" s="89" t="s">
        <v>73</v>
      </c>
      <c r="K363" s="90"/>
      <c r="L363" s="89" t="s">
        <v>70</v>
      </c>
      <c r="M363" s="90"/>
      <c r="N363" s="9"/>
    </row>
    <row r="364" spans="2:15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5" x14ac:dyDescent="0.25">
      <c r="N365" s="9"/>
    </row>
    <row r="366" spans="2:15" x14ac:dyDescent="0.25">
      <c r="B366" s="2" t="s">
        <v>5</v>
      </c>
      <c r="C366" s="2">
        <v>2020</v>
      </c>
      <c r="D366" s="1">
        <v>320460</v>
      </c>
      <c r="E366" s="11">
        <v>31079819</v>
      </c>
      <c r="F366" s="1">
        <v>168873</v>
      </c>
      <c r="G366" s="11">
        <v>18704412</v>
      </c>
      <c r="H366" s="1">
        <v>52014</v>
      </c>
      <c r="I366" s="11">
        <v>6060321</v>
      </c>
      <c r="J366" s="1">
        <v>218</v>
      </c>
      <c r="K366" s="11">
        <v>16931</v>
      </c>
      <c r="L366" s="1">
        <f>+D366+F366+H366+J366</f>
        <v>541565</v>
      </c>
      <c r="M366" s="11">
        <f>+E366+G366+I366+K366</f>
        <v>55861483</v>
      </c>
      <c r="N366" s="39">
        <f>+L366-J281</f>
        <v>0</v>
      </c>
      <c r="O366" s="13">
        <f>+M366-K281</f>
        <v>0</v>
      </c>
    </row>
    <row r="367" spans="2:15" x14ac:dyDescent="0.25">
      <c r="B367" s="2" t="s">
        <v>6</v>
      </c>
      <c r="C367" s="2">
        <v>2020</v>
      </c>
      <c r="D367" s="1">
        <v>295334</v>
      </c>
      <c r="E367" s="11">
        <v>29274772</v>
      </c>
      <c r="F367" s="1">
        <v>171677</v>
      </c>
      <c r="G367" s="11">
        <v>19820259</v>
      </c>
      <c r="H367" s="1">
        <v>49451</v>
      </c>
      <c r="I367" s="11">
        <v>6061840</v>
      </c>
      <c r="J367" s="1">
        <v>270</v>
      </c>
      <c r="K367" s="11">
        <v>21153</v>
      </c>
      <c r="L367" s="1">
        <f t="shared" ref="L367:L377" si="476">+D367+F367+H367+J367</f>
        <v>516732</v>
      </c>
      <c r="M367" s="11">
        <f t="shared" ref="M367:M377" si="477">+E367+G367+I367+K367</f>
        <v>55178024</v>
      </c>
      <c r="N367" s="39">
        <f t="shared" ref="N367:O367" si="478">+L367-J282</f>
        <v>0</v>
      </c>
      <c r="O367" s="13">
        <f t="shared" si="478"/>
        <v>0</v>
      </c>
    </row>
    <row r="368" spans="2:15" x14ac:dyDescent="0.25">
      <c r="B368" s="2" t="s">
        <v>7</v>
      </c>
      <c r="C368" s="2">
        <v>2020</v>
      </c>
      <c r="D368" s="1">
        <v>287751</v>
      </c>
      <c r="E368" s="11">
        <v>29790069</v>
      </c>
      <c r="F368" s="1">
        <v>179726</v>
      </c>
      <c r="G368" s="11">
        <v>22047222</v>
      </c>
      <c r="H368" s="1">
        <v>47415</v>
      </c>
      <c r="I368" s="11">
        <v>5775597</v>
      </c>
      <c r="J368" s="1">
        <v>212</v>
      </c>
      <c r="K368" s="11">
        <v>17284</v>
      </c>
      <c r="L368" s="1">
        <f t="shared" si="476"/>
        <v>515104</v>
      </c>
      <c r="M368" s="11">
        <f t="shared" si="477"/>
        <v>57630172</v>
      </c>
      <c r="N368" s="39">
        <f t="shared" ref="N368:O368" si="479">+L368-J283</f>
        <v>0</v>
      </c>
      <c r="O368" s="13">
        <f t="shared" si="479"/>
        <v>0</v>
      </c>
    </row>
    <row r="369" spans="2:15" x14ac:dyDescent="0.25">
      <c r="B369" s="2" t="s">
        <v>8</v>
      </c>
      <c r="C369" s="2">
        <v>2020</v>
      </c>
      <c r="D369" s="1">
        <v>192629</v>
      </c>
      <c r="E369" s="11">
        <v>20413829</v>
      </c>
      <c r="F369" s="1">
        <v>117149</v>
      </c>
      <c r="G369" s="11">
        <v>15615506</v>
      </c>
      <c r="H369" s="1">
        <v>31173</v>
      </c>
      <c r="I369" s="11">
        <v>4106250</v>
      </c>
      <c r="J369" s="1">
        <v>83</v>
      </c>
      <c r="K369" s="11">
        <v>6530</v>
      </c>
      <c r="L369" s="1">
        <f t="shared" si="476"/>
        <v>341034</v>
      </c>
      <c r="M369" s="11">
        <f t="shared" si="477"/>
        <v>40142115</v>
      </c>
      <c r="N369" s="39">
        <f t="shared" ref="N369:O369" si="480">+L369-J284</f>
        <v>0</v>
      </c>
      <c r="O369" s="13">
        <f t="shared" si="480"/>
        <v>0</v>
      </c>
    </row>
    <row r="370" spans="2:15" x14ac:dyDescent="0.25">
      <c r="B370" s="2" t="s">
        <v>9</v>
      </c>
      <c r="C370" s="2">
        <v>2020</v>
      </c>
      <c r="D370" s="1">
        <v>202222</v>
      </c>
      <c r="E370" s="11">
        <v>21227207</v>
      </c>
      <c r="F370" s="1">
        <v>121510</v>
      </c>
      <c r="G370" s="11">
        <v>16575468</v>
      </c>
      <c r="H370" s="1">
        <v>27446</v>
      </c>
      <c r="I370" s="11">
        <v>3641231</v>
      </c>
      <c r="J370" s="1">
        <v>67</v>
      </c>
      <c r="K370" s="11">
        <v>4883</v>
      </c>
      <c r="L370" s="1">
        <f t="shared" si="476"/>
        <v>351245</v>
      </c>
      <c r="M370" s="11">
        <f t="shared" si="477"/>
        <v>41448789</v>
      </c>
      <c r="N370" s="39">
        <f t="shared" ref="N370:O370" si="481">+L370-J285</f>
        <v>0</v>
      </c>
      <c r="O370" s="13">
        <f t="shared" si="481"/>
        <v>0</v>
      </c>
    </row>
    <row r="371" spans="2:15" x14ac:dyDescent="0.25">
      <c r="B371" s="2" t="s">
        <v>10</v>
      </c>
      <c r="C371" s="2">
        <v>2020</v>
      </c>
      <c r="D371" s="1">
        <v>241277</v>
      </c>
      <c r="E371" s="11">
        <v>25516710</v>
      </c>
      <c r="F371" s="1">
        <v>141784</v>
      </c>
      <c r="G371" s="11">
        <v>18841767</v>
      </c>
      <c r="H371" s="1">
        <v>29458</v>
      </c>
      <c r="I371" s="11">
        <v>3988049</v>
      </c>
      <c r="J371" s="1">
        <v>99</v>
      </c>
      <c r="K371" s="11">
        <v>7072</v>
      </c>
      <c r="L371" s="1">
        <f t="shared" si="476"/>
        <v>412618</v>
      </c>
      <c r="M371" s="11">
        <f t="shared" si="477"/>
        <v>48353598</v>
      </c>
      <c r="N371" s="39">
        <f t="shared" ref="N371:O371" si="482">+L371-J286</f>
        <v>0</v>
      </c>
      <c r="O371" s="13">
        <f t="shared" si="482"/>
        <v>0</v>
      </c>
    </row>
    <row r="372" spans="2:15" x14ac:dyDescent="0.25">
      <c r="B372" s="2" t="s">
        <v>11</v>
      </c>
      <c r="C372" s="2">
        <v>2020</v>
      </c>
      <c r="D372" s="1">
        <v>310431</v>
      </c>
      <c r="E372" s="11">
        <v>32341061</v>
      </c>
      <c r="F372" s="1">
        <v>173401</v>
      </c>
      <c r="G372" s="11">
        <v>22345985</v>
      </c>
      <c r="H372" s="1">
        <v>33673</v>
      </c>
      <c r="I372" s="11">
        <v>4511163</v>
      </c>
      <c r="J372" s="1">
        <v>172</v>
      </c>
      <c r="K372" s="11">
        <v>13862</v>
      </c>
      <c r="L372" s="1">
        <f t="shared" si="476"/>
        <v>517677</v>
      </c>
      <c r="M372" s="11">
        <f t="shared" si="477"/>
        <v>59212071</v>
      </c>
      <c r="N372" s="39">
        <f t="shared" ref="N372:O372" si="483">+L372-J287</f>
        <v>0</v>
      </c>
      <c r="O372" s="13">
        <f t="shared" si="483"/>
        <v>0</v>
      </c>
    </row>
    <row r="373" spans="2:15" x14ac:dyDescent="0.25">
      <c r="B373" s="2" t="s">
        <v>4</v>
      </c>
      <c r="C373" s="2">
        <v>2020</v>
      </c>
      <c r="D373" s="1">
        <v>334657</v>
      </c>
      <c r="E373" s="11">
        <v>35337063</v>
      </c>
      <c r="F373" s="1">
        <v>177034</v>
      </c>
      <c r="G373" s="11">
        <v>22446752</v>
      </c>
      <c r="H373" s="1">
        <v>35165</v>
      </c>
      <c r="I373" s="11">
        <v>4501202</v>
      </c>
      <c r="J373" s="1">
        <v>183</v>
      </c>
      <c r="K373" s="11">
        <v>14930</v>
      </c>
      <c r="L373" s="1">
        <f t="shared" si="476"/>
        <v>547039</v>
      </c>
      <c r="M373" s="11">
        <f t="shared" si="477"/>
        <v>62299947</v>
      </c>
      <c r="N373" s="39">
        <f t="shared" ref="N373:O373" si="484">+L373-J288</f>
        <v>0</v>
      </c>
      <c r="O373" s="13">
        <f t="shared" si="484"/>
        <v>0</v>
      </c>
    </row>
    <row r="374" spans="2:15" x14ac:dyDescent="0.25">
      <c r="B374" s="2" t="s">
        <v>28</v>
      </c>
      <c r="C374" s="2">
        <v>2020</v>
      </c>
      <c r="D374" s="1">
        <v>317953</v>
      </c>
      <c r="E374" s="11">
        <v>33841900</v>
      </c>
      <c r="F374" s="1">
        <v>173779</v>
      </c>
      <c r="G374" s="11">
        <v>22575669</v>
      </c>
      <c r="H374" s="1">
        <v>37081</v>
      </c>
      <c r="I374" s="11">
        <v>4614759</v>
      </c>
      <c r="J374" s="1">
        <v>135</v>
      </c>
      <c r="K374" s="11">
        <v>10688</v>
      </c>
      <c r="L374" s="1">
        <f t="shared" si="476"/>
        <v>528948</v>
      </c>
      <c r="M374" s="11">
        <f t="shared" si="477"/>
        <v>61043016</v>
      </c>
      <c r="N374" s="39">
        <f t="shared" ref="N374:O374" si="485">+L374-J289</f>
        <v>0</v>
      </c>
      <c r="O374" s="13">
        <f t="shared" si="485"/>
        <v>0</v>
      </c>
    </row>
    <row r="375" spans="2:15" x14ac:dyDescent="0.25">
      <c r="B375" s="2" t="s">
        <v>29</v>
      </c>
      <c r="C375" s="2">
        <v>2020</v>
      </c>
      <c r="D375" s="1">
        <v>329978</v>
      </c>
      <c r="E375" s="11">
        <v>35440151</v>
      </c>
      <c r="F375" s="1">
        <v>179254</v>
      </c>
      <c r="G375" s="11">
        <v>23961143</v>
      </c>
      <c r="H375" s="1">
        <v>43013</v>
      </c>
      <c r="I375" s="11">
        <v>6011927</v>
      </c>
      <c r="J375" s="1">
        <v>101</v>
      </c>
      <c r="K375" s="11">
        <v>8526</v>
      </c>
      <c r="L375" s="1">
        <f t="shared" si="476"/>
        <v>552346</v>
      </c>
      <c r="M375" s="11">
        <f t="shared" si="477"/>
        <v>65421747</v>
      </c>
      <c r="N375" s="39">
        <f t="shared" ref="N375:O375" si="486">+L375-J290</f>
        <v>0</v>
      </c>
      <c r="O375" s="13">
        <f t="shared" si="486"/>
        <v>0</v>
      </c>
    </row>
    <row r="376" spans="2:15" x14ac:dyDescent="0.25">
      <c r="B376" s="2" t="s">
        <v>30</v>
      </c>
      <c r="C376" s="2">
        <v>2020</v>
      </c>
      <c r="D376" s="1">
        <v>357370</v>
      </c>
      <c r="E376" s="11">
        <v>38039629</v>
      </c>
      <c r="F376" s="1">
        <v>175865</v>
      </c>
      <c r="G376" s="11">
        <v>22760503</v>
      </c>
      <c r="H376" s="1">
        <v>42258</v>
      </c>
      <c r="I376" s="11">
        <v>5971524</v>
      </c>
      <c r="J376" s="1">
        <v>7</v>
      </c>
      <c r="K376" s="11">
        <v>725</v>
      </c>
      <c r="L376" s="1">
        <f t="shared" si="476"/>
        <v>575500</v>
      </c>
      <c r="M376" s="11">
        <f t="shared" si="477"/>
        <v>66772381</v>
      </c>
      <c r="N376" s="39">
        <f t="shared" ref="N376:O376" si="487">+L376-J291</f>
        <v>0</v>
      </c>
      <c r="O376" s="13">
        <f t="shared" si="487"/>
        <v>0</v>
      </c>
    </row>
    <row r="377" spans="2:15" x14ac:dyDescent="0.25">
      <c r="B377" s="2" t="s">
        <v>31</v>
      </c>
      <c r="C377" s="2">
        <v>2020</v>
      </c>
      <c r="D377" s="1">
        <v>411548</v>
      </c>
      <c r="E377" s="11">
        <v>43910151</v>
      </c>
      <c r="F377" s="1">
        <v>196038</v>
      </c>
      <c r="G377" s="11">
        <v>25184610</v>
      </c>
      <c r="H377" s="1">
        <v>44241</v>
      </c>
      <c r="I377" s="11">
        <v>6270516</v>
      </c>
      <c r="J377" s="1">
        <v>0</v>
      </c>
      <c r="K377" s="11">
        <v>0</v>
      </c>
      <c r="L377" s="1">
        <f t="shared" si="476"/>
        <v>651827</v>
      </c>
      <c r="M377" s="11">
        <f t="shared" si="477"/>
        <v>75365277</v>
      </c>
      <c r="N377" s="39">
        <f t="shared" ref="N377:O377" si="488">+L377-J292</f>
        <v>0</v>
      </c>
      <c r="O377" s="13">
        <f t="shared" si="488"/>
        <v>0</v>
      </c>
    </row>
    <row r="379" spans="2:15" x14ac:dyDescent="0.25">
      <c r="B379" s="88" t="s">
        <v>12</v>
      </c>
      <c r="C379" s="88"/>
      <c r="D379" s="4">
        <f>SUM(D366:D378)</f>
        <v>3601610</v>
      </c>
      <c r="E379" s="12">
        <f>SUM(E366:E378)</f>
        <v>376212361</v>
      </c>
      <c r="F379" s="4">
        <f t="shared" ref="F379" si="489">SUM(F366:F378)</f>
        <v>1976090</v>
      </c>
      <c r="G379" s="12">
        <f t="shared" ref="G379" si="490">SUM(G366:G378)</f>
        <v>250879296</v>
      </c>
      <c r="H379" s="4">
        <f t="shared" ref="H379" si="491">SUM(H366:H378)</f>
        <v>472388</v>
      </c>
      <c r="I379" s="12">
        <f t="shared" ref="I379" si="492">SUM(I366:I378)</f>
        <v>61514379</v>
      </c>
      <c r="J379" s="4">
        <f t="shared" ref="J379" si="493">SUM(J366:J378)</f>
        <v>1547</v>
      </c>
      <c r="K379" s="12">
        <f t="shared" ref="K379" si="494">SUM(K366:K378)</f>
        <v>122584</v>
      </c>
      <c r="L379" s="4">
        <f t="shared" ref="L379" si="495">SUM(L366:L378)</f>
        <v>6051635</v>
      </c>
      <c r="M379" s="12">
        <f t="shared" ref="M379" si="496">SUM(M366:M378)</f>
        <v>688728620</v>
      </c>
    </row>
    <row r="381" spans="2:15" x14ac:dyDescent="0.25">
      <c r="B381" s="5" t="s">
        <v>14</v>
      </c>
    </row>
    <row r="382" spans="2:15" x14ac:dyDescent="0.25">
      <c r="B382" s="5" t="s">
        <v>78</v>
      </c>
    </row>
    <row r="384" spans="2:15" x14ac:dyDescent="0.25">
      <c r="D384" s="89" t="s">
        <v>15</v>
      </c>
      <c r="E384" s="90"/>
      <c r="F384" s="89" t="s">
        <v>72</v>
      </c>
      <c r="G384" s="90"/>
      <c r="H384" s="89" t="s">
        <v>16</v>
      </c>
      <c r="I384" s="90"/>
      <c r="J384" s="89" t="s">
        <v>73</v>
      </c>
      <c r="K384" s="90"/>
      <c r="L384" s="89" t="s">
        <v>70</v>
      </c>
      <c r="M384" s="90"/>
      <c r="N384" s="9"/>
    </row>
    <row r="385" spans="2:15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x14ac:dyDescent="0.25">
      <c r="N386" s="9"/>
    </row>
    <row r="387" spans="2:15" x14ac:dyDescent="0.25">
      <c r="B387" s="2" t="s">
        <v>5</v>
      </c>
      <c r="C387" s="2">
        <v>2020</v>
      </c>
      <c r="D387" s="1">
        <v>157156</v>
      </c>
      <c r="E387" s="11">
        <v>8693149</v>
      </c>
      <c r="F387" s="1">
        <v>146007</v>
      </c>
      <c r="G387" s="11">
        <v>7340268</v>
      </c>
      <c r="H387" s="1">
        <v>30205</v>
      </c>
      <c r="I387" s="11">
        <v>1775308</v>
      </c>
      <c r="J387" s="1">
        <v>494</v>
      </c>
      <c r="K387" s="11">
        <v>32357</v>
      </c>
      <c r="L387" s="1">
        <f>+D387+F387+H387+J387</f>
        <v>333862</v>
      </c>
      <c r="M387" s="11">
        <f>+E387+G387+I387+K387</f>
        <v>17841082</v>
      </c>
      <c r="N387" s="39">
        <f>+L387-L281</f>
        <v>0</v>
      </c>
      <c r="O387" s="13">
        <f>+M387-M281</f>
        <v>0</v>
      </c>
    </row>
    <row r="388" spans="2:15" x14ac:dyDescent="0.25">
      <c r="B388" s="2" t="s">
        <v>6</v>
      </c>
      <c r="C388" s="2">
        <v>2020</v>
      </c>
      <c r="D388" s="1">
        <v>157002</v>
      </c>
      <c r="E388" s="11">
        <v>8748720</v>
      </c>
      <c r="F388" s="1">
        <v>152664</v>
      </c>
      <c r="G388" s="11">
        <v>7558022</v>
      </c>
      <c r="H388" s="1">
        <v>28415</v>
      </c>
      <c r="I388" s="11">
        <v>1775031</v>
      </c>
      <c r="J388" s="1">
        <v>512</v>
      </c>
      <c r="K388" s="11">
        <v>32205</v>
      </c>
      <c r="L388" s="1">
        <f t="shared" ref="L388:L398" si="497">+D388+F388+H388+J388</f>
        <v>338593</v>
      </c>
      <c r="M388" s="11">
        <f t="shared" ref="M388:M398" si="498">+E388+G388+I388+K388</f>
        <v>18113978</v>
      </c>
      <c r="N388" s="39">
        <f t="shared" ref="N388:O388" si="499">+L388-L282</f>
        <v>0</v>
      </c>
      <c r="O388" s="13">
        <f t="shared" si="499"/>
        <v>0</v>
      </c>
    </row>
    <row r="389" spans="2:15" x14ac:dyDescent="0.25">
      <c r="B389" s="2" t="s">
        <v>7</v>
      </c>
      <c r="C389" s="2">
        <v>2020</v>
      </c>
      <c r="D389" s="1">
        <v>129243</v>
      </c>
      <c r="E389" s="11">
        <v>7770600</v>
      </c>
      <c r="F389" s="1">
        <v>122638</v>
      </c>
      <c r="G389" s="11">
        <v>6828058</v>
      </c>
      <c r="H389" s="1">
        <v>22798</v>
      </c>
      <c r="I389" s="11">
        <v>1574452</v>
      </c>
      <c r="J389" s="1">
        <v>350</v>
      </c>
      <c r="K389" s="11">
        <v>22290</v>
      </c>
      <c r="L389" s="1">
        <f t="shared" si="497"/>
        <v>275029</v>
      </c>
      <c r="M389" s="11">
        <f t="shared" si="498"/>
        <v>16195400</v>
      </c>
      <c r="N389" s="39">
        <f t="shared" ref="N389:O389" si="500">+L389-L283</f>
        <v>0</v>
      </c>
      <c r="O389" s="13">
        <f t="shared" si="500"/>
        <v>0</v>
      </c>
    </row>
    <row r="390" spans="2:15" x14ac:dyDescent="0.25">
      <c r="B390" s="2" t="s">
        <v>8</v>
      </c>
      <c r="C390" s="2">
        <v>2020</v>
      </c>
      <c r="D390" s="1">
        <v>74091</v>
      </c>
      <c r="E390" s="11">
        <v>5142806</v>
      </c>
      <c r="F390" s="1">
        <v>47917</v>
      </c>
      <c r="G390" s="11">
        <v>3709854</v>
      </c>
      <c r="H390" s="1">
        <v>11094</v>
      </c>
      <c r="I390" s="11">
        <v>1026747</v>
      </c>
      <c r="J390" s="1">
        <v>137</v>
      </c>
      <c r="K390" s="11">
        <v>10490</v>
      </c>
      <c r="L390" s="1">
        <f t="shared" si="497"/>
        <v>133239</v>
      </c>
      <c r="M390" s="11">
        <f t="shared" si="498"/>
        <v>9889897</v>
      </c>
      <c r="N390" s="39">
        <f t="shared" ref="N390:O390" si="501">+L390-L284</f>
        <v>0</v>
      </c>
      <c r="O390" s="13">
        <f t="shared" si="501"/>
        <v>0</v>
      </c>
    </row>
    <row r="391" spans="2:15" x14ac:dyDescent="0.25">
      <c r="B391" s="2" t="s">
        <v>9</v>
      </c>
      <c r="C391" s="2">
        <v>2020</v>
      </c>
      <c r="D391" s="1">
        <v>73293</v>
      </c>
      <c r="E391" s="11">
        <v>5149332</v>
      </c>
      <c r="F391" s="1">
        <v>49144</v>
      </c>
      <c r="G391" s="11">
        <v>3801796</v>
      </c>
      <c r="H391" s="1">
        <v>10363</v>
      </c>
      <c r="I391" s="11">
        <v>1018323</v>
      </c>
      <c r="J391" s="1">
        <v>116</v>
      </c>
      <c r="K391" s="11">
        <v>9482</v>
      </c>
      <c r="L391" s="1">
        <f t="shared" si="497"/>
        <v>132916</v>
      </c>
      <c r="M391" s="11">
        <f t="shared" si="498"/>
        <v>9978933</v>
      </c>
      <c r="N391" s="39">
        <f t="shared" ref="N391:O391" si="502">+L391-L285</f>
        <v>0</v>
      </c>
      <c r="O391" s="13">
        <f t="shared" si="502"/>
        <v>0</v>
      </c>
    </row>
    <row r="392" spans="2:15" x14ac:dyDescent="0.25">
      <c r="B392" s="2" t="s">
        <v>10</v>
      </c>
      <c r="C392" s="2">
        <v>2020</v>
      </c>
      <c r="D392" s="1">
        <v>88136</v>
      </c>
      <c r="E392" s="11">
        <v>6154223</v>
      </c>
      <c r="F392" s="1">
        <v>61316</v>
      </c>
      <c r="G392" s="11">
        <v>4508359</v>
      </c>
      <c r="H392" s="1">
        <v>10877</v>
      </c>
      <c r="I392" s="11">
        <v>1053506</v>
      </c>
      <c r="J392" s="1">
        <v>186</v>
      </c>
      <c r="K392" s="11">
        <v>14256</v>
      </c>
      <c r="L392" s="1">
        <f t="shared" si="497"/>
        <v>160515</v>
      </c>
      <c r="M392" s="11">
        <f t="shared" si="498"/>
        <v>11730344</v>
      </c>
      <c r="N392" s="39">
        <f t="shared" ref="N392:O392" si="503">+L392-L286</f>
        <v>0</v>
      </c>
      <c r="O392" s="13">
        <f t="shared" si="503"/>
        <v>0</v>
      </c>
    </row>
    <row r="393" spans="2:15" x14ac:dyDescent="0.25">
      <c r="B393" s="2" t="s">
        <v>11</v>
      </c>
      <c r="C393" s="2">
        <v>2020</v>
      </c>
      <c r="D393" s="1">
        <v>113070</v>
      </c>
      <c r="E393" s="11">
        <v>7796664</v>
      </c>
      <c r="F393" s="1">
        <v>76339</v>
      </c>
      <c r="G393" s="11">
        <v>5421684</v>
      </c>
      <c r="H393" s="1">
        <v>13297</v>
      </c>
      <c r="I393" s="11">
        <v>1249641</v>
      </c>
      <c r="J393" s="1">
        <v>228</v>
      </c>
      <c r="K393" s="11">
        <v>14982</v>
      </c>
      <c r="L393" s="1">
        <f t="shared" si="497"/>
        <v>202934</v>
      </c>
      <c r="M393" s="11">
        <f t="shared" si="498"/>
        <v>14482971</v>
      </c>
      <c r="N393" s="39">
        <f t="shared" ref="N393:O393" si="504">+L393-L287</f>
        <v>0</v>
      </c>
      <c r="O393" s="13">
        <f t="shared" si="504"/>
        <v>0</v>
      </c>
    </row>
    <row r="394" spans="2:15" x14ac:dyDescent="0.25">
      <c r="B394" s="2" t="s">
        <v>4</v>
      </c>
      <c r="C394" s="2">
        <v>2020</v>
      </c>
      <c r="D394" s="1">
        <v>129722</v>
      </c>
      <c r="E394" s="11">
        <v>8920332</v>
      </c>
      <c r="F394" s="1">
        <v>88557</v>
      </c>
      <c r="G394" s="11">
        <v>6424284</v>
      </c>
      <c r="H394" s="1">
        <v>15366</v>
      </c>
      <c r="I394" s="11">
        <v>1379804</v>
      </c>
      <c r="J394" s="1">
        <v>255</v>
      </c>
      <c r="K394" s="11">
        <v>15947</v>
      </c>
      <c r="L394" s="1">
        <f t="shared" si="497"/>
        <v>233900</v>
      </c>
      <c r="M394" s="11">
        <f t="shared" si="498"/>
        <v>16740367</v>
      </c>
      <c r="N394" s="39">
        <f t="shared" ref="N394:O394" si="505">+L394-L288</f>
        <v>0</v>
      </c>
      <c r="O394" s="13">
        <f t="shared" si="505"/>
        <v>0</v>
      </c>
    </row>
    <row r="395" spans="2:15" x14ac:dyDescent="0.25">
      <c r="B395" s="2" t="s">
        <v>28</v>
      </c>
      <c r="C395" s="2">
        <v>2020</v>
      </c>
      <c r="D395" s="1">
        <v>125842</v>
      </c>
      <c r="E395" s="11">
        <v>8783798</v>
      </c>
      <c r="F395" s="1">
        <v>89137</v>
      </c>
      <c r="G395" s="11">
        <v>6145886</v>
      </c>
      <c r="H395" s="1">
        <v>17066</v>
      </c>
      <c r="I395" s="11">
        <v>1442160</v>
      </c>
      <c r="J395" s="1">
        <v>223</v>
      </c>
      <c r="K395" s="11">
        <v>15597</v>
      </c>
      <c r="L395" s="1">
        <f t="shared" si="497"/>
        <v>232268</v>
      </c>
      <c r="M395" s="11">
        <f t="shared" si="498"/>
        <v>16387441</v>
      </c>
      <c r="N395" s="39">
        <f t="shared" ref="N395:O395" si="506">+L395-L289</f>
        <v>0</v>
      </c>
      <c r="O395" s="13">
        <f t="shared" si="506"/>
        <v>0</v>
      </c>
    </row>
    <row r="396" spans="2:15" x14ac:dyDescent="0.25">
      <c r="B396" s="2" t="s">
        <v>29</v>
      </c>
      <c r="C396" s="2">
        <v>2020</v>
      </c>
      <c r="D396" s="1">
        <v>141408</v>
      </c>
      <c r="E396" s="11">
        <v>9770598</v>
      </c>
      <c r="F396" s="1">
        <v>99853</v>
      </c>
      <c r="G396" s="11">
        <v>7023876</v>
      </c>
      <c r="H396" s="1">
        <v>21374</v>
      </c>
      <c r="I396" s="11">
        <v>1802581</v>
      </c>
      <c r="J396" s="1">
        <v>224</v>
      </c>
      <c r="K396" s="11">
        <v>16302</v>
      </c>
      <c r="L396" s="1">
        <f t="shared" si="497"/>
        <v>262859</v>
      </c>
      <c r="M396" s="11">
        <f t="shared" si="498"/>
        <v>18613357</v>
      </c>
      <c r="N396" s="39">
        <f t="shared" ref="N396:O396" si="507">+L396-L290</f>
        <v>0</v>
      </c>
      <c r="O396" s="13">
        <f t="shared" si="507"/>
        <v>0</v>
      </c>
    </row>
    <row r="397" spans="2:15" x14ac:dyDescent="0.25">
      <c r="B397" s="2" t="s">
        <v>30</v>
      </c>
      <c r="C397" s="2">
        <v>2020</v>
      </c>
      <c r="D397" s="1">
        <v>137821</v>
      </c>
      <c r="E397" s="11">
        <v>9912270</v>
      </c>
      <c r="F397" s="1">
        <v>90655</v>
      </c>
      <c r="G397" s="11">
        <v>6400646</v>
      </c>
      <c r="H397" s="1">
        <v>18775</v>
      </c>
      <c r="I397" s="11">
        <v>1681961</v>
      </c>
      <c r="J397" s="1">
        <v>16</v>
      </c>
      <c r="K397" s="11">
        <v>416</v>
      </c>
      <c r="L397" s="1">
        <f t="shared" si="497"/>
        <v>247267</v>
      </c>
      <c r="M397" s="11">
        <f t="shared" si="498"/>
        <v>17995293</v>
      </c>
      <c r="N397" s="39">
        <f t="shared" ref="N397:O397" si="508">+L397-L291</f>
        <v>0</v>
      </c>
      <c r="O397" s="13">
        <f t="shared" si="508"/>
        <v>0</v>
      </c>
    </row>
    <row r="398" spans="2:15" x14ac:dyDescent="0.25">
      <c r="B398" s="2" t="s">
        <v>31</v>
      </c>
      <c r="C398" s="2">
        <v>2020</v>
      </c>
      <c r="D398" s="1">
        <v>136730</v>
      </c>
      <c r="E398" s="11">
        <v>9988930</v>
      </c>
      <c r="F398" s="1">
        <v>91616</v>
      </c>
      <c r="G398" s="11">
        <v>6492259</v>
      </c>
      <c r="H398" s="1">
        <v>19798</v>
      </c>
      <c r="I398" s="11">
        <v>1785881</v>
      </c>
      <c r="J398" s="1">
        <v>1</v>
      </c>
      <c r="K398" s="11">
        <v>9</v>
      </c>
      <c r="L398" s="1">
        <f t="shared" si="497"/>
        <v>248145</v>
      </c>
      <c r="M398" s="11">
        <f t="shared" si="498"/>
        <v>18267079</v>
      </c>
      <c r="N398" s="39">
        <f t="shared" ref="N398:O398" si="509">+L398-L292</f>
        <v>0</v>
      </c>
      <c r="O398" s="13">
        <f t="shared" si="509"/>
        <v>0</v>
      </c>
    </row>
    <row r="400" spans="2:15" x14ac:dyDescent="0.25">
      <c r="B400" s="88" t="s">
        <v>12</v>
      </c>
      <c r="C400" s="88"/>
      <c r="D400" s="4">
        <f>SUM(D387:D399)</f>
        <v>1463514</v>
      </c>
      <c r="E400" s="12">
        <f>SUM(E387:E399)</f>
        <v>96831422</v>
      </c>
      <c r="F400" s="4">
        <f t="shared" ref="F400" si="510">SUM(F387:F399)</f>
        <v>1115843</v>
      </c>
      <c r="G400" s="12">
        <f t="shared" ref="G400" si="511">SUM(G387:G399)</f>
        <v>71654992</v>
      </c>
      <c r="H400" s="4">
        <f t="shared" ref="H400" si="512">SUM(H387:H399)</f>
        <v>219428</v>
      </c>
      <c r="I400" s="12">
        <f t="shared" ref="I400" si="513">SUM(I387:I399)</f>
        <v>17565395</v>
      </c>
      <c r="J400" s="4">
        <f t="shared" ref="J400" si="514">SUM(J387:J399)</f>
        <v>2742</v>
      </c>
      <c r="K400" s="12">
        <f t="shared" ref="K400" si="515">SUM(K387:K399)</f>
        <v>184333</v>
      </c>
      <c r="L400" s="4">
        <f t="shared" ref="L400" si="516">SUM(L387:L399)</f>
        <v>2801527</v>
      </c>
      <c r="M400" s="12">
        <f t="shared" ref="M400" si="517">SUM(M387:M399)</f>
        <v>186236142</v>
      </c>
    </row>
    <row r="402" spans="2:15" x14ac:dyDescent="0.25">
      <c r="B402" s="5" t="s">
        <v>14</v>
      </c>
    </row>
    <row r="403" spans="2:15" x14ac:dyDescent="0.25">
      <c r="B403" s="5" t="s">
        <v>79</v>
      </c>
    </row>
    <row r="405" spans="2:15" x14ac:dyDescent="0.25">
      <c r="D405" s="89" t="s">
        <v>15</v>
      </c>
      <c r="E405" s="90"/>
      <c r="F405" s="89" t="s">
        <v>72</v>
      </c>
      <c r="G405" s="90"/>
      <c r="H405" s="89" t="s">
        <v>16</v>
      </c>
      <c r="I405" s="90"/>
      <c r="J405" s="89" t="s">
        <v>73</v>
      </c>
      <c r="K405" s="90"/>
      <c r="L405" s="89" t="s">
        <v>70</v>
      </c>
      <c r="M405" s="90"/>
      <c r="N405" s="9"/>
    </row>
    <row r="406" spans="2:15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x14ac:dyDescent="0.25">
      <c r="N407" s="9"/>
    </row>
    <row r="408" spans="2:15" x14ac:dyDescent="0.25">
      <c r="B408" s="2" t="s">
        <v>5</v>
      </c>
      <c r="C408" s="2">
        <v>2020</v>
      </c>
      <c r="D408" s="1">
        <v>2042</v>
      </c>
      <c r="E408" s="11">
        <v>160261</v>
      </c>
      <c r="F408" s="1">
        <v>1403</v>
      </c>
      <c r="G408" s="11">
        <v>141806</v>
      </c>
      <c r="H408" s="1">
        <v>277</v>
      </c>
      <c r="I408" s="11">
        <v>29820</v>
      </c>
      <c r="J408" s="1">
        <v>0</v>
      </c>
      <c r="K408" s="11">
        <v>0</v>
      </c>
      <c r="L408" s="1">
        <f>+D408+F408+H408+J408</f>
        <v>3722</v>
      </c>
      <c r="M408" s="11">
        <f>+E408+G408+I408+K408</f>
        <v>331887</v>
      </c>
      <c r="N408" s="39">
        <f>+L408-N281</f>
        <v>0</v>
      </c>
      <c r="O408" s="13">
        <f>+M408-O281</f>
        <v>0</v>
      </c>
    </row>
    <row r="409" spans="2:15" x14ac:dyDescent="0.25">
      <c r="B409" s="2" t="s">
        <v>6</v>
      </c>
      <c r="C409" s="2">
        <v>2020</v>
      </c>
      <c r="D409" s="1">
        <v>932</v>
      </c>
      <c r="E409" s="11">
        <v>78599</v>
      </c>
      <c r="F409" s="1">
        <v>637</v>
      </c>
      <c r="G409" s="11">
        <v>67040</v>
      </c>
      <c r="H409" s="1">
        <v>166</v>
      </c>
      <c r="I409" s="11">
        <v>17831</v>
      </c>
      <c r="J409" s="1">
        <v>0</v>
      </c>
      <c r="K409" s="11">
        <v>0</v>
      </c>
      <c r="L409" s="1">
        <f t="shared" ref="L409:L419" si="518">+D409+F409+H409+J409</f>
        <v>1735</v>
      </c>
      <c r="M409" s="11">
        <f t="shared" ref="M409:M419" si="519">+E409+G409+I409+K409</f>
        <v>163470</v>
      </c>
      <c r="N409" s="39">
        <f t="shared" ref="N409:O409" si="520">+L409-N282</f>
        <v>0</v>
      </c>
      <c r="O409" s="13">
        <f t="shared" si="520"/>
        <v>0</v>
      </c>
    </row>
    <row r="410" spans="2:15" x14ac:dyDescent="0.25">
      <c r="B410" s="2" t="s">
        <v>7</v>
      </c>
      <c r="C410" s="2">
        <v>2020</v>
      </c>
      <c r="D410" s="1">
        <v>0</v>
      </c>
      <c r="E410" s="11">
        <v>0</v>
      </c>
      <c r="F410" s="1">
        <v>0</v>
      </c>
      <c r="G410" s="11">
        <v>0</v>
      </c>
      <c r="H410" s="1">
        <v>0</v>
      </c>
      <c r="I410" s="11">
        <v>0</v>
      </c>
      <c r="J410" s="1">
        <v>0</v>
      </c>
      <c r="K410" s="11">
        <v>0</v>
      </c>
      <c r="L410" s="1">
        <f t="shared" si="518"/>
        <v>0</v>
      </c>
      <c r="M410" s="11">
        <f t="shared" si="519"/>
        <v>0</v>
      </c>
      <c r="N410" s="39">
        <f t="shared" ref="N410:O410" si="521">+L410-N283</f>
        <v>0</v>
      </c>
      <c r="O410" s="13">
        <f t="shared" si="521"/>
        <v>0</v>
      </c>
    </row>
    <row r="411" spans="2:15" x14ac:dyDescent="0.25">
      <c r="B411" s="2" t="s">
        <v>8</v>
      </c>
      <c r="C411" s="2">
        <v>2020</v>
      </c>
      <c r="D411" s="1">
        <v>0</v>
      </c>
      <c r="E411" s="11">
        <v>0</v>
      </c>
      <c r="F411" s="1">
        <v>0</v>
      </c>
      <c r="G411" s="11">
        <v>0</v>
      </c>
      <c r="H411" s="1">
        <v>0</v>
      </c>
      <c r="I411" s="11">
        <v>0</v>
      </c>
      <c r="J411" s="1">
        <v>0</v>
      </c>
      <c r="K411" s="11">
        <v>0</v>
      </c>
      <c r="L411" s="1">
        <f t="shared" si="518"/>
        <v>0</v>
      </c>
      <c r="M411" s="11">
        <f t="shared" si="519"/>
        <v>0</v>
      </c>
      <c r="N411" s="39">
        <f t="shared" ref="N411:O411" si="522">+L411-N284</f>
        <v>0</v>
      </c>
      <c r="O411" s="13">
        <f t="shared" si="522"/>
        <v>0</v>
      </c>
    </row>
    <row r="412" spans="2:15" x14ac:dyDescent="0.25">
      <c r="B412" s="2" t="s">
        <v>9</v>
      </c>
      <c r="C412" s="2">
        <v>2020</v>
      </c>
      <c r="D412" s="1">
        <v>0</v>
      </c>
      <c r="E412" s="11">
        <v>0</v>
      </c>
      <c r="F412" s="1">
        <v>0</v>
      </c>
      <c r="G412" s="11">
        <v>0</v>
      </c>
      <c r="H412" s="1">
        <v>0</v>
      </c>
      <c r="I412" s="11">
        <v>0</v>
      </c>
      <c r="J412" s="1">
        <v>0</v>
      </c>
      <c r="K412" s="11">
        <v>0</v>
      </c>
      <c r="L412" s="1">
        <f t="shared" si="518"/>
        <v>0</v>
      </c>
      <c r="M412" s="11">
        <f t="shared" si="519"/>
        <v>0</v>
      </c>
      <c r="N412" s="39">
        <f t="shared" ref="N412:O412" si="523">+L412-N285</f>
        <v>0</v>
      </c>
      <c r="O412" s="13">
        <f t="shared" si="523"/>
        <v>0</v>
      </c>
    </row>
    <row r="413" spans="2:15" x14ac:dyDescent="0.25">
      <c r="B413" s="2" t="s">
        <v>10</v>
      </c>
      <c r="C413" s="2">
        <v>2020</v>
      </c>
      <c r="D413" s="1">
        <v>0</v>
      </c>
      <c r="E413" s="11">
        <v>0</v>
      </c>
      <c r="F413" s="1">
        <v>0</v>
      </c>
      <c r="G413" s="11">
        <v>0</v>
      </c>
      <c r="H413" s="1">
        <v>0</v>
      </c>
      <c r="I413" s="11">
        <v>0</v>
      </c>
      <c r="J413" s="1">
        <v>0</v>
      </c>
      <c r="K413" s="11">
        <v>0</v>
      </c>
      <c r="L413" s="1">
        <f t="shared" si="518"/>
        <v>0</v>
      </c>
      <c r="M413" s="11">
        <f t="shared" si="519"/>
        <v>0</v>
      </c>
      <c r="N413" s="39">
        <f t="shared" ref="N413:O413" si="524">+L413-N286</f>
        <v>0</v>
      </c>
      <c r="O413" s="13">
        <f t="shared" si="524"/>
        <v>0</v>
      </c>
    </row>
    <row r="414" spans="2:15" x14ac:dyDescent="0.25">
      <c r="B414" s="2" t="s">
        <v>11</v>
      </c>
      <c r="C414" s="2">
        <v>2020</v>
      </c>
      <c r="D414" s="1">
        <v>0</v>
      </c>
      <c r="E414" s="11">
        <v>0</v>
      </c>
      <c r="F414" s="1">
        <v>0</v>
      </c>
      <c r="G414" s="11">
        <v>0</v>
      </c>
      <c r="H414" s="1">
        <v>0</v>
      </c>
      <c r="I414" s="11">
        <v>0</v>
      </c>
      <c r="J414" s="1">
        <v>0</v>
      </c>
      <c r="K414" s="11">
        <v>0</v>
      </c>
      <c r="L414" s="1">
        <f t="shared" si="518"/>
        <v>0</v>
      </c>
      <c r="M414" s="11">
        <f t="shared" si="519"/>
        <v>0</v>
      </c>
      <c r="N414" s="39">
        <f t="shared" ref="N414:O414" si="525">+L414-N287</f>
        <v>0</v>
      </c>
      <c r="O414" s="13">
        <f t="shared" si="525"/>
        <v>0</v>
      </c>
    </row>
    <row r="415" spans="2:15" x14ac:dyDescent="0.25">
      <c r="B415" s="2" t="s">
        <v>4</v>
      </c>
      <c r="C415" s="2">
        <v>2020</v>
      </c>
      <c r="D415" s="1">
        <v>0</v>
      </c>
      <c r="E415" s="11">
        <v>0</v>
      </c>
      <c r="F415" s="1">
        <v>0</v>
      </c>
      <c r="G415" s="11">
        <v>0</v>
      </c>
      <c r="H415" s="1">
        <v>0</v>
      </c>
      <c r="I415" s="11">
        <v>0</v>
      </c>
      <c r="J415" s="1">
        <v>0</v>
      </c>
      <c r="K415" s="11">
        <v>0</v>
      </c>
      <c r="L415" s="1">
        <f t="shared" si="518"/>
        <v>0</v>
      </c>
      <c r="M415" s="11">
        <f t="shared" si="519"/>
        <v>0</v>
      </c>
      <c r="N415" s="39">
        <f t="shared" ref="N415:O415" si="526">+L415-N288</f>
        <v>0</v>
      </c>
      <c r="O415" s="13">
        <f t="shared" si="526"/>
        <v>0</v>
      </c>
    </row>
    <row r="416" spans="2:15" x14ac:dyDescent="0.25">
      <c r="B416" s="2" t="s">
        <v>28</v>
      </c>
      <c r="C416" s="2">
        <v>2020</v>
      </c>
      <c r="D416" s="1">
        <v>0</v>
      </c>
      <c r="E416" s="11">
        <v>0</v>
      </c>
      <c r="F416" s="1">
        <v>0</v>
      </c>
      <c r="G416" s="11">
        <v>0</v>
      </c>
      <c r="H416" s="1">
        <v>0</v>
      </c>
      <c r="I416" s="11">
        <v>0</v>
      </c>
      <c r="J416" s="1">
        <v>0</v>
      </c>
      <c r="K416" s="11">
        <v>0</v>
      </c>
      <c r="L416" s="1">
        <f t="shared" si="518"/>
        <v>0</v>
      </c>
      <c r="M416" s="11">
        <f t="shared" si="519"/>
        <v>0</v>
      </c>
      <c r="N416" s="39">
        <f t="shared" ref="N416:O416" si="527">+L416-N289</f>
        <v>0</v>
      </c>
      <c r="O416" s="13">
        <f t="shared" si="527"/>
        <v>0</v>
      </c>
    </row>
    <row r="417" spans="2:15" x14ac:dyDescent="0.25">
      <c r="B417" s="2" t="s">
        <v>29</v>
      </c>
      <c r="C417" s="2">
        <v>2020</v>
      </c>
      <c r="D417" s="1">
        <v>0</v>
      </c>
      <c r="E417" s="11">
        <v>0</v>
      </c>
      <c r="F417" s="1">
        <v>0</v>
      </c>
      <c r="G417" s="11">
        <v>0</v>
      </c>
      <c r="H417" s="1">
        <v>0</v>
      </c>
      <c r="I417" s="11">
        <v>0</v>
      </c>
      <c r="J417" s="1">
        <v>0</v>
      </c>
      <c r="K417" s="11">
        <v>0</v>
      </c>
      <c r="L417" s="1">
        <f t="shared" si="518"/>
        <v>0</v>
      </c>
      <c r="M417" s="11">
        <f t="shared" si="519"/>
        <v>0</v>
      </c>
      <c r="N417" s="39">
        <f t="shared" ref="N417:O417" si="528">+L417-N290</f>
        <v>0</v>
      </c>
      <c r="O417" s="13">
        <f t="shared" si="528"/>
        <v>0</v>
      </c>
    </row>
    <row r="418" spans="2:15" x14ac:dyDescent="0.25">
      <c r="B418" s="2" t="s">
        <v>30</v>
      </c>
      <c r="C418" s="2">
        <v>2020</v>
      </c>
      <c r="D418" s="1">
        <v>0</v>
      </c>
      <c r="E418" s="11">
        <v>0</v>
      </c>
      <c r="F418" s="1">
        <v>0</v>
      </c>
      <c r="G418" s="11">
        <v>0</v>
      </c>
      <c r="H418" s="1">
        <v>0</v>
      </c>
      <c r="I418" s="11">
        <v>0</v>
      </c>
      <c r="J418" s="1">
        <v>0</v>
      </c>
      <c r="K418" s="11">
        <v>0</v>
      </c>
      <c r="L418" s="1">
        <f t="shared" si="518"/>
        <v>0</v>
      </c>
      <c r="M418" s="11">
        <f t="shared" si="519"/>
        <v>0</v>
      </c>
      <c r="N418" s="39">
        <f t="shared" ref="N418:O418" si="529">+L418-N291</f>
        <v>0</v>
      </c>
      <c r="O418" s="13">
        <f t="shared" si="529"/>
        <v>0</v>
      </c>
    </row>
    <row r="419" spans="2:15" x14ac:dyDescent="0.25">
      <c r="B419" s="2" t="s">
        <v>31</v>
      </c>
      <c r="C419" s="2">
        <v>2020</v>
      </c>
      <c r="D419" s="1">
        <v>0</v>
      </c>
      <c r="E419" s="11">
        <v>0</v>
      </c>
      <c r="F419" s="1">
        <v>0</v>
      </c>
      <c r="G419" s="11">
        <v>0</v>
      </c>
      <c r="H419" s="1">
        <v>0</v>
      </c>
      <c r="I419" s="11">
        <v>0</v>
      </c>
      <c r="J419" s="1">
        <v>0</v>
      </c>
      <c r="K419" s="11">
        <v>0</v>
      </c>
      <c r="L419" s="1">
        <f t="shared" si="518"/>
        <v>0</v>
      </c>
      <c r="M419" s="11">
        <f t="shared" si="519"/>
        <v>0</v>
      </c>
      <c r="N419" s="39">
        <f t="shared" ref="N419:O419" si="530">+L419-N292</f>
        <v>0</v>
      </c>
      <c r="O419" s="13">
        <f t="shared" si="530"/>
        <v>0</v>
      </c>
    </row>
    <row r="421" spans="2:15" x14ac:dyDescent="0.25">
      <c r="B421" s="88" t="s">
        <v>12</v>
      </c>
      <c r="C421" s="88"/>
      <c r="D421" s="4">
        <f>SUM(D408:D420)</f>
        <v>2974</v>
      </c>
      <c r="E421" s="12">
        <f>SUM(E408:E420)</f>
        <v>238860</v>
      </c>
      <c r="F421" s="4">
        <f t="shared" ref="F421" si="531">SUM(F408:F420)</f>
        <v>2040</v>
      </c>
      <c r="G421" s="12">
        <f t="shared" ref="G421" si="532">SUM(G408:G420)</f>
        <v>208846</v>
      </c>
      <c r="H421" s="4">
        <f t="shared" ref="H421" si="533">SUM(H408:H420)</f>
        <v>443</v>
      </c>
      <c r="I421" s="12">
        <f t="shared" ref="I421" si="534">SUM(I408:I420)</f>
        <v>47651</v>
      </c>
      <c r="J421" s="4">
        <f t="shared" ref="J421" si="535">SUM(J408:J420)</f>
        <v>0</v>
      </c>
      <c r="K421" s="12">
        <f t="shared" ref="K421" si="536">SUM(K408:K420)</f>
        <v>0</v>
      </c>
      <c r="L421" s="4">
        <f t="shared" ref="L421" si="537">SUM(L408:L420)</f>
        <v>5457</v>
      </c>
      <c r="M421" s="12">
        <f t="shared" ref="M421" si="538">SUM(M408:M420)</f>
        <v>495357</v>
      </c>
    </row>
  </sheetData>
  <autoFilter ref="B6:AY273" xr:uid="{B451D573-9096-420B-A1A1-725F012128A0}"/>
  <mergeCells count="241">
    <mergeCell ref="B421:C421"/>
    <mergeCell ref="B379:C379"/>
    <mergeCell ref="D384:E384"/>
    <mergeCell ref="F384:G384"/>
    <mergeCell ref="H384:I384"/>
    <mergeCell ref="J384:K384"/>
    <mergeCell ref="L384:M384"/>
    <mergeCell ref="B400:C400"/>
    <mergeCell ref="D405:E405"/>
    <mergeCell ref="F405:G405"/>
    <mergeCell ref="H405:I405"/>
    <mergeCell ref="J405:K405"/>
    <mergeCell ref="L405:M405"/>
    <mergeCell ref="J363:K363"/>
    <mergeCell ref="L363:M363"/>
    <mergeCell ref="D300:E300"/>
    <mergeCell ref="F300:G300"/>
    <mergeCell ref="H300:I300"/>
    <mergeCell ref="J300:K300"/>
    <mergeCell ref="L300:M300"/>
    <mergeCell ref="B316:C316"/>
    <mergeCell ref="D321:E321"/>
    <mergeCell ref="F321:G321"/>
    <mergeCell ref="H321:I321"/>
    <mergeCell ref="J321:K321"/>
    <mergeCell ref="L321:M321"/>
    <mergeCell ref="B337:C337"/>
    <mergeCell ref="D342:E342"/>
    <mergeCell ref="F342:G342"/>
    <mergeCell ref="H342:I342"/>
    <mergeCell ref="J342:K342"/>
    <mergeCell ref="L342:M342"/>
    <mergeCell ref="B358:C358"/>
    <mergeCell ref="D363:E363"/>
    <mergeCell ref="F363:G363"/>
    <mergeCell ref="H363:I363"/>
    <mergeCell ref="F173:G173"/>
    <mergeCell ref="F194:G194"/>
    <mergeCell ref="F215:G215"/>
    <mergeCell ref="F236:G236"/>
    <mergeCell ref="F257:G257"/>
    <mergeCell ref="D278:E278"/>
    <mergeCell ref="F278:G278"/>
    <mergeCell ref="H278:I278"/>
    <mergeCell ref="J278:K278"/>
    <mergeCell ref="L278:M278"/>
    <mergeCell ref="N278:O278"/>
    <mergeCell ref="P278:Q278"/>
    <mergeCell ref="T278:U278"/>
    <mergeCell ref="W257:AB257"/>
    <mergeCell ref="D236:E236"/>
    <mergeCell ref="H236:I236"/>
    <mergeCell ref="J236:K236"/>
    <mergeCell ref="L236:M236"/>
    <mergeCell ref="N236:O236"/>
    <mergeCell ref="P236:Q236"/>
    <mergeCell ref="R236:S236"/>
    <mergeCell ref="W236:AB236"/>
    <mergeCell ref="D257:E257"/>
    <mergeCell ref="H257:I257"/>
    <mergeCell ref="J257:K257"/>
    <mergeCell ref="L257:M257"/>
    <mergeCell ref="N257:O257"/>
    <mergeCell ref="P257:Q257"/>
    <mergeCell ref="R257:S257"/>
    <mergeCell ref="T257:U257"/>
    <mergeCell ref="R173:S173"/>
    <mergeCell ref="W173:AB173"/>
    <mergeCell ref="P215:Q215"/>
    <mergeCell ref="R215:S215"/>
    <mergeCell ref="W215:AB215"/>
    <mergeCell ref="D215:E215"/>
    <mergeCell ref="H215:I215"/>
    <mergeCell ref="J215:K215"/>
    <mergeCell ref="L215:M215"/>
    <mergeCell ref="N215:O215"/>
    <mergeCell ref="R194:S194"/>
    <mergeCell ref="W194:AB194"/>
    <mergeCell ref="D194:E194"/>
    <mergeCell ref="H194:I194"/>
    <mergeCell ref="J194:K194"/>
    <mergeCell ref="L194:M194"/>
    <mergeCell ref="N194:O194"/>
    <mergeCell ref="P194:Q194"/>
    <mergeCell ref="D173:E173"/>
    <mergeCell ref="H173:I173"/>
    <mergeCell ref="J173:K173"/>
    <mergeCell ref="L173:M173"/>
    <mergeCell ref="N173:O173"/>
    <mergeCell ref="P173:Q173"/>
    <mergeCell ref="L152:M152"/>
    <mergeCell ref="N152:O152"/>
    <mergeCell ref="P152:Q152"/>
    <mergeCell ref="D131:E131"/>
    <mergeCell ref="H131:I131"/>
    <mergeCell ref="J131:K131"/>
    <mergeCell ref="L131:M131"/>
    <mergeCell ref="N131:O131"/>
    <mergeCell ref="P131:Q131"/>
    <mergeCell ref="F152:G152"/>
    <mergeCell ref="R131:S131"/>
    <mergeCell ref="W131:AB131"/>
    <mergeCell ref="R152:S152"/>
    <mergeCell ref="W152:AB152"/>
    <mergeCell ref="R89:S89"/>
    <mergeCell ref="W89:AB89"/>
    <mergeCell ref="D110:E110"/>
    <mergeCell ref="H110:I110"/>
    <mergeCell ref="J110:K110"/>
    <mergeCell ref="L110:M110"/>
    <mergeCell ref="N110:O110"/>
    <mergeCell ref="P110:Q110"/>
    <mergeCell ref="R110:S110"/>
    <mergeCell ref="T110:U110"/>
    <mergeCell ref="D89:E89"/>
    <mergeCell ref="H89:I89"/>
    <mergeCell ref="J89:K89"/>
    <mergeCell ref="L89:M89"/>
    <mergeCell ref="N89:O89"/>
    <mergeCell ref="P89:Q89"/>
    <mergeCell ref="W110:AB110"/>
    <mergeCell ref="D152:E152"/>
    <mergeCell ref="H152:I152"/>
    <mergeCell ref="J152:K152"/>
    <mergeCell ref="R47:S47"/>
    <mergeCell ref="W47:AB47"/>
    <mergeCell ref="D68:E68"/>
    <mergeCell ref="H68:I68"/>
    <mergeCell ref="J68:K68"/>
    <mergeCell ref="L68:M68"/>
    <mergeCell ref="N68:O68"/>
    <mergeCell ref="P68:Q68"/>
    <mergeCell ref="R68:S68"/>
    <mergeCell ref="W68:AB68"/>
    <mergeCell ref="D47:E47"/>
    <mergeCell ref="H47:I47"/>
    <mergeCell ref="J47:K47"/>
    <mergeCell ref="L47:M47"/>
    <mergeCell ref="N47:O47"/>
    <mergeCell ref="P47:Q47"/>
    <mergeCell ref="F47:G47"/>
    <mergeCell ref="F68:G68"/>
    <mergeCell ref="R5:S5"/>
    <mergeCell ref="W5:AB5"/>
    <mergeCell ref="D26:E26"/>
    <mergeCell ref="H26:I26"/>
    <mergeCell ref="J26:K26"/>
    <mergeCell ref="L26:M26"/>
    <mergeCell ref="N26:O26"/>
    <mergeCell ref="P26:Q26"/>
    <mergeCell ref="R26:S26"/>
    <mergeCell ref="W26:AB26"/>
    <mergeCell ref="D5:E5"/>
    <mergeCell ref="H5:I5"/>
    <mergeCell ref="J5:K5"/>
    <mergeCell ref="L5:M5"/>
    <mergeCell ref="N5:O5"/>
    <mergeCell ref="P5:Q5"/>
    <mergeCell ref="F5:G5"/>
    <mergeCell ref="F26:G26"/>
    <mergeCell ref="AK5:AL5"/>
    <mergeCell ref="AM5:AN5"/>
    <mergeCell ref="AO5:AP5"/>
    <mergeCell ref="AQ5:AR5"/>
    <mergeCell ref="AS5:AT5"/>
    <mergeCell ref="AU5:AV5"/>
    <mergeCell ref="AK26:AL26"/>
    <mergeCell ref="AM26:AN26"/>
    <mergeCell ref="AO26:AP26"/>
    <mergeCell ref="AQ26:AR26"/>
    <mergeCell ref="AS26:AT26"/>
    <mergeCell ref="AU26:AV26"/>
    <mergeCell ref="AK47:AL47"/>
    <mergeCell ref="AM47:AN47"/>
    <mergeCell ref="AO47:AP47"/>
    <mergeCell ref="AQ47:AR47"/>
    <mergeCell ref="AS47:AT47"/>
    <mergeCell ref="AU47:AV47"/>
    <mergeCell ref="AK68:AL68"/>
    <mergeCell ref="AM68:AN68"/>
    <mergeCell ref="AO68:AP68"/>
    <mergeCell ref="AQ68:AR68"/>
    <mergeCell ref="AS68:AT68"/>
    <mergeCell ref="AU68:AV68"/>
    <mergeCell ref="AQ89:AR89"/>
    <mergeCell ref="AS89:AT89"/>
    <mergeCell ref="AU89:AV89"/>
    <mergeCell ref="AK131:AL131"/>
    <mergeCell ref="AM131:AN131"/>
    <mergeCell ref="AO131:AP131"/>
    <mergeCell ref="AQ131:AR131"/>
    <mergeCell ref="AS131:AT131"/>
    <mergeCell ref="AU131:AV131"/>
    <mergeCell ref="AK110:AL110"/>
    <mergeCell ref="AM110:AN110"/>
    <mergeCell ref="AO110:AP110"/>
    <mergeCell ref="AQ110:AR110"/>
    <mergeCell ref="AS110:AT110"/>
    <mergeCell ref="AU110:AV110"/>
    <mergeCell ref="AK257:AL257"/>
    <mergeCell ref="AM257:AN257"/>
    <mergeCell ref="AO257:AP257"/>
    <mergeCell ref="AQ257:AR257"/>
    <mergeCell ref="AS257:AT257"/>
    <mergeCell ref="AU257:AV257"/>
    <mergeCell ref="AK194:AL194"/>
    <mergeCell ref="AM194:AN194"/>
    <mergeCell ref="AO194:AP194"/>
    <mergeCell ref="AQ194:AR194"/>
    <mergeCell ref="AS194:AT194"/>
    <mergeCell ref="AU194:AV194"/>
    <mergeCell ref="AK215:AL215"/>
    <mergeCell ref="AM215:AN215"/>
    <mergeCell ref="AO215:AP215"/>
    <mergeCell ref="AQ215:AR215"/>
    <mergeCell ref="AS215:AT215"/>
    <mergeCell ref="AU215:AV215"/>
    <mergeCell ref="F89:G89"/>
    <mergeCell ref="F110:G110"/>
    <mergeCell ref="F131:G131"/>
    <mergeCell ref="AK236:AL236"/>
    <mergeCell ref="AM236:AN236"/>
    <mergeCell ref="AO236:AP236"/>
    <mergeCell ref="AQ236:AR236"/>
    <mergeCell ref="AS236:AT236"/>
    <mergeCell ref="AU236:AV236"/>
    <mergeCell ref="AK152:AL152"/>
    <mergeCell ref="AM152:AN152"/>
    <mergeCell ref="AO152:AP152"/>
    <mergeCell ref="AQ152:AR152"/>
    <mergeCell ref="AS152:AT152"/>
    <mergeCell ref="AU152:AV152"/>
    <mergeCell ref="AK173:AL173"/>
    <mergeCell ref="AM173:AN173"/>
    <mergeCell ref="AO173:AP173"/>
    <mergeCell ref="AQ173:AR173"/>
    <mergeCell ref="AS173:AT173"/>
    <mergeCell ref="AU173:AV173"/>
    <mergeCell ref="AK89:AL89"/>
    <mergeCell ref="AM89:AN89"/>
    <mergeCell ref="AO89:AP89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6EA2-C62F-4CD3-A984-2C3BA85B5F33}">
  <sheetPr codeName="Hoja7"/>
  <dimension ref="A2:BE463"/>
  <sheetViews>
    <sheetView showGridLines="0" zoomScale="75" zoomScaleNormal="75" workbookViewId="0">
      <pane xSplit="3" ySplit="6" topLeftCell="D247" activePane="bottomRight" state="frozen"/>
      <selection activeCell="AA32" sqref="AA32"/>
      <selection pane="topRight" activeCell="AA32" sqref="AA32"/>
      <selection pane="bottomLeft" activeCell="AA32" sqref="AA32"/>
      <selection pane="bottomRight" activeCell="C265" sqref="C265:C271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3" max="3" width="19" bestFit="1" customWidth="1"/>
    <col min="4" max="4" width="18.85546875" customWidth="1"/>
    <col min="5" max="5" width="19.7109375" style="9" bestFit="1" customWidth="1"/>
    <col min="6" max="6" width="18.85546875" style="9" customWidth="1"/>
    <col min="7" max="7" width="19.7109375" style="9" bestFit="1" customWidth="1"/>
    <col min="8" max="8" width="18.85546875" customWidth="1"/>
    <col min="9" max="9" width="18.85546875" style="9" customWidth="1"/>
    <col min="10" max="10" width="18.85546875" customWidth="1"/>
    <col min="11" max="11" width="19.7109375" style="9" bestFit="1" customWidth="1"/>
    <col min="12" max="12" width="18.85546875" customWidth="1"/>
    <col min="13" max="13" width="19.7109375" style="9" bestFit="1" customWidth="1"/>
    <col min="14" max="14" width="18.85546875" customWidth="1"/>
    <col min="15" max="16" width="18.85546875" style="9" customWidth="1"/>
    <col min="17" max="17" width="19.7109375" style="9" bestFit="1" customWidth="1"/>
    <col min="18" max="18" width="19.7109375" bestFit="1" customWidth="1"/>
    <col min="19" max="19" width="19.7109375" style="9" bestFit="1" customWidth="1"/>
    <col min="20" max="20" width="18.85546875" customWidth="1"/>
    <col min="21" max="21" width="20" customWidth="1"/>
    <col min="22" max="22" width="13.85546875" customWidth="1"/>
    <col min="23" max="23" width="5.7109375" customWidth="1"/>
    <col min="24" max="24" width="15.5703125" bestFit="1" customWidth="1"/>
    <col min="25" max="25" width="12.5703125" customWidth="1"/>
    <col min="26" max="26" width="15.5703125" customWidth="1"/>
    <col min="27" max="27" width="12.5703125" customWidth="1"/>
    <col min="28" max="28" width="15.5703125" bestFit="1" customWidth="1"/>
    <col min="29" max="29" width="13.85546875" customWidth="1"/>
    <col min="30" max="30" width="15" customWidth="1"/>
    <col min="31" max="31" width="17.140625" customWidth="1"/>
    <col min="32" max="32" width="17.85546875" bestFit="1" customWidth="1"/>
    <col min="33" max="33" width="17.140625" customWidth="1"/>
    <col min="34" max="34" width="19.7109375" bestFit="1" customWidth="1"/>
    <col min="35" max="35" width="17.140625" customWidth="1"/>
    <col min="36" max="36" width="17.85546875" bestFit="1" customWidth="1"/>
    <col min="37" max="37" width="17.140625" customWidth="1"/>
    <col min="38" max="38" width="17.85546875" bestFit="1" customWidth="1"/>
    <col min="39" max="41" width="17.140625" customWidth="1"/>
    <col min="42" max="42" width="19.7109375" bestFit="1" customWidth="1"/>
    <col min="43" max="43" width="10.140625" customWidth="1"/>
    <col min="44" max="44" width="13.5703125" customWidth="1"/>
    <col min="45" max="45" width="14.7109375" customWidth="1"/>
    <col min="46" max="46" width="18.7109375" customWidth="1"/>
    <col min="47" max="49" width="15.7109375" customWidth="1"/>
    <col min="50" max="51" width="12.42578125" customWidth="1"/>
    <col min="52" max="52" width="17.140625" bestFit="1" customWidth="1"/>
    <col min="53" max="59" width="12.42578125" customWidth="1"/>
    <col min="61" max="61" width="15.5703125" bestFit="1" customWidth="1"/>
  </cols>
  <sheetData>
    <row r="2" spans="1:45" x14ac:dyDescent="0.25">
      <c r="B2" s="5" t="s">
        <v>14</v>
      </c>
    </row>
    <row r="3" spans="1:45" x14ac:dyDescent="0.25">
      <c r="B3" s="5" t="s">
        <v>19</v>
      </c>
    </row>
    <row r="4" spans="1:45" x14ac:dyDescent="0.25">
      <c r="B4" s="5"/>
    </row>
    <row r="5" spans="1:45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12</v>
      </c>
      <c r="S5" s="93"/>
      <c r="AE5" s="89" t="s">
        <v>69</v>
      </c>
      <c r="AF5" s="90"/>
      <c r="AG5" s="89" t="s">
        <v>17</v>
      </c>
      <c r="AH5" s="93"/>
      <c r="AI5" s="89" t="s">
        <v>18</v>
      </c>
      <c r="AJ5" s="93"/>
      <c r="AK5" s="89" t="s">
        <v>13</v>
      </c>
      <c r="AL5" s="93"/>
      <c r="AM5" s="89" t="s">
        <v>34</v>
      </c>
      <c r="AN5" s="93"/>
      <c r="AO5" s="89" t="s">
        <v>12</v>
      </c>
      <c r="AP5" s="93"/>
    </row>
    <row r="6" spans="1:45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AC6" s="7" t="s">
        <v>0</v>
      </c>
      <c r="AD6" s="7" t="s">
        <v>1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</row>
    <row r="7" spans="1:45" x14ac:dyDescent="0.25">
      <c r="AF7" s="9"/>
      <c r="AH7" s="9"/>
      <c r="AJ7" s="9"/>
      <c r="AL7" s="9"/>
      <c r="AM7" s="9"/>
      <c r="AN7" s="9"/>
      <c r="AP7" s="9"/>
    </row>
    <row r="8" spans="1:45" x14ac:dyDescent="0.25">
      <c r="B8" s="2" t="s">
        <v>5</v>
      </c>
      <c r="C8" s="2">
        <v>2021</v>
      </c>
      <c r="D8" s="1">
        <v>170530</v>
      </c>
      <c r="E8" s="11">
        <v>6551757.6400000006</v>
      </c>
      <c r="F8" s="1">
        <v>97194</v>
      </c>
      <c r="G8" s="11">
        <v>3755768.01</v>
      </c>
      <c r="H8" s="1">
        <v>10133</v>
      </c>
      <c r="I8" s="11">
        <v>405287.20000000007</v>
      </c>
      <c r="J8" s="1">
        <v>729870</v>
      </c>
      <c r="K8" s="11">
        <v>28351862.319999997</v>
      </c>
      <c r="L8" s="8">
        <v>18459</v>
      </c>
      <c r="M8" s="11">
        <v>715452.32999999984</v>
      </c>
      <c r="N8" s="8">
        <v>5413</v>
      </c>
      <c r="O8" s="11">
        <v>192948.07</v>
      </c>
      <c r="P8" s="8">
        <v>0</v>
      </c>
      <c r="Q8" s="11">
        <v>0</v>
      </c>
      <c r="R8" s="8">
        <f>N8+L8+J8+H8+D8+P8+F8</f>
        <v>1031599</v>
      </c>
      <c r="S8" s="11">
        <f t="shared" ref="S8:S19" si="0">O8+M8+K8+I8+E8+Q8+G8</f>
        <v>39973075.569999993</v>
      </c>
      <c r="T8" s="2" t="s">
        <v>56</v>
      </c>
      <c r="AC8" s="2" t="s">
        <v>5</v>
      </c>
      <c r="AD8" s="2">
        <v>2021</v>
      </c>
      <c r="AE8" s="1">
        <f t="shared" ref="AE8:AE19" si="1">D8+H8+F8</f>
        <v>277857</v>
      </c>
      <c r="AF8" s="11">
        <f t="shared" ref="AF8:AF19" si="2">E8+I8+G8</f>
        <v>10712812.850000001</v>
      </c>
      <c r="AG8" s="1">
        <f t="shared" ref="AG8:AG19" si="3">+J8</f>
        <v>729870</v>
      </c>
      <c r="AH8" s="11">
        <f t="shared" ref="AH8:AH19" si="4">+K8</f>
        <v>28351862.319999997</v>
      </c>
      <c r="AI8" s="8">
        <f t="shared" ref="AI8:AI19" si="5">+L8</f>
        <v>18459</v>
      </c>
      <c r="AJ8" s="11">
        <f t="shared" ref="AJ8:AJ19" si="6">+M8</f>
        <v>715452.32999999984</v>
      </c>
      <c r="AK8" s="8">
        <f t="shared" ref="AK8:AK19" si="7">+N8</f>
        <v>5413</v>
      </c>
      <c r="AL8" s="11">
        <f t="shared" ref="AL8:AL19" si="8">+O8</f>
        <v>192948.07</v>
      </c>
      <c r="AM8" s="8">
        <f t="shared" ref="AM8:AM19" si="9">+P8</f>
        <v>0</v>
      </c>
      <c r="AN8" s="11">
        <f t="shared" ref="AN8:AN19" si="10">+Q8</f>
        <v>0</v>
      </c>
      <c r="AO8" s="8">
        <f>AM8+AK8+AI8+AG8+AE8</f>
        <v>1031599</v>
      </c>
      <c r="AP8" s="11">
        <f t="shared" ref="AP8:AP19" si="11">AN8+AL8+AJ8+AH8+AF8</f>
        <v>39973075.569999993</v>
      </c>
      <c r="AQ8" s="2" t="str">
        <f t="shared" ref="AQ8:AQ19" si="12">+T8</f>
        <v>AUNORTE</v>
      </c>
      <c r="AR8" s="37">
        <f t="shared" ref="AR8:AR19" si="13">+AO8-R8</f>
        <v>0</v>
      </c>
      <c r="AS8" s="37">
        <f t="shared" ref="AS8:AS19" si="14">+AP8-S8</f>
        <v>0</v>
      </c>
    </row>
    <row r="9" spans="1:45" x14ac:dyDescent="0.25">
      <c r="B9" s="2" t="s">
        <v>6</v>
      </c>
      <c r="C9" s="2">
        <v>2021</v>
      </c>
      <c r="D9" s="1">
        <v>201311</v>
      </c>
      <c r="E9" s="11">
        <v>8216713.8399999999</v>
      </c>
      <c r="F9" s="1">
        <v>122917</v>
      </c>
      <c r="G9" s="11">
        <v>5052630.33</v>
      </c>
      <c r="H9" s="1">
        <v>11818</v>
      </c>
      <c r="I9" s="11">
        <v>503760.24000000005</v>
      </c>
      <c r="J9" s="1">
        <v>864456</v>
      </c>
      <c r="K9" s="11">
        <v>35632400.57</v>
      </c>
      <c r="L9" s="8">
        <v>19951</v>
      </c>
      <c r="M9" s="11">
        <v>823062.78999999992</v>
      </c>
      <c r="N9" s="8">
        <v>6775</v>
      </c>
      <c r="O9" s="11">
        <v>249698.28</v>
      </c>
      <c r="P9" s="8">
        <v>0</v>
      </c>
      <c r="Q9" s="11">
        <v>0</v>
      </c>
      <c r="R9" s="8">
        <f t="shared" ref="R9:R19" si="15">N9+L9+J9+H9+D9+P9+F9</f>
        <v>1227228</v>
      </c>
      <c r="S9" s="11">
        <f t="shared" si="0"/>
        <v>50478266.049999997</v>
      </c>
      <c r="T9" s="2" t="s">
        <v>56</v>
      </c>
      <c r="AC9" s="2" t="s">
        <v>6</v>
      </c>
      <c r="AD9" s="2">
        <v>2021</v>
      </c>
      <c r="AE9" s="1">
        <f t="shared" si="1"/>
        <v>336046</v>
      </c>
      <c r="AF9" s="11">
        <f t="shared" si="2"/>
        <v>13773104.41</v>
      </c>
      <c r="AG9" s="1">
        <f t="shared" si="3"/>
        <v>864456</v>
      </c>
      <c r="AH9" s="11">
        <f t="shared" si="4"/>
        <v>35632400.57</v>
      </c>
      <c r="AI9" s="8">
        <f t="shared" si="5"/>
        <v>19951</v>
      </c>
      <c r="AJ9" s="11">
        <f t="shared" si="6"/>
        <v>823062.78999999992</v>
      </c>
      <c r="AK9" s="8">
        <f t="shared" si="7"/>
        <v>6775</v>
      </c>
      <c r="AL9" s="11">
        <f t="shared" si="8"/>
        <v>249698.28</v>
      </c>
      <c r="AM9" s="8">
        <f t="shared" si="9"/>
        <v>0</v>
      </c>
      <c r="AN9" s="11">
        <f t="shared" si="10"/>
        <v>0</v>
      </c>
      <c r="AO9" s="8">
        <f t="shared" ref="AO9:AO19" si="16">AM9+AK9+AI9+AG9+AE9</f>
        <v>1227228</v>
      </c>
      <c r="AP9" s="11">
        <f t="shared" si="11"/>
        <v>50478266.049999997</v>
      </c>
      <c r="AQ9" s="2" t="str">
        <f t="shared" si="12"/>
        <v>AUNORTE</v>
      </c>
      <c r="AR9" s="37">
        <f t="shared" si="13"/>
        <v>0</v>
      </c>
      <c r="AS9" s="37">
        <f t="shared" si="14"/>
        <v>0</v>
      </c>
    </row>
    <row r="10" spans="1:45" x14ac:dyDescent="0.25">
      <c r="B10" s="2" t="s">
        <v>7</v>
      </c>
      <c r="C10" s="2">
        <v>2021</v>
      </c>
      <c r="D10" s="1">
        <v>261240</v>
      </c>
      <c r="E10" s="11">
        <v>10729391.600000001</v>
      </c>
      <c r="F10" s="1">
        <v>165294</v>
      </c>
      <c r="G10" s="11">
        <v>6752495.4900000012</v>
      </c>
      <c r="H10" s="1">
        <v>14501</v>
      </c>
      <c r="I10" s="11">
        <v>616316.73999999987</v>
      </c>
      <c r="J10" s="1">
        <v>1110226</v>
      </c>
      <c r="K10" s="11">
        <v>45741630.100000001</v>
      </c>
      <c r="L10" s="8">
        <v>22319</v>
      </c>
      <c r="M10" s="11">
        <v>928296.8899999999</v>
      </c>
      <c r="N10" s="8">
        <v>8930</v>
      </c>
      <c r="O10" s="11">
        <v>330966.55</v>
      </c>
      <c r="P10" s="8">
        <v>0</v>
      </c>
      <c r="Q10" s="11">
        <v>0</v>
      </c>
      <c r="R10" s="8">
        <f t="shared" si="15"/>
        <v>1582510</v>
      </c>
      <c r="S10" s="11">
        <f t="shared" si="0"/>
        <v>65099097.370000005</v>
      </c>
      <c r="T10" s="2" t="s">
        <v>56</v>
      </c>
      <c r="AC10" s="2" t="s">
        <v>7</v>
      </c>
      <c r="AD10" s="2">
        <v>2021</v>
      </c>
      <c r="AE10" s="1">
        <f t="shared" si="1"/>
        <v>441035</v>
      </c>
      <c r="AF10" s="11">
        <f t="shared" si="2"/>
        <v>18098203.830000002</v>
      </c>
      <c r="AG10" s="1">
        <f t="shared" si="3"/>
        <v>1110226</v>
      </c>
      <c r="AH10" s="11">
        <f t="shared" si="4"/>
        <v>45741630.100000001</v>
      </c>
      <c r="AI10" s="8">
        <f t="shared" si="5"/>
        <v>22319</v>
      </c>
      <c r="AJ10" s="11">
        <f t="shared" si="6"/>
        <v>928296.8899999999</v>
      </c>
      <c r="AK10" s="8">
        <f t="shared" si="7"/>
        <v>8930</v>
      </c>
      <c r="AL10" s="11">
        <f t="shared" si="8"/>
        <v>330966.55</v>
      </c>
      <c r="AM10" s="8">
        <f t="shared" si="9"/>
        <v>0</v>
      </c>
      <c r="AN10" s="11">
        <f t="shared" si="10"/>
        <v>0</v>
      </c>
      <c r="AO10" s="8">
        <f t="shared" si="16"/>
        <v>1582510</v>
      </c>
      <c r="AP10" s="11">
        <f t="shared" si="11"/>
        <v>65099097.370000005</v>
      </c>
      <c r="AQ10" s="2" t="str">
        <f t="shared" si="12"/>
        <v>AUNORTE</v>
      </c>
      <c r="AR10" s="37">
        <f t="shared" si="13"/>
        <v>0</v>
      </c>
      <c r="AS10" s="37">
        <f t="shared" si="14"/>
        <v>0</v>
      </c>
    </row>
    <row r="11" spans="1:45" x14ac:dyDescent="0.25">
      <c r="B11" s="2" t="s">
        <v>8</v>
      </c>
      <c r="C11" s="2">
        <v>2021</v>
      </c>
      <c r="D11" s="1">
        <v>245294</v>
      </c>
      <c r="E11" s="11">
        <v>10019234.859999999</v>
      </c>
      <c r="F11" s="1">
        <v>153038</v>
      </c>
      <c r="G11" s="11">
        <v>6228139.2799999993</v>
      </c>
      <c r="H11" s="1">
        <v>13522</v>
      </c>
      <c r="I11" s="11">
        <v>566683.09000000008</v>
      </c>
      <c r="J11" s="1">
        <v>1041937</v>
      </c>
      <c r="K11" s="11">
        <v>42715157.20000001</v>
      </c>
      <c r="L11" s="8">
        <v>19141</v>
      </c>
      <c r="M11" s="11">
        <v>775517.29999999993</v>
      </c>
      <c r="N11" s="8">
        <v>8507</v>
      </c>
      <c r="O11" s="11">
        <v>320372.15000000002</v>
      </c>
      <c r="P11" s="8">
        <v>0</v>
      </c>
      <c r="Q11" s="11">
        <v>0</v>
      </c>
      <c r="R11" s="8">
        <f t="shared" si="15"/>
        <v>1481439</v>
      </c>
      <c r="S11" s="11">
        <f t="shared" si="0"/>
        <v>60625103.880000018</v>
      </c>
      <c r="T11" s="2" t="s">
        <v>56</v>
      </c>
      <c r="AC11" s="2" t="s">
        <v>8</v>
      </c>
      <c r="AD11" s="2">
        <v>2021</v>
      </c>
      <c r="AE11" s="1">
        <f t="shared" si="1"/>
        <v>411854</v>
      </c>
      <c r="AF11" s="11">
        <f t="shared" si="2"/>
        <v>16814057.229999997</v>
      </c>
      <c r="AG11" s="1">
        <f t="shared" si="3"/>
        <v>1041937</v>
      </c>
      <c r="AH11" s="11">
        <f t="shared" si="4"/>
        <v>42715157.20000001</v>
      </c>
      <c r="AI11" s="8">
        <f t="shared" si="5"/>
        <v>19141</v>
      </c>
      <c r="AJ11" s="11">
        <f t="shared" si="6"/>
        <v>775517.29999999993</v>
      </c>
      <c r="AK11" s="8">
        <f t="shared" si="7"/>
        <v>8507</v>
      </c>
      <c r="AL11" s="11">
        <f t="shared" si="8"/>
        <v>320372.15000000002</v>
      </c>
      <c r="AM11" s="8">
        <f t="shared" si="9"/>
        <v>0</v>
      </c>
      <c r="AN11" s="11">
        <f t="shared" si="10"/>
        <v>0</v>
      </c>
      <c r="AO11" s="8">
        <f t="shared" si="16"/>
        <v>1481439</v>
      </c>
      <c r="AP11" s="11">
        <f t="shared" si="11"/>
        <v>60625103.88000001</v>
      </c>
      <c r="AQ11" s="2" t="str">
        <f t="shared" si="12"/>
        <v>AUNORTE</v>
      </c>
      <c r="AR11" s="37">
        <f t="shared" si="13"/>
        <v>0</v>
      </c>
      <c r="AS11" s="37">
        <f t="shared" si="14"/>
        <v>0</v>
      </c>
    </row>
    <row r="12" spans="1:45" x14ac:dyDescent="0.25">
      <c r="B12" s="2" t="s">
        <v>9</v>
      </c>
      <c r="C12" s="2">
        <v>2021</v>
      </c>
      <c r="D12" s="1">
        <v>289328</v>
      </c>
      <c r="E12" s="11">
        <v>11735356.85</v>
      </c>
      <c r="F12" s="1">
        <v>181250</v>
      </c>
      <c r="G12" s="11">
        <v>7320744.4399999995</v>
      </c>
      <c r="H12" s="1">
        <v>18250</v>
      </c>
      <c r="I12" s="11">
        <v>749923.32999999984</v>
      </c>
      <c r="J12" s="1">
        <v>1233385</v>
      </c>
      <c r="K12" s="11">
        <v>50101447.849999994</v>
      </c>
      <c r="L12" s="8">
        <v>21064</v>
      </c>
      <c r="M12" s="11">
        <v>844318.7699999999</v>
      </c>
      <c r="N12" s="8">
        <v>10152</v>
      </c>
      <c r="O12" s="11">
        <v>375750.64999999997</v>
      </c>
      <c r="P12" s="8">
        <v>0</v>
      </c>
      <c r="Q12" s="11">
        <v>0</v>
      </c>
      <c r="R12" s="8">
        <f t="shared" si="15"/>
        <v>1753429</v>
      </c>
      <c r="S12" s="11">
        <f t="shared" si="0"/>
        <v>71127541.890000001</v>
      </c>
      <c r="T12" s="2" t="s">
        <v>56</v>
      </c>
      <c r="AC12" s="2" t="s">
        <v>9</v>
      </c>
      <c r="AD12" s="2">
        <v>2021</v>
      </c>
      <c r="AE12" s="1">
        <f t="shared" si="1"/>
        <v>488828</v>
      </c>
      <c r="AF12" s="11">
        <f t="shared" si="2"/>
        <v>19806024.619999997</v>
      </c>
      <c r="AG12" s="1">
        <f t="shared" si="3"/>
        <v>1233385</v>
      </c>
      <c r="AH12" s="11">
        <f t="shared" si="4"/>
        <v>50101447.849999994</v>
      </c>
      <c r="AI12" s="8">
        <f t="shared" si="5"/>
        <v>21064</v>
      </c>
      <c r="AJ12" s="11">
        <f t="shared" si="6"/>
        <v>844318.7699999999</v>
      </c>
      <c r="AK12" s="8">
        <f t="shared" si="7"/>
        <v>10152</v>
      </c>
      <c r="AL12" s="11">
        <f t="shared" si="8"/>
        <v>375750.64999999997</v>
      </c>
      <c r="AM12" s="8">
        <f t="shared" si="9"/>
        <v>0</v>
      </c>
      <c r="AN12" s="11">
        <f t="shared" si="10"/>
        <v>0</v>
      </c>
      <c r="AO12" s="8">
        <f t="shared" si="16"/>
        <v>1753429</v>
      </c>
      <c r="AP12" s="11">
        <f t="shared" si="11"/>
        <v>71127541.889999986</v>
      </c>
      <c r="AQ12" s="2" t="str">
        <f t="shared" si="12"/>
        <v>AUNORTE</v>
      </c>
      <c r="AR12" s="37">
        <f t="shared" si="13"/>
        <v>0</v>
      </c>
      <c r="AS12" s="37">
        <f t="shared" si="14"/>
        <v>0</v>
      </c>
    </row>
    <row r="13" spans="1:45" x14ac:dyDescent="0.25">
      <c r="B13" s="2" t="s">
        <v>10</v>
      </c>
      <c r="C13" s="2">
        <v>2021</v>
      </c>
      <c r="D13" s="1">
        <v>320408</v>
      </c>
      <c r="E13" s="11">
        <v>12928111.370000005</v>
      </c>
      <c r="F13" s="1">
        <v>196991</v>
      </c>
      <c r="G13" s="11">
        <v>7899124.379999999</v>
      </c>
      <c r="H13" s="1">
        <v>21246</v>
      </c>
      <c r="I13" s="11">
        <v>869151.87</v>
      </c>
      <c r="J13" s="1">
        <v>1363793</v>
      </c>
      <c r="K13" s="11">
        <v>54958066.49000001</v>
      </c>
      <c r="L13" s="8">
        <v>22437</v>
      </c>
      <c r="M13" s="11">
        <v>884907.13</v>
      </c>
      <c r="N13" s="8">
        <v>11413</v>
      </c>
      <c r="O13" s="11">
        <v>416089.61999999988</v>
      </c>
      <c r="P13" s="8">
        <v>0</v>
      </c>
      <c r="Q13" s="11">
        <v>0</v>
      </c>
      <c r="R13" s="8">
        <f t="shared" si="15"/>
        <v>1936288</v>
      </c>
      <c r="S13" s="11">
        <f t="shared" si="0"/>
        <v>77955450.860000014</v>
      </c>
      <c r="T13" s="2" t="s">
        <v>56</v>
      </c>
      <c r="AC13" s="2" t="s">
        <v>10</v>
      </c>
      <c r="AD13" s="2">
        <v>2021</v>
      </c>
      <c r="AE13" s="1">
        <f t="shared" si="1"/>
        <v>538645</v>
      </c>
      <c r="AF13" s="11">
        <f t="shared" si="2"/>
        <v>21696387.620000005</v>
      </c>
      <c r="AG13" s="1">
        <f t="shared" si="3"/>
        <v>1363793</v>
      </c>
      <c r="AH13" s="11">
        <f t="shared" si="4"/>
        <v>54958066.49000001</v>
      </c>
      <c r="AI13" s="8">
        <f t="shared" si="5"/>
        <v>22437</v>
      </c>
      <c r="AJ13" s="11">
        <f t="shared" si="6"/>
        <v>884907.13</v>
      </c>
      <c r="AK13" s="8">
        <f t="shared" si="7"/>
        <v>11413</v>
      </c>
      <c r="AL13" s="11">
        <f t="shared" si="8"/>
        <v>416089.61999999988</v>
      </c>
      <c r="AM13" s="8">
        <f t="shared" si="9"/>
        <v>0</v>
      </c>
      <c r="AN13" s="11">
        <f t="shared" si="10"/>
        <v>0</v>
      </c>
      <c r="AO13" s="8">
        <f t="shared" si="16"/>
        <v>1936288</v>
      </c>
      <c r="AP13" s="11">
        <f t="shared" si="11"/>
        <v>77955450.860000014</v>
      </c>
      <c r="AQ13" s="2" t="str">
        <f t="shared" si="12"/>
        <v>AUNORTE</v>
      </c>
      <c r="AR13" s="37">
        <f t="shared" si="13"/>
        <v>0</v>
      </c>
      <c r="AS13" s="37">
        <f t="shared" si="14"/>
        <v>0</v>
      </c>
    </row>
    <row r="14" spans="1:45" x14ac:dyDescent="0.25">
      <c r="B14" s="2" t="s">
        <v>11</v>
      </c>
      <c r="C14" s="2">
        <v>2021</v>
      </c>
      <c r="D14" s="1">
        <v>323537</v>
      </c>
      <c r="E14" s="11">
        <v>13213101.950000005</v>
      </c>
      <c r="F14" s="1">
        <v>190382</v>
      </c>
      <c r="G14" s="11">
        <v>7698827.2299999986</v>
      </c>
      <c r="H14" s="1">
        <v>20621</v>
      </c>
      <c r="I14" s="11">
        <v>846813.12999999989</v>
      </c>
      <c r="J14" s="1">
        <v>1329008</v>
      </c>
      <c r="K14" s="11">
        <v>54480427.430000007</v>
      </c>
      <c r="L14" s="8">
        <v>20448</v>
      </c>
      <c r="M14" s="11">
        <v>819696.1599999998</v>
      </c>
      <c r="N14" s="8">
        <v>11292</v>
      </c>
      <c r="O14" s="11">
        <v>424375.31</v>
      </c>
      <c r="P14" s="8">
        <v>0</v>
      </c>
      <c r="Q14" s="11">
        <v>0</v>
      </c>
      <c r="R14" s="8">
        <f t="shared" si="15"/>
        <v>1895288</v>
      </c>
      <c r="S14" s="11">
        <f t="shared" si="0"/>
        <v>77483241.210000023</v>
      </c>
      <c r="T14" s="2" t="s">
        <v>56</v>
      </c>
      <c r="AC14" s="2" t="s">
        <v>11</v>
      </c>
      <c r="AD14" s="2">
        <v>2021</v>
      </c>
      <c r="AE14" s="1">
        <f t="shared" si="1"/>
        <v>534540</v>
      </c>
      <c r="AF14" s="11">
        <f t="shared" si="2"/>
        <v>21758742.310000002</v>
      </c>
      <c r="AG14" s="1">
        <f t="shared" si="3"/>
        <v>1329008</v>
      </c>
      <c r="AH14" s="11">
        <f t="shared" si="4"/>
        <v>54480427.430000007</v>
      </c>
      <c r="AI14" s="8">
        <f t="shared" si="5"/>
        <v>20448</v>
      </c>
      <c r="AJ14" s="11">
        <f t="shared" si="6"/>
        <v>819696.1599999998</v>
      </c>
      <c r="AK14" s="8">
        <f t="shared" si="7"/>
        <v>11292</v>
      </c>
      <c r="AL14" s="11">
        <f t="shared" si="8"/>
        <v>424375.31</v>
      </c>
      <c r="AM14" s="8">
        <f t="shared" si="9"/>
        <v>0</v>
      </c>
      <c r="AN14" s="11">
        <f t="shared" si="10"/>
        <v>0</v>
      </c>
      <c r="AO14" s="8">
        <f t="shared" si="16"/>
        <v>1895288</v>
      </c>
      <c r="AP14" s="11">
        <f t="shared" si="11"/>
        <v>77483241.210000008</v>
      </c>
      <c r="AQ14" s="2" t="str">
        <f t="shared" si="12"/>
        <v>AUNORTE</v>
      </c>
      <c r="AR14" s="37">
        <f t="shared" si="13"/>
        <v>0</v>
      </c>
      <c r="AS14" s="37">
        <f t="shared" si="14"/>
        <v>0</v>
      </c>
    </row>
    <row r="15" spans="1:45" x14ac:dyDescent="0.25">
      <c r="B15" s="2" t="s">
        <v>4</v>
      </c>
      <c r="C15" s="2">
        <v>2021</v>
      </c>
      <c r="D15" s="1">
        <v>313136</v>
      </c>
      <c r="E15" s="11">
        <v>12712450.139999993</v>
      </c>
      <c r="F15" s="1">
        <v>186968</v>
      </c>
      <c r="G15" s="11">
        <v>7477853.1700000009</v>
      </c>
      <c r="H15" s="1">
        <v>20127</v>
      </c>
      <c r="I15" s="11">
        <v>824341.22</v>
      </c>
      <c r="J15" s="1">
        <v>1315327</v>
      </c>
      <c r="K15" s="11">
        <v>53365749.910000004</v>
      </c>
      <c r="L15" s="8">
        <v>20264</v>
      </c>
      <c r="M15" s="11">
        <v>804157.17999999993</v>
      </c>
      <c r="N15" s="8">
        <v>12414</v>
      </c>
      <c r="O15" s="11">
        <v>457516.54000000004</v>
      </c>
      <c r="P15" s="8">
        <v>0</v>
      </c>
      <c r="Q15" s="11">
        <v>0</v>
      </c>
      <c r="R15" s="47">
        <f t="shared" si="15"/>
        <v>1868236</v>
      </c>
      <c r="S15" s="48">
        <f t="shared" si="0"/>
        <v>75642068.159999996</v>
      </c>
      <c r="T15" s="2" t="s">
        <v>56</v>
      </c>
      <c r="AC15" s="2" t="s">
        <v>4</v>
      </c>
      <c r="AD15" s="2">
        <v>2021</v>
      </c>
      <c r="AE15" s="1">
        <f t="shared" si="1"/>
        <v>520231</v>
      </c>
      <c r="AF15" s="11">
        <f t="shared" si="2"/>
        <v>21014644.529999994</v>
      </c>
      <c r="AG15" s="1">
        <f t="shared" si="3"/>
        <v>1315327</v>
      </c>
      <c r="AH15" s="11">
        <f t="shared" si="4"/>
        <v>53365749.910000004</v>
      </c>
      <c r="AI15" s="8">
        <f t="shared" si="5"/>
        <v>20264</v>
      </c>
      <c r="AJ15" s="11">
        <f t="shared" si="6"/>
        <v>804157.17999999993</v>
      </c>
      <c r="AK15" s="8">
        <f t="shared" si="7"/>
        <v>12414</v>
      </c>
      <c r="AL15" s="11">
        <f t="shared" si="8"/>
        <v>457516.54000000004</v>
      </c>
      <c r="AM15" s="8">
        <f t="shared" si="9"/>
        <v>0</v>
      </c>
      <c r="AN15" s="11">
        <f t="shared" si="10"/>
        <v>0</v>
      </c>
      <c r="AO15" s="8">
        <f t="shared" si="16"/>
        <v>1868236</v>
      </c>
      <c r="AP15" s="11">
        <f t="shared" si="11"/>
        <v>75642068.159999996</v>
      </c>
      <c r="AQ15" s="2" t="str">
        <f t="shared" si="12"/>
        <v>AUNORTE</v>
      </c>
      <c r="AR15" s="37">
        <f t="shared" si="13"/>
        <v>0</v>
      </c>
      <c r="AS15" s="37">
        <f t="shared" si="14"/>
        <v>0</v>
      </c>
    </row>
    <row r="16" spans="1:45" x14ac:dyDescent="0.25">
      <c r="B16" s="2" t="s">
        <v>28</v>
      </c>
      <c r="C16" s="2">
        <v>2021</v>
      </c>
      <c r="D16" s="1">
        <v>337243</v>
      </c>
      <c r="E16" s="11">
        <v>13567133.380000003</v>
      </c>
      <c r="F16" s="1">
        <v>206322</v>
      </c>
      <c r="G16" s="11">
        <v>8196408.25</v>
      </c>
      <c r="H16" s="1">
        <v>22683</v>
      </c>
      <c r="I16" s="11">
        <v>919133.47</v>
      </c>
      <c r="J16" s="1">
        <v>1410171</v>
      </c>
      <c r="K16" s="11">
        <v>56657952.319999985</v>
      </c>
      <c r="L16" s="8">
        <v>19877</v>
      </c>
      <c r="M16" s="11">
        <v>785949.78999999969</v>
      </c>
      <c r="N16" s="8">
        <v>14143</v>
      </c>
      <c r="O16" s="11">
        <v>518107.61</v>
      </c>
      <c r="P16" s="8">
        <v>0</v>
      </c>
      <c r="Q16" s="11">
        <v>0</v>
      </c>
      <c r="R16" s="47">
        <f t="shared" si="15"/>
        <v>2010439</v>
      </c>
      <c r="S16" s="48">
        <f t="shared" si="0"/>
        <v>80644684.819999993</v>
      </c>
      <c r="T16" s="2" t="s">
        <v>56</v>
      </c>
      <c r="AC16" s="2" t="s">
        <v>28</v>
      </c>
      <c r="AD16" s="2">
        <v>2021</v>
      </c>
      <c r="AE16" s="1">
        <f t="shared" si="1"/>
        <v>566248</v>
      </c>
      <c r="AF16" s="11">
        <f t="shared" si="2"/>
        <v>22682675.100000001</v>
      </c>
      <c r="AG16" s="1">
        <f t="shared" si="3"/>
        <v>1410171</v>
      </c>
      <c r="AH16" s="11">
        <f t="shared" si="4"/>
        <v>56657952.319999985</v>
      </c>
      <c r="AI16" s="8">
        <f t="shared" si="5"/>
        <v>19877</v>
      </c>
      <c r="AJ16" s="11">
        <f t="shared" si="6"/>
        <v>785949.78999999969</v>
      </c>
      <c r="AK16" s="8">
        <f t="shared" si="7"/>
        <v>14143</v>
      </c>
      <c r="AL16" s="11">
        <f t="shared" si="8"/>
        <v>518107.61</v>
      </c>
      <c r="AM16" s="8">
        <f t="shared" si="9"/>
        <v>0</v>
      </c>
      <c r="AN16" s="11">
        <f t="shared" si="10"/>
        <v>0</v>
      </c>
      <c r="AO16" s="8">
        <f t="shared" si="16"/>
        <v>2010439</v>
      </c>
      <c r="AP16" s="11">
        <f t="shared" si="11"/>
        <v>80644684.819999993</v>
      </c>
      <c r="AQ16" s="2" t="str">
        <f t="shared" si="12"/>
        <v>AUNORTE</v>
      </c>
      <c r="AR16" s="37">
        <f t="shared" si="13"/>
        <v>0</v>
      </c>
      <c r="AS16" s="37">
        <f t="shared" si="14"/>
        <v>0</v>
      </c>
    </row>
    <row r="17" spans="1:45" x14ac:dyDescent="0.25">
      <c r="B17" s="2" t="s">
        <v>29</v>
      </c>
      <c r="C17" s="2">
        <v>2021</v>
      </c>
      <c r="D17" s="1">
        <v>383210</v>
      </c>
      <c r="E17" s="11">
        <v>15408355.429999996</v>
      </c>
      <c r="F17" s="1">
        <v>237661</v>
      </c>
      <c r="G17" s="11">
        <v>9397613.0900000036</v>
      </c>
      <c r="H17" s="1">
        <v>24921</v>
      </c>
      <c r="I17" s="11">
        <v>1010507.5200000001</v>
      </c>
      <c r="J17" s="1">
        <v>1619322</v>
      </c>
      <c r="K17" s="11">
        <v>65062175.730000004</v>
      </c>
      <c r="L17" s="8">
        <v>21481</v>
      </c>
      <c r="M17" s="11">
        <v>852556.14</v>
      </c>
      <c r="N17" s="8">
        <v>15780</v>
      </c>
      <c r="O17" s="11">
        <v>577001.29999999993</v>
      </c>
      <c r="P17" s="8">
        <v>0</v>
      </c>
      <c r="Q17" s="11">
        <v>0</v>
      </c>
      <c r="R17" s="47">
        <f t="shared" si="15"/>
        <v>2302375</v>
      </c>
      <c r="S17" s="48">
        <f t="shared" si="0"/>
        <v>92308209.209999993</v>
      </c>
      <c r="T17" s="2" t="s">
        <v>56</v>
      </c>
      <c r="AC17" s="2" t="s">
        <v>29</v>
      </c>
      <c r="AD17" s="2">
        <v>2021</v>
      </c>
      <c r="AE17" s="1">
        <f t="shared" si="1"/>
        <v>645792</v>
      </c>
      <c r="AF17" s="11">
        <f t="shared" si="2"/>
        <v>25816476.039999999</v>
      </c>
      <c r="AG17" s="1">
        <f t="shared" si="3"/>
        <v>1619322</v>
      </c>
      <c r="AH17" s="11">
        <f t="shared" si="4"/>
        <v>65062175.730000004</v>
      </c>
      <c r="AI17" s="8">
        <f t="shared" si="5"/>
        <v>21481</v>
      </c>
      <c r="AJ17" s="11">
        <f t="shared" si="6"/>
        <v>852556.14</v>
      </c>
      <c r="AK17" s="8">
        <f t="shared" si="7"/>
        <v>15780</v>
      </c>
      <c r="AL17" s="11">
        <f t="shared" si="8"/>
        <v>577001.29999999993</v>
      </c>
      <c r="AM17" s="8">
        <f t="shared" si="9"/>
        <v>0</v>
      </c>
      <c r="AN17" s="11">
        <f t="shared" si="10"/>
        <v>0</v>
      </c>
      <c r="AO17" s="8">
        <f t="shared" si="16"/>
        <v>2302375</v>
      </c>
      <c r="AP17" s="11">
        <f t="shared" si="11"/>
        <v>92308209.210000008</v>
      </c>
      <c r="AQ17" s="2" t="str">
        <f t="shared" si="12"/>
        <v>AUNORTE</v>
      </c>
      <c r="AR17" s="37">
        <f t="shared" si="13"/>
        <v>0</v>
      </c>
      <c r="AS17" s="37">
        <f t="shared" si="14"/>
        <v>0</v>
      </c>
    </row>
    <row r="18" spans="1:45" x14ac:dyDescent="0.25">
      <c r="B18" s="2" t="s">
        <v>30</v>
      </c>
      <c r="C18" s="2">
        <v>2021</v>
      </c>
      <c r="D18" s="1">
        <v>393285</v>
      </c>
      <c r="E18" s="11">
        <v>16003194.979999999</v>
      </c>
      <c r="F18" s="1">
        <v>239124</v>
      </c>
      <c r="G18" s="11">
        <v>9606005.4500000011</v>
      </c>
      <c r="H18" s="1">
        <v>22990</v>
      </c>
      <c r="I18" s="11">
        <v>933145.23999999976</v>
      </c>
      <c r="J18" s="1">
        <v>1667016</v>
      </c>
      <c r="K18" s="11">
        <v>67632033.269999996</v>
      </c>
      <c r="L18" s="8">
        <v>20833</v>
      </c>
      <c r="M18" s="11">
        <v>827214.93000000028</v>
      </c>
      <c r="N18" s="8">
        <v>16199</v>
      </c>
      <c r="O18" s="11">
        <v>588370.22000000009</v>
      </c>
      <c r="P18" s="8">
        <v>0</v>
      </c>
      <c r="Q18" s="11">
        <v>0</v>
      </c>
      <c r="R18" s="47">
        <f t="shared" si="15"/>
        <v>2359447</v>
      </c>
      <c r="S18" s="48">
        <f t="shared" si="0"/>
        <v>95589964.090000004</v>
      </c>
      <c r="T18" s="2" t="s">
        <v>56</v>
      </c>
      <c r="AC18" s="2" t="s">
        <v>30</v>
      </c>
      <c r="AD18" s="2">
        <v>2021</v>
      </c>
      <c r="AE18" s="1">
        <f t="shared" si="1"/>
        <v>655399</v>
      </c>
      <c r="AF18" s="11">
        <f t="shared" si="2"/>
        <v>26542345.670000002</v>
      </c>
      <c r="AG18" s="1">
        <f t="shared" si="3"/>
        <v>1667016</v>
      </c>
      <c r="AH18" s="11">
        <f t="shared" si="4"/>
        <v>67632033.269999996</v>
      </c>
      <c r="AI18" s="8">
        <f t="shared" si="5"/>
        <v>20833</v>
      </c>
      <c r="AJ18" s="11">
        <f t="shared" si="6"/>
        <v>827214.93000000028</v>
      </c>
      <c r="AK18" s="8">
        <f t="shared" si="7"/>
        <v>16199</v>
      </c>
      <c r="AL18" s="11">
        <f t="shared" si="8"/>
        <v>588370.22000000009</v>
      </c>
      <c r="AM18" s="8">
        <f t="shared" si="9"/>
        <v>0</v>
      </c>
      <c r="AN18" s="11">
        <f t="shared" si="10"/>
        <v>0</v>
      </c>
      <c r="AO18" s="8">
        <f t="shared" si="16"/>
        <v>2359447</v>
      </c>
      <c r="AP18" s="11">
        <f t="shared" si="11"/>
        <v>95589964.090000004</v>
      </c>
      <c r="AQ18" s="2" t="str">
        <f t="shared" si="12"/>
        <v>AUNORTE</v>
      </c>
      <c r="AR18" s="37">
        <f t="shared" si="13"/>
        <v>0</v>
      </c>
      <c r="AS18" s="37">
        <f t="shared" si="14"/>
        <v>0</v>
      </c>
    </row>
    <row r="19" spans="1:45" x14ac:dyDescent="0.25">
      <c r="B19" s="2" t="s">
        <v>31</v>
      </c>
      <c r="C19" s="2">
        <v>2021</v>
      </c>
      <c r="D19" s="1">
        <v>408113</v>
      </c>
      <c r="E19" s="11">
        <v>16839279.050000001</v>
      </c>
      <c r="F19" s="1">
        <v>233572</v>
      </c>
      <c r="G19" s="11">
        <v>9402665.129999999</v>
      </c>
      <c r="H19" s="1">
        <v>19451</v>
      </c>
      <c r="I19" s="11">
        <v>787419.3199999982</v>
      </c>
      <c r="J19" s="1">
        <v>1694047</v>
      </c>
      <c r="K19" s="11">
        <v>69663615.810000002</v>
      </c>
      <c r="L19" s="8">
        <v>20102</v>
      </c>
      <c r="M19" s="11">
        <v>808358.58999999985</v>
      </c>
      <c r="N19" s="8">
        <v>15999</v>
      </c>
      <c r="O19" s="11">
        <v>600078.49</v>
      </c>
      <c r="P19" s="8">
        <v>0</v>
      </c>
      <c r="Q19" s="11">
        <v>0</v>
      </c>
      <c r="R19" s="50">
        <f t="shared" si="15"/>
        <v>2391284</v>
      </c>
      <c r="S19" s="51">
        <f t="shared" si="0"/>
        <v>98101416.389999986</v>
      </c>
      <c r="T19" s="2" t="s">
        <v>56</v>
      </c>
      <c r="AC19" s="2" t="s">
        <v>31</v>
      </c>
      <c r="AD19" s="2">
        <v>2021</v>
      </c>
      <c r="AE19" s="1">
        <f t="shared" si="1"/>
        <v>661136</v>
      </c>
      <c r="AF19" s="11">
        <f t="shared" si="2"/>
        <v>27029363.499999996</v>
      </c>
      <c r="AG19" s="1">
        <f t="shared" si="3"/>
        <v>1694047</v>
      </c>
      <c r="AH19" s="11">
        <f t="shared" si="4"/>
        <v>69663615.810000002</v>
      </c>
      <c r="AI19" s="8">
        <f t="shared" si="5"/>
        <v>20102</v>
      </c>
      <c r="AJ19" s="11">
        <f t="shared" si="6"/>
        <v>808358.58999999985</v>
      </c>
      <c r="AK19" s="8">
        <f t="shared" si="7"/>
        <v>15999</v>
      </c>
      <c r="AL19" s="11">
        <f t="shared" si="8"/>
        <v>600078.49</v>
      </c>
      <c r="AM19" s="8">
        <f t="shared" si="9"/>
        <v>0</v>
      </c>
      <c r="AN19" s="11">
        <f t="shared" si="10"/>
        <v>0</v>
      </c>
      <c r="AO19" s="8">
        <f t="shared" si="16"/>
        <v>2391284</v>
      </c>
      <c r="AP19" s="11">
        <f t="shared" si="11"/>
        <v>98101416.390000001</v>
      </c>
      <c r="AQ19" s="2" t="str">
        <f t="shared" si="12"/>
        <v>AUNORTE</v>
      </c>
      <c r="AR19" s="37">
        <f t="shared" si="13"/>
        <v>0</v>
      </c>
      <c r="AS19" s="37">
        <f t="shared" si="14"/>
        <v>0</v>
      </c>
    </row>
    <row r="20" spans="1:45" x14ac:dyDescent="0.25">
      <c r="H20" s="39"/>
      <c r="AF20" s="9"/>
      <c r="AH20" s="9"/>
      <c r="AJ20" s="9"/>
      <c r="AL20" s="9"/>
      <c r="AM20" s="9"/>
      <c r="AN20" s="9"/>
      <c r="AP20" s="9"/>
    </row>
    <row r="21" spans="1:45" x14ac:dyDescent="0.25">
      <c r="B21" s="3" t="s">
        <v>12</v>
      </c>
      <c r="C21" s="3"/>
      <c r="D21" s="4">
        <f t="shared" ref="D21:S21" si="17">SUM(D8:D20)</f>
        <v>3646635</v>
      </c>
      <c r="E21" s="12">
        <f t="shared" si="17"/>
        <v>147924081.09</v>
      </c>
      <c r="F21" s="4">
        <f t="shared" si="17"/>
        <v>2210713</v>
      </c>
      <c r="G21" s="12">
        <f t="shared" si="17"/>
        <v>88788274.249999985</v>
      </c>
      <c r="H21" s="4">
        <f t="shared" si="17"/>
        <v>220263</v>
      </c>
      <c r="I21" s="12">
        <f t="shared" si="17"/>
        <v>9032482.3699999973</v>
      </c>
      <c r="J21" s="4">
        <f t="shared" si="17"/>
        <v>15378558</v>
      </c>
      <c r="K21" s="12">
        <f t="shared" si="17"/>
        <v>624362519</v>
      </c>
      <c r="L21" s="4">
        <f t="shared" si="17"/>
        <v>246376</v>
      </c>
      <c r="M21" s="12">
        <f t="shared" si="17"/>
        <v>9869488</v>
      </c>
      <c r="N21" s="4">
        <f t="shared" si="17"/>
        <v>137017</v>
      </c>
      <c r="O21" s="12">
        <f t="shared" si="17"/>
        <v>5051274.7899999991</v>
      </c>
      <c r="P21" s="4">
        <f t="shared" si="17"/>
        <v>0</v>
      </c>
      <c r="Q21" s="12">
        <f t="shared" si="17"/>
        <v>0</v>
      </c>
      <c r="R21" s="4">
        <f t="shared" si="17"/>
        <v>21839562</v>
      </c>
      <c r="S21" s="12">
        <f t="shared" si="17"/>
        <v>885028119.50000024</v>
      </c>
      <c r="AC21" s="3" t="s">
        <v>12</v>
      </c>
      <c r="AD21" s="3"/>
      <c r="AE21" s="4">
        <f t="shared" ref="AE21:AP21" si="18">SUM(AE8:AE20)</f>
        <v>6077611</v>
      </c>
      <c r="AF21" s="12">
        <f t="shared" si="18"/>
        <v>245744837.70999998</v>
      </c>
      <c r="AG21" s="4">
        <f t="shared" si="18"/>
        <v>15378558</v>
      </c>
      <c r="AH21" s="12">
        <f t="shared" si="18"/>
        <v>624362519</v>
      </c>
      <c r="AI21" s="4">
        <f t="shared" si="18"/>
        <v>246376</v>
      </c>
      <c r="AJ21" s="12">
        <f t="shared" si="18"/>
        <v>9869488</v>
      </c>
      <c r="AK21" s="4">
        <f t="shared" si="18"/>
        <v>137017</v>
      </c>
      <c r="AL21" s="12">
        <f t="shared" si="18"/>
        <v>5051274.7899999991</v>
      </c>
      <c r="AM21" s="4">
        <f t="shared" si="18"/>
        <v>0</v>
      </c>
      <c r="AN21" s="12">
        <f t="shared" si="18"/>
        <v>0</v>
      </c>
      <c r="AO21" s="4">
        <f t="shared" si="18"/>
        <v>21839562</v>
      </c>
      <c r="AP21" s="12">
        <f t="shared" si="18"/>
        <v>885028119.5</v>
      </c>
    </row>
    <row r="22" spans="1:45" x14ac:dyDescent="0.25">
      <c r="J22" s="46" t="str">
        <f>+$B$3</f>
        <v>Aforo e Ingreso - AUNORTE</v>
      </c>
      <c r="K22" s="9" t="s">
        <v>84</v>
      </c>
      <c r="L22" s="15">
        <f>AVERAGE(L8:L19)</f>
        <v>20531.333333333332</v>
      </c>
      <c r="M22" s="28">
        <f>AVERAGE(M8:M19)</f>
        <v>822457.33333333337</v>
      </c>
      <c r="R22" s="15">
        <f>AVERAGE(R8:R19)</f>
        <v>1819963.5</v>
      </c>
      <c r="S22" s="28">
        <f>AVERAGE(S8:S19)</f>
        <v>73752343.291666687</v>
      </c>
    </row>
    <row r="23" spans="1:45" x14ac:dyDescent="0.25">
      <c r="B23" s="5" t="s">
        <v>14</v>
      </c>
      <c r="J23" s="46" t="str">
        <f>+$B$3</f>
        <v>Aforo e Ingreso - AUNORTE</v>
      </c>
      <c r="K23" s="9" t="s">
        <v>85</v>
      </c>
      <c r="L23" s="44">
        <f>+L22/$L$295</f>
        <v>6.6980778395724777E-2</v>
      </c>
      <c r="M23" s="44">
        <f>+M22/$M$295</f>
        <v>2.1411405008480835E-2</v>
      </c>
      <c r="R23" s="44">
        <f>+L22/R22</f>
        <v>1.1281178624369847E-2</v>
      </c>
      <c r="S23" s="44">
        <f>+M22/S22</f>
        <v>1.115160951674146E-2</v>
      </c>
    </row>
    <row r="24" spans="1:45" x14ac:dyDescent="0.25">
      <c r="B24" s="5" t="s">
        <v>20</v>
      </c>
      <c r="L24" s="26"/>
      <c r="M24" s="26"/>
    </row>
    <row r="25" spans="1:45" x14ac:dyDescent="0.25">
      <c r="B25" s="5"/>
    </row>
    <row r="26" spans="1:45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12</v>
      </c>
      <c r="S26" s="93"/>
      <c r="AE26" s="89" t="s">
        <v>69</v>
      </c>
      <c r="AF26" s="90"/>
      <c r="AG26" s="89" t="s">
        <v>17</v>
      </c>
      <c r="AH26" s="93"/>
      <c r="AI26" s="89" t="s">
        <v>18</v>
      </c>
      <c r="AJ26" s="93"/>
      <c r="AK26" s="89" t="s">
        <v>13</v>
      </c>
      <c r="AL26" s="93"/>
      <c r="AM26" s="89" t="s">
        <v>34</v>
      </c>
      <c r="AN26" s="93"/>
      <c r="AO26" s="89" t="s">
        <v>12</v>
      </c>
      <c r="AP26" s="93"/>
    </row>
    <row r="27" spans="1:45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AC27" s="7" t="s">
        <v>0</v>
      </c>
      <c r="AD27" s="7" t="s">
        <v>1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</row>
    <row r="28" spans="1:45" x14ac:dyDescent="0.25">
      <c r="AF28" s="9"/>
      <c r="AH28" s="9"/>
      <c r="AJ28" s="9"/>
      <c r="AL28" s="9"/>
      <c r="AM28" s="9"/>
      <c r="AN28" s="9"/>
      <c r="AP28" s="9"/>
    </row>
    <row r="29" spans="1:45" x14ac:dyDescent="0.25">
      <c r="B29" s="2" t="s">
        <v>5</v>
      </c>
      <c r="C29" s="2">
        <v>2021</v>
      </c>
      <c r="D29" s="1">
        <v>242198</v>
      </c>
      <c r="E29" s="11">
        <v>9267917.4400000013</v>
      </c>
      <c r="F29" s="1">
        <v>105418</v>
      </c>
      <c r="G29" s="11">
        <v>3856534.38</v>
      </c>
      <c r="H29" s="1">
        <v>9208</v>
      </c>
      <c r="I29" s="11">
        <v>369444.5</v>
      </c>
      <c r="J29" s="1">
        <v>728448</v>
      </c>
      <c r="K29" s="11">
        <v>25808905.419999998</v>
      </c>
      <c r="L29" s="8">
        <v>16388</v>
      </c>
      <c r="M29" s="11">
        <v>648395.03</v>
      </c>
      <c r="N29" s="8">
        <v>4612</v>
      </c>
      <c r="O29" s="11">
        <v>178619.42</v>
      </c>
      <c r="P29" s="8">
        <v>0</v>
      </c>
      <c r="Q29" s="11">
        <v>0</v>
      </c>
      <c r="R29" s="8">
        <f>N29+L29+J29+H29+D29+P29+F29</f>
        <v>1106272</v>
      </c>
      <c r="S29" s="11">
        <f t="shared" ref="S29:S40" si="19">O29+M29+K29+I29+E29+Q29+G29</f>
        <v>40129816.190000005</v>
      </c>
      <c r="T29" s="2" t="s">
        <v>57</v>
      </c>
      <c r="AC29" s="2" t="s">
        <v>5</v>
      </c>
      <c r="AD29" s="2">
        <v>2021</v>
      </c>
      <c r="AE29" s="1">
        <f t="shared" ref="AE29:AE40" si="20">D29+H29+F29</f>
        <v>356824</v>
      </c>
      <c r="AF29" s="11">
        <f t="shared" ref="AF29:AF40" si="21">E29+I29+G29</f>
        <v>13493896.32</v>
      </c>
      <c r="AG29" s="1">
        <f t="shared" ref="AG29:AG40" si="22">+J29</f>
        <v>728448</v>
      </c>
      <c r="AH29" s="11">
        <f t="shared" ref="AH29:AH40" si="23">+K29</f>
        <v>25808905.419999998</v>
      </c>
      <c r="AI29" s="8">
        <f t="shared" ref="AI29:AI40" si="24">+L29</f>
        <v>16388</v>
      </c>
      <c r="AJ29" s="11">
        <f t="shared" ref="AJ29:AJ40" si="25">+M29</f>
        <v>648395.03</v>
      </c>
      <c r="AK29" s="8">
        <f t="shared" ref="AK29:AK40" si="26">+N29</f>
        <v>4612</v>
      </c>
      <c r="AL29" s="11">
        <f t="shared" ref="AL29:AL40" si="27">+O29</f>
        <v>178619.42</v>
      </c>
      <c r="AM29" s="8">
        <f t="shared" ref="AM29:AM40" si="28">+P29</f>
        <v>0</v>
      </c>
      <c r="AN29" s="11">
        <f t="shared" ref="AN29:AN40" si="29">+Q29</f>
        <v>0</v>
      </c>
      <c r="AO29" s="8">
        <f>AM29+AK29+AI29+AG29+AE29</f>
        <v>1106272</v>
      </c>
      <c r="AP29" s="11">
        <f t="shared" ref="AP29:AP40" si="30">AN29+AL29+AJ29+AH29+AF29</f>
        <v>40129816.189999998</v>
      </c>
      <c r="AQ29" s="2" t="str">
        <f t="shared" ref="AQ29:AQ40" si="31">+T29</f>
        <v>VIADUCTO</v>
      </c>
      <c r="AR29" s="37">
        <f t="shared" ref="AR29:AR40" si="32">+AO29-R29</f>
        <v>0</v>
      </c>
      <c r="AS29" s="37">
        <f t="shared" ref="AS29:AS40" si="33">+AP29-S29</f>
        <v>0</v>
      </c>
    </row>
    <row r="30" spans="1:45" x14ac:dyDescent="0.25">
      <c r="B30" s="2" t="s">
        <v>6</v>
      </c>
      <c r="C30" s="2">
        <v>2021</v>
      </c>
      <c r="D30" s="1">
        <v>281690</v>
      </c>
      <c r="E30" s="11">
        <v>11402098.270000001</v>
      </c>
      <c r="F30" s="1">
        <v>129984</v>
      </c>
      <c r="G30" s="11">
        <v>4976632.62</v>
      </c>
      <c r="H30" s="1">
        <v>11269</v>
      </c>
      <c r="I30" s="11">
        <v>463228.86999999994</v>
      </c>
      <c r="J30" s="1">
        <v>848870</v>
      </c>
      <c r="K30" s="11">
        <v>31720115.350000009</v>
      </c>
      <c r="L30" s="8">
        <v>17941</v>
      </c>
      <c r="M30" s="11">
        <v>760924.86999999988</v>
      </c>
      <c r="N30" s="8">
        <v>5333</v>
      </c>
      <c r="O30" s="11">
        <v>222422.43</v>
      </c>
      <c r="P30" s="8">
        <v>0</v>
      </c>
      <c r="Q30" s="11">
        <v>0</v>
      </c>
      <c r="R30" s="8">
        <f t="shared" ref="R30:R40" si="34">N30+L30+J30+H30+D30+P30+F30</f>
        <v>1295087</v>
      </c>
      <c r="S30" s="11">
        <f t="shared" si="19"/>
        <v>49545422.410000011</v>
      </c>
      <c r="T30" s="2" t="s">
        <v>57</v>
      </c>
      <c r="AC30" s="2" t="s">
        <v>6</v>
      </c>
      <c r="AD30" s="2">
        <v>2021</v>
      </c>
      <c r="AE30" s="1">
        <f t="shared" si="20"/>
        <v>422943</v>
      </c>
      <c r="AF30" s="11">
        <f t="shared" si="21"/>
        <v>16841959.760000002</v>
      </c>
      <c r="AG30" s="1">
        <f t="shared" si="22"/>
        <v>848870</v>
      </c>
      <c r="AH30" s="11">
        <f t="shared" si="23"/>
        <v>31720115.350000009</v>
      </c>
      <c r="AI30" s="8">
        <f t="shared" si="24"/>
        <v>17941</v>
      </c>
      <c r="AJ30" s="11">
        <f t="shared" si="25"/>
        <v>760924.86999999988</v>
      </c>
      <c r="AK30" s="8">
        <f t="shared" si="26"/>
        <v>5333</v>
      </c>
      <c r="AL30" s="11">
        <f t="shared" si="27"/>
        <v>222422.43</v>
      </c>
      <c r="AM30" s="8">
        <f t="shared" si="28"/>
        <v>0</v>
      </c>
      <c r="AN30" s="11">
        <f t="shared" si="29"/>
        <v>0</v>
      </c>
      <c r="AO30" s="8">
        <f t="shared" ref="AO30:AO40" si="35">AM30+AK30+AI30+AG30+AE30</f>
        <v>1295087</v>
      </c>
      <c r="AP30" s="11">
        <f t="shared" si="30"/>
        <v>49545422.410000011</v>
      </c>
      <c r="AQ30" s="2" t="str">
        <f t="shared" si="31"/>
        <v>VIADUCTO</v>
      </c>
      <c r="AR30" s="37">
        <f t="shared" si="32"/>
        <v>0</v>
      </c>
      <c r="AS30" s="37">
        <f t="shared" si="33"/>
        <v>0</v>
      </c>
    </row>
    <row r="31" spans="1:45" x14ac:dyDescent="0.25">
      <c r="B31" s="2" t="s">
        <v>7</v>
      </c>
      <c r="C31" s="2">
        <v>2021</v>
      </c>
      <c r="D31" s="1">
        <v>365493</v>
      </c>
      <c r="E31" s="11">
        <v>14848033.770000003</v>
      </c>
      <c r="F31" s="1">
        <v>174160</v>
      </c>
      <c r="G31" s="11">
        <v>6723832.3400000008</v>
      </c>
      <c r="H31" s="1">
        <v>13585</v>
      </c>
      <c r="I31" s="11">
        <v>548266.5</v>
      </c>
      <c r="J31" s="1">
        <v>1092724</v>
      </c>
      <c r="K31" s="11">
        <v>41004456.309999995</v>
      </c>
      <c r="L31" s="8">
        <v>20597</v>
      </c>
      <c r="M31" s="11">
        <v>880397.42999999993</v>
      </c>
      <c r="N31" s="8">
        <v>6849</v>
      </c>
      <c r="O31" s="11">
        <v>284193.34000000003</v>
      </c>
      <c r="P31" s="8">
        <v>0</v>
      </c>
      <c r="Q31" s="11">
        <v>0</v>
      </c>
      <c r="R31" s="8">
        <f t="shared" si="34"/>
        <v>1673408</v>
      </c>
      <c r="S31" s="11">
        <f t="shared" si="19"/>
        <v>64289179.690000005</v>
      </c>
      <c r="T31" s="2" t="s">
        <v>57</v>
      </c>
      <c r="AC31" s="2" t="s">
        <v>7</v>
      </c>
      <c r="AD31" s="2">
        <v>2021</v>
      </c>
      <c r="AE31" s="1">
        <f t="shared" si="20"/>
        <v>553238</v>
      </c>
      <c r="AF31" s="11">
        <f t="shared" si="21"/>
        <v>22120132.610000003</v>
      </c>
      <c r="AG31" s="1">
        <f t="shared" si="22"/>
        <v>1092724</v>
      </c>
      <c r="AH31" s="11">
        <f t="shared" si="23"/>
        <v>41004456.309999995</v>
      </c>
      <c r="AI31" s="8">
        <f t="shared" si="24"/>
        <v>20597</v>
      </c>
      <c r="AJ31" s="11">
        <f t="shared" si="25"/>
        <v>880397.42999999993</v>
      </c>
      <c r="AK31" s="8">
        <f t="shared" si="26"/>
        <v>6849</v>
      </c>
      <c r="AL31" s="11">
        <f t="shared" si="27"/>
        <v>284193.34000000003</v>
      </c>
      <c r="AM31" s="8">
        <f t="shared" si="28"/>
        <v>0</v>
      </c>
      <c r="AN31" s="11">
        <f t="shared" si="29"/>
        <v>0</v>
      </c>
      <c r="AO31" s="8">
        <f t="shared" si="35"/>
        <v>1673408</v>
      </c>
      <c r="AP31" s="11">
        <f t="shared" si="30"/>
        <v>64289179.689999998</v>
      </c>
      <c r="AQ31" s="2" t="str">
        <f t="shared" si="31"/>
        <v>VIADUCTO</v>
      </c>
      <c r="AR31" s="37">
        <f t="shared" si="32"/>
        <v>0</v>
      </c>
      <c r="AS31" s="37">
        <f t="shared" si="33"/>
        <v>0</v>
      </c>
    </row>
    <row r="32" spans="1:45" x14ac:dyDescent="0.25">
      <c r="B32" s="2" t="s">
        <v>8</v>
      </c>
      <c r="C32" s="2">
        <v>2021</v>
      </c>
      <c r="D32" s="1">
        <v>343903</v>
      </c>
      <c r="E32" s="11">
        <v>13855672.760000002</v>
      </c>
      <c r="F32" s="1">
        <v>162404</v>
      </c>
      <c r="G32" s="11">
        <v>6221682.7000000011</v>
      </c>
      <c r="H32" s="1">
        <v>14810</v>
      </c>
      <c r="I32" s="11">
        <v>660051.32000000007</v>
      </c>
      <c r="J32" s="1">
        <v>1025300</v>
      </c>
      <c r="K32" s="11">
        <v>38520081.719999999</v>
      </c>
      <c r="L32" s="8">
        <v>16121</v>
      </c>
      <c r="M32" s="11">
        <v>675679.19</v>
      </c>
      <c r="N32" s="8">
        <v>6788</v>
      </c>
      <c r="O32" s="11">
        <v>275804.23</v>
      </c>
      <c r="P32" s="8">
        <v>0</v>
      </c>
      <c r="Q32" s="11">
        <v>0</v>
      </c>
      <c r="R32" s="8">
        <f t="shared" si="34"/>
        <v>1569326</v>
      </c>
      <c r="S32" s="11">
        <f t="shared" si="19"/>
        <v>60208971.920000002</v>
      </c>
      <c r="T32" s="2" t="s">
        <v>57</v>
      </c>
      <c r="AC32" s="2" t="s">
        <v>8</v>
      </c>
      <c r="AD32" s="2">
        <v>2021</v>
      </c>
      <c r="AE32" s="1">
        <f t="shared" si="20"/>
        <v>521117</v>
      </c>
      <c r="AF32" s="11">
        <f t="shared" si="21"/>
        <v>20737406.780000001</v>
      </c>
      <c r="AG32" s="1">
        <f t="shared" si="22"/>
        <v>1025300</v>
      </c>
      <c r="AH32" s="11">
        <f t="shared" si="23"/>
        <v>38520081.719999999</v>
      </c>
      <c r="AI32" s="8">
        <f t="shared" si="24"/>
        <v>16121</v>
      </c>
      <c r="AJ32" s="11">
        <f t="shared" si="25"/>
        <v>675679.19</v>
      </c>
      <c r="AK32" s="8">
        <f t="shared" si="26"/>
        <v>6788</v>
      </c>
      <c r="AL32" s="11">
        <f t="shared" si="27"/>
        <v>275804.23</v>
      </c>
      <c r="AM32" s="8">
        <f t="shared" si="28"/>
        <v>0</v>
      </c>
      <c r="AN32" s="11">
        <f t="shared" si="29"/>
        <v>0</v>
      </c>
      <c r="AO32" s="8">
        <f t="shared" si="35"/>
        <v>1569326</v>
      </c>
      <c r="AP32" s="11">
        <f t="shared" si="30"/>
        <v>60208971.920000002</v>
      </c>
      <c r="AQ32" s="2" t="str">
        <f t="shared" si="31"/>
        <v>VIADUCTO</v>
      </c>
      <c r="AR32" s="37">
        <f t="shared" si="32"/>
        <v>0</v>
      </c>
      <c r="AS32" s="37">
        <f t="shared" si="33"/>
        <v>0</v>
      </c>
    </row>
    <row r="33" spans="1:45" x14ac:dyDescent="0.25">
      <c r="B33" s="2" t="s">
        <v>9</v>
      </c>
      <c r="C33" s="2">
        <v>2021</v>
      </c>
      <c r="D33" s="1">
        <v>399345</v>
      </c>
      <c r="E33" s="11">
        <v>16034811.659999989</v>
      </c>
      <c r="F33" s="1">
        <v>184560</v>
      </c>
      <c r="G33" s="11">
        <v>6983353.6000000006</v>
      </c>
      <c r="H33" s="1">
        <v>19579</v>
      </c>
      <c r="I33" s="11">
        <v>878871.29999999993</v>
      </c>
      <c r="J33" s="1">
        <v>1192110</v>
      </c>
      <c r="K33" s="11">
        <v>44842631.899999999</v>
      </c>
      <c r="L33" s="8">
        <v>18003</v>
      </c>
      <c r="M33" s="11">
        <v>749024.8</v>
      </c>
      <c r="N33" s="8">
        <v>8025</v>
      </c>
      <c r="O33" s="11">
        <v>329696.33</v>
      </c>
      <c r="P33" s="8">
        <v>0</v>
      </c>
      <c r="Q33" s="11">
        <v>0</v>
      </c>
      <c r="R33" s="8">
        <f t="shared" si="34"/>
        <v>1821622</v>
      </c>
      <c r="S33" s="11">
        <f t="shared" si="19"/>
        <v>69818389.589999989</v>
      </c>
      <c r="T33" s="2" t="s">
        <v>57</v>
      </c>
      <c r="AC33" s="2" t="s">
        <v>9</v>
      </c>
      <c r="AD33" s="2">
        <v>2021</v>
      </c>
      <c r="AE33" s="1">
        <f t="shared" si="20"/>
        <v>603484</v>
      </c>
      <c r="AF33" s="11">
        <f t="shared" si="21"/>
        <v>23897036.559999991</v>
      </c>
      <c r="AG33" s="1">
        <f t="shared" si="22"/>
        <v>1192110</v>
      </c>
      <c r="AH33" s="11">
        <f t="shared" si="23"/>
        <v>44842631.899999999</v>
      </c>
      <c r="AI33" s="8">
        <f t="shared" si="24"/>
        <v>18003</v>
      </c>
      <c r="AJ33" s="11">
        <f t="shared" si="25"/>
        <v>749024.8</v>
      </c>
      <c r="AK33" s="8">
        <f t="shared" si="26"/>
        <v>8025</v>
      </c>
      <c r="AL33" s="11">
        <f t="shared" si="27"/>
        <v>329696.33</v>
      </c>
      <c r="AM33" s="8">
        <f t="shared" si="28"/>
        <v>0</v>
      </c>
      <c r="AN33" s="11">
        <f t="shared" si="29"/>
        <v>0</v>
      </c>
      <c r="AO33" s="8">
        <f t="shared" si="35"/>
        <v>1821622</v>
      </c>
      <c r="AP33" s="11">
        <f t="shared" si="30"/>
        <v>69818389.589999989</v>
      </c>
      <c r="AQ33" s="2" t="str">
        <f t="shared" si="31"/>
        <v>VIADUCTO</v>
      </c>
      <c r="AR33" s="37">
        <f t="shared" si="32"/>
        <v>0</v>
      </c>
      <c r="AS33" s="37">
        <f t="shared" si="33"/>
        <v>0</v>
      </c>
    </row>
    <row r="34" spans="1:45" x14ac:dyDescent="0.25">
      <c r="B34" s="2" t="s">
        <v>10</v>
      </c>
      <c r="C34" s="2">
        <v>2021</v>
      </c>
      <c r="D34" s="1">
        <v>451507</v>
      </c>
      <c r="E34" s="11">
        <v>18306018.969999999</v>
      </c>
      <c r="F34" s="1">
        <v>200652</v>
      </c>
      <c r="G34" s="11">
        <v>7598354.3700000001</v>
      </c>
      <c r="H34" s="1">
        <v>22248</v>
      </c>
      <c r="I34" s="11">
        <v>969863.5399999998</v>
      </c>
      <c r="J34" s="1">
        <v>1311702</v>
      </c>
      <c r="K34" s="11">
        <v>49496106.07</v>
      </c>
      <c r="L34" s="8">
        <v>18704</v>
      </c>
      <c r="M34" s="11">
        <v>767984.63</v>
      </c>
      <c r="N34" s="8">
        <v>8473</v>
      </c>
      <c r="O34" s="11">
        <v>345600.48000000004</v>
      </c>
      <c r="P34" s="8">
        <v>0</v>
      </c>
      <c r="Q34" s="11">
        <v>0</v>
      </c>
      <c r="R34" s="8">
        <f t="shared" si="34"/>
        <v>2013286</v>
      </c>
      <c r="S34" s="11">
        <f t="shared" si="19"/>
        <v>77483928.060000002</v>
      </c>
      <c r="T34" s="2" t="s">
        <v>57</v>
      </c>
      <c r="AC34" s="2" t="s">
        <v>10</v>
      </c>
      <c r="AD34" s="2">
        <v>2021</v>
      </c>
      <c r="AE34" s="1">
        <f t="shared" si="20"/>
        <v>674407</v>
      </c>
      <c r="AF34" s="11">
        <f t="shared" si="21"/>
        <v>26874236.879999999</v>
      </c>
      <c r="AG34" s="1">
        <f t="shared" si="22"/>
        <v>1311702</v>
      </c>
      <c r="AH34" s="11">
        <f t="shared" si="23"/>
        <v>49496106.07</v>
      </c>
      <c r="AI34" s="8">
        <f t="shared" si="24"/>
        <v>18704</v>
      </c>
      <c r="AJ34" s="11">
        <f t="shared" si="25"/>
        <v>767984.63</v>
      </c>
      <c r="AK34" s="8">
        <f t="shared" si="26"/>
        <v>8473</v>
      </c>
      <c r="AL34" s="11">
        <f t="shared" si="27"/>
        <v>345600.48000000004</v>
      </c>
      <c r="AM34" s="8">
        <f t="shared" si="28"/>
        <v>0</v>
      </c>
      <c r="AN34" s="11">
        <f t="shared" si="29"/>
        <v>0</v>
      </c>
      <c r="AO34" s="8">
        <f t="shared" si="35"/>
        <v>2013286</v>
      </c>
      <c r="AP34" s="11">
        <f t="shared" si="30"/>
        <v>77483928.060000002</v>
      </c>
      <c r="AQ34" s="2" t="str">
        <f t="shared" si="31"/>
        <v>VIADUCTO</v>
      </c>
      <c r="AR34" s="37">
        <f t="shared" si="32"/>
        <v>0</v>
      </c>
      <c r="AS34" s="37">
        <f t="shared" si="33"/>
        <v>0</v>
      </c>
    </row>
    <row r="35" spans="1:45" x14ac:dyDescent="0.25">
      <c r="B35" s="2" t="s">
        <v>11</v>
      </c>
      <c r="C35" s="2">
        <v>2021</v>
      </c>
      <c r="D35" s="1">
        <v>467814</v>
      </c>
      <c r="E35" s="11">
        <v>19262295.629999995</v>
      </c>
      <c r="F35" s="1">
        <v>200353</v>
      </c>
      <c r="G35" s="11">
        <v>7678213.6899999995</v>
      </c>
      <c r="H35" s="1">
        <v>20922</v>
      </c>
      <c r="I35" s="11">
        <v>877800.4</v>
      </c>
      <c r="J35" s="1">
        <v>1324064</v>
      </c>
      <c r="K35" s="11">
        <v>50642553.179999992</v>
      </c>
      <c r="L35" s="8">
        <v>17682</v>
      </c>
      <c r="M35" s="11">
        <v>737630.7300000001</v>
      </c>
      <c r="N35" s="8">
        <v>8746</v>
      </c>
      <c r="O35" s="11">
        <v>366801.17</v>
      </c>
      <c r="P35" s="8">
        <v>0</v>
      </c>
      <c r="Q35" s="11">
        <v>0</v>
      </c>
      <c r="R35" s="8">
        <f t="shared" si="34"/>
        <v>2039581</v>
      </c>
      <c r="S35" s="11">
        <f t="shared" si="19"/>
        <v>79565294.799999982</v>
      </c>
      <c r="T35" s="2" t="s">
        <v>57</v>
      </c>
      <c r="AC35" s="2" t="s">
        <v>11</v>
      </c>
      <c r="AD35" s="2">
        <v>2021</v>
      </c>
      <c r="AE35" s="1">
        <f t="shared" si="20"/>
        <v>689089</v>
      </c>
      <c r="AF35" s="11">
        <f t="shared" si="21"/>
        <v>27818309.719999991</v>
      </c>
      <c r="AG35" s="1">
        <f t="shared" si="22"/>
        <v>1324064</v>
      </c>
      <c r="AH35" s="11">
        <f t="shared" si="23"/>
        <v>50642553.179999992</v>
      </c>
      <c r="AI35" s="8">
        <f t="shared" si="24"/>
        <v>17682</v>
      </c>
      <c r="AJ35" s="11">
        <f t="shared" si="25"/>
        <v>737630.7300000001</v>
      </c>
      <c r="AK35" s="8">
        <f t="shared" si="26"/>
        <v>8746</v>
      </c>
      <c r="AL35" s="11">
        <f t="shared" si="27"/>
        <v>366801.17</v>
      </c>
      <c r="AM35" s="8">
        <f t="shared" si="28"/>
        <v>0</v>
      </c>
      <c r="AN35" s="11">
        <f t="shared" si="29"/>
        <v>0</v>
      </c>
      <c r="AO35" s="8">
        <f t="shared" si="35"/>
        <v>2039581</v>
      </c>
      <c r="AP35" s="11">
        <f t="shared" si="30"/>
        <v>79565294.799999982</v>
      </c>
      <c r="AQ35" s="2" t="str">
        <f t="shared" si="31"/>
        <v>VIADUCTO</v>
      </c>
      <c r="AR35" s="37">
        <f t="shared" si="32"/>
        <v>0</v>
      </c>
      <c r="AS35" s="37">
        <f t="shared" si="33"/>
        <v>0</v>
      </c>
    </row>
    <row r="36" spans="1:45" x14ac:dyDescent="0.25">
      <c r="B36" s="2" t="s">
        <v>4</v>
      </c>
      <c r="C36" s="2">
        <v>2021</v>
      </c>
      <c r="D36" s="1">
        <v>447228</v>
      </c>
      <c r="E36" s="11">
        <v>18111097.369999994</v>
      </c>
      <c r="F36" s="1">
        <v>194665</v>
      </c>
      <c r="G36" s="11">
        <v>7387235.4699999988</v>
      </c>
      <c r="H36" s="1">
        <v>21824</v>
      </c>
      <c r="I36" s="11">
        <v>957731.76</v>
      </c>
      <c r="J36" s="1">
        <v>1298430</v>
      </c>
      <c r="K36" s="11">
        <v>48960289.119999997</v>
      </c>
      <c r="L36" s="8">
        <v>17310</v>
      </c>
      <c r="M36" s="11">
        <v>712170.5199999999</v>
      </c>
      <c r="N36" s="8">
        <v>9239</v>
      </c>
      <c r="O36" s="11">
        <v>372543.68</v>
      </c>
      <c r="P36" s="8">
        <v>0</v>
      </c>
      <c r="Q36" s="11">
        <v>0</v>
      </c>
      <c r="R36" s="47">
        <f t="shared" si="34"/>
        <v>1988696</v>
      </c>
      <c r="S36" s="48">
        <f t="shared" si="19"/>
        <v>76501067.919999987</v>
      </c>
      <c r="T36" s="2" t="s">
        <v>57</v>
      </c>
      <c r="AC36" s="2" t="s">
        <v>4</v>
      </c>
      <c r="AD36" s="2">
        <v>2021</v>
      </c>
      <c r="AE36" s="1">
        <f t="shared" si="20"/>
        <v>663717</v>
      </c>
      <c r="AF36" s="11">
        <f t="shared" si="21"/>
        <v>26456064.599999994</v>
      </c>
      <c r="AG36" s="1">
        <f t="shared" si="22"/>
        <v>1298430</v>
      </c>
      <c r="AH36" s="11">
        <f t="shared" si="23"/>
        <v>48960289.119999997</v>
      </c>
      <c r="AI36" s="8">
        <f t="shared" si="24"/>
        <v>17310</v>
      </c>
      <c r="AJ36" s="11">
        <f t="shared" si="25"/>
        <v>712170.5199999999</v>
      </c>
      <c r="AK36" s="8">
        <f t="shared" si="26"/>
        <v>9239</v>
      </c>
      <c r="AL36" s="11">
        <f t="shared" si="27"/>
        <v>372543.68</v>
      </c>
      <c r="AM36" s="8">
        <f t="shared" si="28"/>
        <v>0</v>
      </c>
      <c r="AN36" s="11">
        <f t="shared" si="29"/>
        <v>0</v>
      </c>
      <c r="AO36" s="8">
        <f t="shared" si="35"/>
        <v>1988696</v>
      </c>
      <c r="AP36" s="11">
        <f t="shared" si="30"/>
        <v>76501067.919999987</v>
      </c>
      <c r="AQ36" s="2" t="str">
        <f t="shared" si="31"/>
        <v>VIADUCTO</v>
      </c>
      <c r="AR36" s="37">
        <f t="shared" si="32"/>
        <v>0</v>
      </c>
      <c r="AS36" s="37">
        <f t="shared" si="33"/>
        <v>0</v>
      </c>
    </row>
    <row r="37" spans="1:45" x14ac:dyDescent="0.25">
      <c r="B37" s="2" t="s">
        <v>28</v>
      </c>
      <c r="C37" s="2">
        <v>2021</v>
      </c>
      <c r="D37" s="1">
        <v>473544</v>
      </c>
      <c r="E37" s="11">
        <v>19026297.799999997</v>
      </c>
      <c r="F37" s="1">
        <v>207224</v>
      </c>
      <c r="G37" s="11">
        <v>7766908.29</v>
      </c>
      <c r="H37" s="1">
        <v>23493</v>
      </c>
      <c r="I37" s="11">
        <v>1014395.54</v>
      </c>
      <c r="J37" s="1">
        <v>1364816</v>
      </c>
      <c r="K37" s="11">
        <v>51088764.669999987</v>
      </c>
      <c r="L37" s="8">
        <v>15891</v>
      </c>
      <c r="M37" s="11">
        <v>647081.12000000011</v>
      </c>
      <c r="N37" s="8">
        <v>10631</v>
      </c>
      <c r="O37" s="11">
        <v>419111.74999999988</v>
      </c>
      <c r="P37" s="8">
        <v>0</v>
      </c>
      <c r="Q37" s="11">
        <v>0</v>
      </c>
      <c r="R37" s="47">
        <f t="shared" si="34"/>
        <v>2095599</v>
      </c>
      <c r="S37" s="48">
        <f t="shared" si="19"/>
        <v>79962559.169999987</v>
      </c>
      <c r="T37" s="2" t="s">
        <v>57</v>
      </c>
      <c r="AC37" s="2" t="s">
        <v>28</v>
      </c>
      <c r="AD37" s="2">
        <v>2021</v>
      </c>
      <c r="AE37" s="1">
        <f t="shared" si="20"/>
        <v>704261</v>
      </c>
      <c r="AF37" s="11">
        <f t="shared" si="21"/>
        <v>27807601.629999995</v>
      </c>
      <c r="AG37" s="1">
        <f t="shared" si="22"/>
        <v>1364816</v>
      </c>
      <c r="AH37" s="11">
        <f t="shared" si="23"/>
        <v>51088764.669999987</v>
      </c>
      <c r="AI37" s="8">
        <f t="shared" si="24"/>
        <v>15891</v>
      </c>
      <c r="AJ37" s="11">
        <f t="shared" si="25"/>
        <v>647081.12000000011</v>
      </c>
      <c r="AK37" s="8">
        <f t="shared" si="26"/>
        <v>10631</v>
      </c>
      <c r="AL37" s="11">
        <f t="shared" si="27"/>
        <v>419111.74999999988</v>
      </c>
      <c r="AM37" s="8">
        <f t="shared" si="28"/>
        <v>0</v>
      </c>
      <c r="AN37" s="11">
        <f t="shared" si="29"/>
        <v>0</v>
      </c>
      <c r="AO37" s="8">
        <f t="shared" si="35"/>
        <v>2095599</v>
      </c>
      <c r="AP37" s="11">
        <f t="shared" si="30"/>
        <v>79962559.169999987</v>
      </c>
      <c r="AQ37" s="2" t="str">
        <f t="shared" si="31"/>
        <v>VIADUCTO</v>
      </c>
      <c r="AR37" s="37">
        <f t="shared" si="32"/>
        <v>0</v>
      </c>
      <c r="AS37" s="37">
        <f t="shared" si="33"/>
        <v>0</v>
      </c>
    </row>
    <row r="38" spans="1:45" x14ac:dyDescent="0.25">
      <c r="B38" s="2" t="s">
        <v>29</v>
      </c>
      <c r="C38" s="2">
        <v>2021</v>
      </c>
      <c r="D38" s="1">
        <v>530348</v>
      </c>
      <c r="E38" s="11">
        <v>21187660.600000001</v>
      </c>
      <c r="F38" s="1">
        <v>231650</v>
      </c>
      <c r="G38" s="11">
        <v>8614236.7500000019</v>
      </c>
      <c r="H38" s="1">
        <v>25309</v>
      </c>
      <c r="I38" s="11">
        <v>1076181.5899999999</v>
      </c>
      <c r="J38" s="1">
        <v>1544894</v>
      </c>
      <c r="K38" s="11">
        <v>57550584.739999995</v>
      </c>
      <c r="L38" s="8">
        <v>17120</v>
      </c>
      <c r="M38" s="11">
        <v>684317.14999999991</v>
      </c>
      <c r="N38" s="8">
        <v>11930</v>
      </c>
      <c r="O38" s="11">
        <v>464705.16000000003</v>
      </c>
      <c r="P38" s="8">
        <v>0</v>
      </c>
      <c r="Q38" s="11">
        <v>0</v>
      </c>
      <c r="R38" s="47">
        <f t="shared" si="34"/>
        <v>2361251</v>
      </c>
      <c r="S38" s="48">
        <f t="shared" si="19"/>
        <v>89577685.99000001</v>
      </c>
      <c r="T38" s="2" t="s">
        <v>57</v>
      </c>
      <c r="AC38" s="2" t="s">
        <v>29</v>
      </c>
      <c r="AD38" s="2">
        <v>2021</v>
      </c>
      <c r="AE38" s="1">
        <f t="shared" si="20"/>
        <v>787307</v>
      </c>
      <c r="AF38" s="11">
        <f t="shared" si="21"/>
        <v>30878078.940000005</v>
      </c>
      <c r="AG38" s="1">
        <f t="shared" si="22"/>
        <v>1544894</v>
      </c>
      <c r="AH38" s="11">
        <f t="shared" si="23"/>
        <v>57550584.739999995</v>
      </c>
      <c r="AI38" s="8">
        <f t="shared" si="24"/>
        <v>17120</v>
      </c>
      <c r="AJ38" s="11">
        <f t="shared" si="25"/>
        <v>684317.14999999991</v>
      </c>
      <c r="AK38" s="8">
        <f t="shared" si="26"/>
        <v>11930</v>
      </c>
      <c r="AL38" s="11">
        <f t="shared" si="27"/>
        <v>464705.16000000003</v>
      </c>
      <c r="AM38" s="8">
        <f t="shared" si="28"/>
        <v>0</v>
      </c>
      <c r="AN38" s="11">
        <f t="shared" si="29"/>
        <v>0</v>
      </c>
      <c r="AO38" s="8">
        <f t="shared" si="35"/>
        <v>2361251</v>
      </c>
      <c r="AP38" s="11">
        <f t="shared" si="30"/>
        <v>89577685.99000001</v>
      </c>
      <c r="AQ38" s="2" t="str">
        <f t="shared" si="31"/>
        <v>VIADUCTO</v>
      </c>
      <c r="AR38" s="37">
        <f t="shared" si="32"/>
        <v>0</v>
      </c>
      <c r="AS38" s="37">
        <f t="shared" si="33"/>
        <v>0</v>
      </c>
    </row>
    <row r="39" spans="1:45" x14ac:dyDescent="0.25">
      <c r="B39" s="2" t="s">
        <v>30</v>
      </c>
      <c r="C39" s="2">
        <v>2021</v>
      </c>
      <c r="D39" s="1">
        <v>531113</v>
      </c>
      <c r="E39" s="11">
        <v>21297438.420000009</v>
      </c>
      <c r="F39" s="1">
        <v>227507</v>
      </c>
      <c r="G39" s="11">
        <v>8401814.2199999988</v>
      </c>
      <c r="H39" s="1">
        <v>22935</v>
      </c>
      <c r="I39" s="11">
        <v>976303.77000000014</v>
      </c>
      <c r="J39" s="1">
        <v>1566610</v>
      </c>
      <c r="K39" s="11">
        <v>58202912.600000009</v>
      </c>
      <c r="L39" s="8">
        <v>16350</v>
      </c>
      <c r="M39" s="11">
        <v>651472.42000000004</v>
      </c>
      <c r="N39" s="8">
        <v>11582</v>
      </c>
      <c r="O39" s="11">
        <v>447043.38</v>
      </c>
      <c r="P39" s="8">
        <v>0</v>
      </c>
      <c r="Q39" s="11">
        <v>0</v>
      </c>
      <c r="R39" s="47">
        <f t="shared" si="34"/>
        <v>2376097</v>
      </c>
      <c r="S39" s="48">
        <f t="shared" si="19"/>
        <v>89976984.810000017</v>
      </c>
      <c r="T39" s="2" t="s">
        <v>57</v>
      </c>
      <c r="AC39" s="2" t="s">
        <v>30</v>
      </c>
      <c r="AD39" s="2">
        <v>2021</v>
      </c>
      <c r="AE39" s="1">
        <f t="shared" si="20"/>
        <v>781555</v>
      </c>
      <c r="AF39" s="11">
        <f t="shared" si="21"/>
        <v>30675556.410000008</v>
      </c>
      <c r="AG39" s="1">
        <f t="shared" si="22"/>
        <v>1566610</v>
      </c>
      <c r="AH39" s="11">
        <f t="shared" si="23"/>
        <v>58202912.600000009</v>
      </c>
      <c r="AI39" s="8">
        <f t="shared" si="24"/>
        <v>16350</v>
      </c>
      <c r="AJ39" s="11">
        <f t="shared" si="25"/>
        <v>651472.42000000004</v>
      </c>
      <c r="AK39" s="8">
        <f t="shared" si="26"/>
        <v>11582</v>
      </c>
      <c r="AL39" s="11">
        <f t="shared" si="27"/>
        <v>447043.38</v>
      </c>
      <c r="AM39" s="8">
        <f t="shared" si="28"/>
        <v>0</v>
      </c>
      <c r="AN39" s="11">
        <f t="shared" si="29"/>
        <v>0</v>
      </c>
      <c r="AO39" s="8">
        <f t="shared" si="35"/>
        <v>2376097</v>
      </c>
      <c r="AP39" s="11">
        <f t="shared" si="30"/>
        <v>89976984.810000017</v>
      </c>
      <c r="AQ39" s="2" t="str">
        <f t="shared" si="31"/>
        <v>VIADUCTO</v>
      </c>
      <c r="AR39" s="37">
        <f t="shared" si="32"/>
        <v>0</v>
      </c>
      <c r="AS39" s="37">
        <f t="shared" si="33"/>
        <v>0</v>
      </c>
    </row>
    <row r="40" spans="1:45" x14ac:dyDescent="0.25">
      <c r="B40" s="2" t="s">
        <v>31</v>
      </c>
      <c r="C40" s="2">
        <v>2021</v>
      </c>
      <c r="D40" s="1">
        <v>561576</v>
      </c>
      <c r="E40" s="11">
        <v>22827811.580000006</v>
      </c>
      <c r="F40" s="1">
        <v>233374</v>
      </c>
      <c r="G40" s="11">
        <v>8692373.2499999981</v>
      </c>
      <c r="H40" s="1">
        <v>21409</v>
      </c>
      <c r="I40" s="11">
        <v>960450.3600000001</v>
      </c>
      <c r="J40" s="1">
        <v>1648726</v>
      </c>
      <c r="K40" s="11">
        <v>62358160.560000002</v>
      </c>
      <c r="L40" s="8">
        <v>16480</v>
      </c>
      <c r="M40" s="11">
        <v>664551.92999999993</v>
      </c>
      <c r="N40" s="8">
        <v>11998</v>
      </c>
      <c r="O40" s="11">
        <v>477616.99000000011</v>
      </c>
      <c r="P40" s="8">
        <v>0</v>
      </c>
      <c r="Q40" s="11">
        <v>0</v>
      </c>
      <c r="R40" s="50">
        <f t="shared" si="34"/>
        <v>2493563</v>
      </c>
      <c r="S40" s="51">
        <f t="shared" si="19"/>
        <v>95980964.670000017</v>
      </c>
      <c r="T40" s="2" t="s">
        <v>57</v>
      </c>
      <c r="AC40" s="2" t="s">
        <v>31</v>
      </c>
      <c r="AD40" s="2">
        <v>2021</v>
      </c>
      <c r="AE40" s="1">
        <f t="shared" si="20"/>
        <v>816359</v>
      </c>
      <c r="AF40" s="11">
        <f t="shared" si="21"/>
        <v>32480635.190000005</v>
      </c>
      <c r="AG40" s="1">
        <f t="shared" si="22"/>
        <v>1648726</v>
      </c>
      <c r="AH40" s="11">
        <f t="shared" si="23"/>
        <v>62358160.560000002</v>
      </c>
      <c r="AI40" s="8">
        <f t="shared" si="24"/>
        <v>16480</v>
      </c>
      <c r="AJ40" s="11">
        <f t="shared" si="25"/>
        <v>664551.92999999993</v>
      </c>
      <c r="AK40" s="8">
        <f t="shared" si="26"/>
        <v>11998</v>
      </c>
      <c r="AL40" s="11">
        <f t="shared" si="27"/>
        <v>477616.99000000011</v>
      </c>
      <c r="AM40" s="8">
        <f t="shared" si="28"/>
        <v>0</v>
      </c>
      <c r="AN40" s="11">
        <f t="shared" si="29"/>
        <v>0</v>
      </c>
      <c r="AO40" s="8">
        <f t="shared" si="35"/>
        <v>2493563</v>
      </c>
      <c r="AP40" s="11">
        <f t="shared" si="30"/>
        <v>95980964.670000017</v>
      </c>
      <c r="AQ40" s="2" t="str">
        <f t="shared" si="31"/>
        <v>VIADUCTO</v>
      </c>
      <c r="AR40" s="37">
        <f t="shared" si="32"/>
        <v>0</v>
      </c>
      <c r="AS40" s="37">
        <f t="shared" si="33"/>
        <v>0</v>
      </c>
    </row>
    <row r="41" spans="1:45" x14ac:dyDescent="0.25">
      <c r="AF41" s="9"/>
      <c r="AH41" s="9"/>
      <c r="AJ41" s="9"/>
      <c r="AL41" s="9"/>
      <c r="AM41" s="9"/>
      <c r="AN41" s="9"/>
      <c r="AP41" s="9"/>
    </row>
    <row r="42" spans="1:45" x14ac:dyDescent="0.25">
      <c r="B42" s="3" t="s">
        <v>12</v>
      </c>
      <c r="C42" s="3"/>
      <c r="D42" s="4">
        <f t="shared" ref="D42:S42" si="36">SUM(D29:D41)</f>
        <v>5095759</v>
      </c>
      <c r="E42" s="12">
        <f t="shared" si="36"/>
        <v>205427154.27000001</v>
      </c>
      <c r="F42" s="4">
        <f t="shared" si="36"/>
        <v>2251951</v>
      </c>
      <c r="G42" s="12">
        <f t="shared" si="36"/>
        <v>84901171.679999992</v>
      </c>
      <c r="H42" s="4">
        <f t="shared" si="36"/>
        <v>226591</v>
      </c>
      <c r="I42" s="12">
        <f t="shared" si="36"/>
        <v>9752589.4499999993</v>
      </c>
      <c r="J42" s="4">
        <f t="shared" si="36"/>
        <v>14946694</v>
      </c>
      <c r="K42" s="12">
        <f t="shared" si="36"/>
        <v>560195561.6400001</v>
      </c>
      <c r="L42" s="4">
        <f t="shared" si="36"/>
        <v>208587</v>
      </c>
      <c r="M42" s="12">
        <f t="shared" si="36"/>
        <v>8579629.8200000003</v>
      </c>
      <c r="N42" s="4">
        <f t="shared" si="36"/>
        <v>104206</v>
      </c>
      <c r="O42" s="12">
        <f t="shared" si="36"/>
        <v>4184158.3600000003</v>
      </c>
      <c r="P42" s="4">
        <f t="shared" si="36"/>
        <v>0</v>
      </c>
      <c r="Q42" s="12">
        <f t="shared" si="36"/>
        <v>0</v>
      </c>
      <c r="R42" s="4">
        <f t="shared" si="36"/>
        <v>22833788</v>
      </c>
      <c r="S42" s="12">
        <f t="shared" si="36"/>
        <v>873040265.22000003</v>
      </c>
      <c r="AC42" s="3" t="s">
        <v>12</v>
      </c>
      <c r="AD42" s="3"/>
      <c r="AE42" s="4">
        <f t="shared" ref="AE42:AP42" si="37">SUM(AE29:AE41)</f>
        <v>7574301</v>
      </c>
      <c r="AF42" s="12">
        <f t="shared" si="37"/>
        <v>300080915.39999998</v>
      </c>
      <c r="AG42" s="4">
        <f t="shared" si="37"/>
        <v>14946694</v>
      </c>
      <c r="AH42" s="12">
        <f t="shared" si="37"/>
        <v>560195561.6400001</v>
      </c>
      <c r="AI42" s="4">
        <f t="shared" si="37"/>
        <v>208587</v>
      </c>
      <c r="AJ42" s="12">
        <f t="shared" si="37"/>
        <v>8579629.8200000003</v>
      </c>
      <c r="AK42" s="4">
        <f t="shared" si="37"/>
        <v>104206</v>
      </c>
      <c r="AL42" s="12">
        <f t="shared" si="37"/>
        <v>4184158.3600000003</v>
      </c>
      <c r="AM42" s="4">
        <f t="shared" si="37"/>
        <v>0</v>
      </c>
      <c r="AN42" s="12">
        <f t="shared" si="37"/>
        <v>0</v>
      </c>
      <c r="AO42" s="4">
        <f t="shared" si="37"/>
        <v>22833788</v>
      </c>
      <c r="AP42" s="12">
        <f t="shared" si="37"/>
        <v>873040265.22000003</v>
      </c>
    </row>
    <row r="43" spans="1:45" x14ac:dyDescent="0.25">
      <c r="J43" s="46" t="str">
        <f>+$B$24</f>
        <v>Aforo e Ingreso - VIADUCTO</v>
      </c>
      <c r="K43" s="9" t="s">
        <v>84</v>
      </c>
      <c r="L43" s="15">
        <f>AVERAGE(L29:L40)</f>
        <v>17382.25</v>
      </c>
      <c r="M43" s="28">
        <f>AVERAGE(M29:M40)</f>
        <v>714969.15166666673</v>
      </c>
      <c r="R43" s="15">
        <f>AVERAGE(R29:R40)</f>
        <v>1902815.6666666667</v>
      </c>
      <c r="S43" s="28">
        <f>AVERAGE(S29:S40)</f>
        <v>72753355.435000002</v>
      </c>
    </row>
    <row r="44" spans="1:45" x14ac:dyDescent="0.25">
      <c r="B44" s="5" t="s">
        <v>14</v>
      </c>
      <c r="J44" s="46" t="str">
        <f>+$B$24</f>
        <v>Aforo e Ingreso - VIADUCTO</v>
      </c>
      <c r="K44" s="9" t="s">
        <v>85</v>
      </c>
      <c r="L44" s="44">
        <f>+L43/$L$295</f>
        <v>5.6707307624237119E-2</v>
      </c>
      <c r="M44" s="44">
        <f>+M43/$M$295</f>
        <v>1.861311639457483E-2</v>
      </c>
      <c r="R44" s="44">
        <f>+L43/R43</f>
        <v>9.1350151801356822E-3</v>
      </c>
      <c r="S44" s="44">
        <f>+M43/S43</f>
        <v>9.82730139925218E-3</v>
      </c>
    </row>
    <row r="45" spans="1:45" x14ac:dyDescent="0.25">
      <c r="B45" s="5" t="s">
        <v>21</v>
      </c>
      <c r="L45" s="26"/>
      <c r="M45" s="26"/>
    </row>
    <row r="46" spans="1:45" x14ac:dyDescent="0.25">
      <c r="B46" s="5"/>
    </row>
    <row r="47" spans="1:45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12</v>
      </c>
      <c r="S47" s="93"/>
      <c r="AE47" s="89" t="s">
        <v>69</v>
      </c>
      <c r="AF47" s="90"/>
      <c r="AG47" s="89" t="s">
        <v>17</v>
      </c>
      <c r="AH47" s="93"/>
      <c r="AI47" s="89" t="s">
        <v>18</v>
      </c>
      <c r="AJ47" s="93"/>
      <c r="AK47" s="89" t="s">
        <v>13</v>
      </c>
      <c r="AL47" s="93"/>
      <c r="AM47" s="89" t="s">
        <v>34</v>
      </c>
      <c r="AN47" s="93"/>
      <c r="AO47" s="89" t="s">
        <v>12</v>
      </c>
      <c r="AP47" s="93"/>
    </row>
    <row r="48" spans="1:45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AC48" s="7" t="s">
        <v>0</v>
      </c>
      <c r="AD48" s="7" t="s">
        <v>1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</row>
    <row r="49" spans="2:45" x14ac:dyDescent="0.25">
      <c r="AF49" s="9"/>
      <c r="AH49" s="9"/>
      <c r="AJ49" s="9"/>
      <c r="AL49" s="9"/>
      <c r="AM49" s="9"/>
      <c r="AN49" s="9"/>
      <c r="AP49" s="9"/>
    </row>
    <row r="50" spans="2:45" x14ac:dyDescent="0.25">
      <c r="B50" s="2" t="s">
        <v>5</v>
      </c>
      <c r="C50" s="2">
        <v>2021</v>
      </c>
      <c r="D50" s="1">
        <v>108355</v>
      </c>
      <c r="E50" s="11">
        <v>4372749</v>
      </c>
      <c r="F50" s="1">
        <v>87073</v>
      </c>
      <c r="G50" s="11">
        <v>3522345</v>
      </c>
      <c r="H50" s="1">
        <v>10023</v>
      </c>
      <c r="I50" s="11">
        <v>418835</v>
      </c>
      <c r="J50" s="1">
        <v>705191</v>
      </c>
      <c r="K50" s="11">
        <v>27804951</v>
      </c>
      <c r="L50" s="8">
        <v>17663</v>
      </c>
      <c r="M50" s="11">
        <v>684533</v>
      </c>
      <c r="N50" s="8">
        <v>12082</v>
      </c>
      <c r="O50" s="11">
        <v>471222</v>
      </c>
      <c r="P50" s="8">
        <v>0</v>
      </c>
      <c r="Q50" s="11">
        <v>0</v>
      </c>
      <c r="R50" s="8">
        <f>N50+L50+J50+H50+D50+P50+F50</f>
        <v>940387</v>
      </c>
      <c r="S50" s="11">
        <f t="shared" ref="S50:S61" si="38">O50+M50+K50+I50+E50+Q50+G50</f>
        <v>37274635</v>
      </c>
      <c r="T50" s="2" t="s">
        <v>58</v>
      </c>
      <c r="AC50" s="2" t="s">
        <v>5</v>
      </c>
      <c r="AD50" s="2">
        <v>2021</v>
      </c>
      <c r="AE50" s="1">
        <f t="shared" ref="AE50:AE61" si="39">D50+H50+F50</f>
        <v>205451</v>
      </c>
      <c r="AF50" s="11">
        <f t="shared" ref="AF50:AF61" si="40">E50+I50+G50</f>
        <v>8313929</v>
      </c>
      <c r="AG50" s="1">
        <f t="shared" ref="AG50:AG61" si="41">+J50</f>
        <v>705191</v>
      </c>
      <c r="AH50" s="11">
        <f t="shared" ref="AH50:AH61" si="42">+K50</f>
        <v>27804951</v>
      </c>
      <c r="AI50" s="8">
        <f t="shared" ref="AI50:AI61" si="43">+L50</f>
        <v>17663</v>
      </c>
      <c r="AJ50" s="11">
        <f t="shared" ref="AJ50:AJ61" si="44">+M50</f>
        <v>684533</v>
      </c>
      <c r="AK50" s="8">
        <f t="shared" ref="AK50:AK61" si="45">+N50</f>
        <v>12082</v>
      </c>
      <c r="AL50" s="11">
        <f t="shared" ref="AL50:AL61" si="46">+O50</f>
        <v>471222</v>
      </c>
      <c r="AM50" s="8">
        <f t="shared" ref="AM50:AM61" si="47">+P50</f>
        <v>0</v>
      </c>
      <c r="AN50" s="11">
        <f t="shared" ref="AN50:AN61" si="48">+Q50</f>
        <v>0</v>
      </c>
      <c r="AO50" s="8">
        <f>AM50+AK50+AI50+AG50+AE50</f>
        <v>940387</v>
      </c>
      <c r="AP50" s="11">
        <f t="shared" ref="AP50:AP61" si="49">AN50+AL50+AJ50+AH50+AF50</f>
        <v>37274635</v>
      </c>
      <c r="AQ50" s="2" t="str">
        <f t="shared" ref="AQ50:AQ61" si="50">+T50</f>
        <v>SUPERVIA</v>
      </c>
      <c r="AR50" s="37">
        <f t="shared" ref="AR50:AR61" si="51">+AO50-R50</f>
        <v>0</v>
      </c>
      <c r="AS50" s="37">
        <f t="shared" ref="AS50:AS61" si="52">+AP50-S50</f>
        <v>0</v>
      </c>
    </row>
    <row r="51" spans="2:45" x14ac:dyDescent="0.25">
      <c r="B51" s="2" t="s">
        <v>6</v>
      </c>
      <c r="C51" s="2">
        <v>2021</v>
      </c>
      <c r="D51" s="1">
        <v>118885</v>
      </c>
      <c r="E51" s="11">
        <v>4840798</v>
      </c>
      <c r="F51" s="1">
        <v>101792</v>
      </c>
      <c r="G51" s="11">
        <v>4162226</v>
      </c>
      <c r="H51" s="1">
        <v>10297</v>
      </c>
      <c r="I51" s="11">
        <v>432114</v>
      </c>
      <c r="J51" s="1">
        <v>793937</v>
      </c>
      <c r="K51" s="11">
        <v>31723740</v>
      </c>
      <c r="L51" s="8">
        <v>18026</v>
      </c>
      <c r="M51" s="11">
        <v>706093</v>
      </c>
      <c r="N51" s="8">
        <v>13673</v>
      </c>
      <c r="O51" s="11">
        <v>541902</v>
      </c>
      <c r="P51" s="8">
        <v>0</v>
      </c>
      <c r="Q51" s="11">
        <v>0</v>
      </c>
      <c r="R51" s="8">
        <f t="shared" ref="R51:R61" si="53">N51+L51+J51+H51+D51+P51+F51</f>
        <v>1056610</v>
      </c>
      <c r="S51" s="11">
        <f t="shared" si="38"/>
        <v>42406873</v>
      </c>
      <c r="T51" s="2" t="s">
        <v>58</v>
      </c>
      <c r="AC51" s="2" t="s">
        <v>6</v>
      </c>
      <c r="AD51" s="2">
        <v>2021</v>
      </c>
      <c r="AE51" s="1">
        <f t="shared" si="39"/>
        <v>230974</v>
      </c>
      <c r="AF51" s="11">
        <f t="shared" si="40"/>
        <v>9435138</v>
      </c>
      <c r="AG51" s="1">
        <f t="shared" si="41"/>
        <v>793937</v>
      </c>
      <c r="AH51" s="11">
        <f t="shared" si="42"/>
        <v>31723740</v>
      </c>
      <c r="AI51" s="8">
        <f t="shared" si="43"/>
        <v>18026</v>
      </c>
      <c r="AJ51" s="11">
        <f t="shared" si="44"/>
        <v>706093</v>
      </c>
      <c r="AK51" s="8">
        <f t="shared" si="45"/>
        <v>13673</v>
      </c>
      <c r="AL51" s="11">
        <f t="shared" si="46"/>
        <v>541902</v>
      </c>
      <c r="AM51" s="8">
        <f t="shared" si="47"/>
        <v>0</v>
      </c>
      <c r="AN51" s="11">
        <f t="shared" si="48"/>
        <v>0</v>
      </c>
      <c r="AO51" s="8">
        <f t="shared" ref="AO51:AO61" si="54">AM51+AK51+AI51+AG51+AE51</f>
        <v>1056610</v>
      </c>
      <c r="AP51" s="11">
        <f t="shared" si="49"/>
        <v>42406873</v>
      </c>
      <c r="AQ51" s="2" t="str">
        <f t="shared" si="50"/>
        <v>SUPERVIA</v>
      </c>
      <c r="AR51" s="37">
        <f t="shared" si="51"/>
        <v>0</v>
      </c>
      <c r="AS51" s="37">
        <f t="shared" si="52"/>
        <v>0</v>
      </c>
    </row>
    <row r="52" spans="2:45" x14ac:dyDescent="0.25">
      <c r="B52" s="2" t="s">
        <v>7</v>
      </c>
      <c r="C52" s="2">
        <v>2021</v>
      </c>
      <c r="D52" s="1">
        <v>146519</v>
      </c>
      <c r="E52" s="11">
        <v>5948067</v>
      </c>
      <c r="F52" s="1">
        <v>128428</v>
      </c>
      <c r="G52" s="11">
        <v>5241525</v>
      </c>
      <c r="H52" s="1">
        <v>11838</v>
      </c>
      <c r="I52" s="11">
        <v>493134</v>
      </c>
      <c r="J52" s="1">
        <v>985319</v>
      </c>
      <c r="K52" s="11">
        <v>39267701</v>
      </c>
      <c r="L52" s="8">
        <v>19894</v>
      </c>
      <c r="M52" s="11">
        <v>774939</v>
      </c>
      <c r="N52" s="8">
        <v>17733</v>
      </c>
      <c r="O52" s="11">
        <v>699958</v>
      </c>
      <c r="P52" s="8">
        <v>0</v>
      </c>
      <c r="Q52" s="11">
        <v>0</v>
      </c>
      <c r="R52" s="8">
        <f t="shared" si="53"/>
        <v>1309731</v>
      </c>
      <c r="S52" s="11">
        <f t="shared" si="38"/>
        <v>52425324</v>
      </c>
      <c r="T52" s="2" t="s">
        <v>58</v>
      </c>
      <c r="AC52" s="2" t="s">
        <v>7</v>
      </c>
      <c r="AD52" s="2">
        <v>2021</v>
      </c>
      <c r="AE52" s="1">
        <f t="shared" si="39"/>
        <v>286785</v>
      </c>
      <c r="AF52" s="11">
        <f t="shared" si="40"/>
        <v>11682726</v>
      </c>
      <c r="AG52" s="1">
        <f t="shared" si="41"/>
        <v>985319</v>
      </c>
      <c r="AH52" s="11">
        <f t="shared" si="42"/>
        <v>39267701</v>
      </c>
      <c r="AI52" s="8">
        <f t="shared" si="43"/>
        <v>19894</v>
      </c>
      <c r="AJ52" s="11">
        <f t="shared" si="44"/>
        <v>774939</v>
      </c>
      <c r="AK52" s="8">
        <f t="shared" si="45"/>
        <v>17733</v>
      </c>
      <c r="AL52" s="11">
        <f t="shared" si="46"/>
        <v>699958</v>
      </c>
      <c r="AM52" s="8">
        <f t="shared" si="47"/>
        <v>0</v>
      </c>
      <c r="AN52" s="11">
        <f t="shared" si="48"/>
        <v>0</v>
      </c>
      <c r="AO52" s="8">
        <f t="shared" si="54"/>
        <v>1309731</v>
      </c>
      <c r="AP52" s="11">
        <f t="shared" si="49"/>
        <v>52425324</v>
      </c>
      <c r="AQ52" s="2" t="str">
        <f t="shared" si="50"/>
        <v>SUPERVIA</v>
      </c>
      <c r="AR52" s="37">
        <f t="shared" si="51"/>
        <v>0</v>
      </c>
      <c r="AS52" s="37">
        <f t="shared" si="52"/>
        <v>0</v>
      </c>
    </row>
    <row r="53" spans="2:45" x14ac:dyDescent="0.25">
      <c r="B53" s="2" t="s">
        <v>8</v>
      </c>
      <c r="C53" s="2">
        <v>2021</v>
      </c>
      <c r="D53" s="1">
        <v>139043</v>
      </c>
      <c r="E53" s="11">
        <v>5657991</v>
      </c>
      <c r="F53" s="1">
        <v>123773</v>
      </c>
      <c r="G53" s="11">
        <v>5058729</v>
      </c>
      <c r="H53" s="1">
        <v>11714</v>
      </c>
      <c r="I53" s="11">
        <v>490018</v>
      </c>
      <c r="J53" s="1">
        <v>935789</v>
      </c>
      <c r="K53" s="11">
        <v>37311970</v>
      </c>
      <c r="L53" s="8">
        <v>16602</v>
      </c>
      <c r="M53" s="11">
        <v>645967</v>
      </c>
      <c r="N53" s="8">
        <v>17257</v>
      </c>
      <c r="O53" s="11">
        <v>681852</v>
      </c>
      <c r="P53" s="8">
        <v>0</v>
      </c>
      <c r="Q53" s="11">
        <v>0</v>
      </c>
      <c r="R53" s="8">
        <f t="shared" si="53"/>
        <v>1244178</v>
      </c>
      <c r="S53" s="11">
        <f t="shared" si="38"/>
        <v>49846527</v>
      </c>
      <c r="T53" s="2" t="s">
        <v>58</v>
      </c>
      <c r="AC53" s="2" t="s">
        <v>8</v>
      </c>
      <c r="AD53" s="2">
        <v>2021</v>
      </c>
      <c r="AE53" s="1">
        <f t="shared" si="39"/>
        <v>274530</v>
      </c>
      <c r="AF53" s="11">
        <f t="shared" si="40"/>
        <v>11206738</v>
      </c>
      <c r="AG53" s="1">
        <f t="shared" si="41"/>
        <v>935789</v>
      </c>
      <c r="AH53" s="11">
        <f t="shared" si="42"/>
        <v>37311970</v>
      </c>
      <c r="AI53" s="8">
        <f t="shared" si="43"/>
        <v>16602</v>
      </c>
      <c r="AJ53" s="11">
        <f t="shared" si="44"/>
        <v>645967</v>
      </c>
      <c r="AK53" s="8">
        <f t="shared" si="45"/>
        <v>17257</v>
      </c>
      <c r="AL53" s="11">
        <f t="shared" si="46"/>
        <v>681852</v>
      </c>
      <c r="AM53" s="8">
        <f t="shared" si="47"/>
        <v>0</v>
      </c>
      <c r="AN53" s="11">
        <f t="shared" si="48"/>
        <v>0</v>
      </c>
      <c r="AO53" s="8">
        <f t="shared" si="54"/>
        <v>1244178</v>
      </c>
      <c r="AP53" s="11">
        <f t="shared" si="49"/>
        <v>49846527</v>
      </c>
      <c r="AQ53" s="2" t="str">
        <f t="shared" si="50"/>
        <v>SUPERVIA</v>
      </c>
      <c r="AR53" s="37">
        <f t="shared" si="51"/>
        <v>0</v>
      </c>
      <c r="AS53" s="37">
        <f t="shared" si="52"/>
        <v>0</v>
      </c>
    </row>
    <row r="54" spans="2:45" x14ac:dyDescent="0.25">
      <c r="B54" s="2" t="s">
        <v>9</v>
      </c>
      <c r="C54" s="2">
        <v>2021</v>
      </c>
      <c r="D54" s="1">
        <v>166423</v>
      </c>
      <c r="E54" s="11">
        <v>6778787</v>
      </c>
      <c r="F54" s="1">
        <v>148677</v>
      </c>
      <c r="G54" s="11">
        <v>6088859</v>
      </c>
      <c r="H54" s="1">
        <v>15605</v>
      </c>
      <c r="I54" s="11">
        <v>651612</v>
      </c>
      <c r="J54" s="1">
        <v>1117704</v>
      </c>
      <c r="K54" s="11">
        <v>44678213</v>
      </c>
      <c r="L54" s="8">
        <v>19274</v>
      </c>
      <c r="M54" s="11">
        <v>752942</v>
      </c>
      <c r="N54" s="8">
        <v>20154</v>
      </c>
      <c r="O54" s="11">
        <v>796603</v>
      </c>
      <c r="P54" s="8">
        <v>0</v>
      </c>
      <c r="Q54" s="11">
        <v>0</v>
      </c>
      <c r="R54" s="8">
        <f t="shared" si="53"/>
        <v>1487837</v>
      </c>
      <c r="S54" s="11">
        <f t="shared" si="38"/>
        <v>59747016</v>
      </c>
      <c r="T54" s="2" t="s">
        <v>58</v>
      </c>
      <c r="AC54" s="2" t="s">
        <v>9</v>
      </c>
      <c r="AD54" s="2">
        <v>2021</v>
      </c>
      <c r="AE54" s="1">
        <f t="shared" si="39"/>
        <v>330705</v>
      </c>
      <c r="AF54" s="11">
        <f t="shared" si="40"/>
        <v>13519258</v>
      </c>
      <c r="AG54" s="1">
        <f t="shared" si="41"/>
        <v>1117704</v>
      </c>
      <c r="AH54" s="11">
        <f t="shared" si="42"/>
        <v>44678213</v>
      </c>
      <c r="AI54" s="8">
        <f t="shared" si="43"/>
        <v>19274</v>
      </c>
      <c r="AJ54" s="11">
        <f t="shared" si="44"/>
        <v>752942</v>
      </c>
      <c r="AK54" s="8">
        <f t="shared" si="45"/>
        <v>20154</v>
      </c>
      <c r="AL54" s="11">
        <f t="shared" si="46"/>
        <v>796603</v>
      </c>
      <c r="AM54" s="8">
        <f t="shared" si="47"/>
        <v>0</v>
      </c>
      <c r="AN54" s="11">
        <f t="shared" si="48"/>
        <v>0</v>
      </c>
      <c r="AO54" s="8">
        <f t="shared" si="54"/>
        <v>1487837</v>
      </c>
      <c r="AP54" s="11">
        <f t="shared" si="49"/>
        <v>59747016</v>
      </c>
      <c r="AQ54" s="2" t="str">
        <f t="shared" si="50"/>
        <v>SUPERVIA</v>
      </c>
      <c r="AR54" s="37">
        <f t="shared" si="51"/>
        <v>0</v>
      </c>
      <c r="AS54" s="37">
        <f t="shared" si="52"/>
        <v>0</v>
      </c>
    </row>
    <row r="55" spans="2:45" x14ac:dyDescent="0.25">
      <c r="B55" s="2" t="s">
        <v>10</v>
      </c>
      <c r="C55" s="2">
        <v>2021</v>
      </c>
      <c r="D55" s="1">
        <v>169454</v>
      </c>
      <c r="E55" s="11">
        <v>6917603</v>
      </c>
      <c r="F55" s="1">
        <v>150778</v>
      </c>
      <c r="G55" s="11">
        <v>6185143</v>
      </c>
      <c r="H55" s="1">
        <v>15203</v>
      </c>
      <c r="I55" s="11">
        <v>635277</v>
      </c>
      <c r="J55" s="1">
        <v>1149838</v>
      </c>
      <c r="K55" s="11">
        <v>46144248</v>
      </c>
      <c r="L55" s="8">
        <v>17728</v>
      </c>
      <c r="M55" s="11">
        <v>694691</v>
      </c>
      <c r="N55" s="8">
        <v>20361</v>
      </c>
      <c r="O55" s="11">
        <v>811861</v>
      </c>
      <c r="P55" s="8">
        <v>0</v>
      </c>
      <c r="Q55" s="11">
        <v>0</v>
      </c>
      <c r="R55" s="8">
        <f t="shared" si="53"/>
        <v>1523362</v>
      </c>
      <c r="S55" s="11">
        <f t="shared" si="38"/>
        <v>61388823</v>
      </c>
      <c r="T55" s="2" t="s">
        <v>58</v>
      </c>
      <c r="AC55" s="2" t="s">
        <v>10</v>
      </c>
      <c r="AD55" s="2">
        <v>2021</v>
      </c>
      <c r="AE55" s="1">
        <f t="shared" si="39"/>
        <v>335435</v>
      </c>
      <c r="AF55" s="11">
        <f t="shared" si="40"/>
        <v>13738023</v>
      </c>
      <c r="AG55" s="1">
        <f t="shared" si="41"/>
        <v>1149838</v>
      </c>
      <c r="AH55" s="11">
        <f t="shared" si="42"/>
        <v>46144248</v>
      </c>
      <c r="AI55" s="8">
        <f t="shared" si="43"/>
        <v>17728</v>
      </c>
      <c r="AJ55" s="11">
        <f t="shared" si="44"/>
        <v>694691</v>
      </c>
      <c r="AK55" s="8">
        <f t="shared" si="45"/>
        <v>20361</v>
      </c>
      <c r="AL55" s="11">
        <f t="shared" si="46"/>
        <v>811861</v>
      </c>
      <c r="AM55" s="8">
        <f t="shared" si="47"/>
        <v>0</v>
      </c>
      <c r="AN55" s="11">
        <f t="shared" si="48"/>
        <v>0</v>
      </c>
      <c r="AO55" s="8">
        <f t="shared" si="54"/>
        <v>1523362</v>
      </c>
      <c r="AP55" s="11">
        <f t="shared" si="49"/>
        <v>61388823</v>
      </c>
      <c r="AQ55" s="2" t="str">
        <f t="shared" si="50"/>
        <v>SUPERVIA</v>
      </c>
      <c r="AR55" s="37">
        <f t="shared" si="51"/>
        <v>0</v>
      </c>
      <c r="AS55" s="37">
        <f t="shared" si="52"/>
        <v>0</v>
      </c>
    </row>
    <row r="56" spans="2:45" x14ac:dyDescent="0.25">
      <c r="B56" s="2" t="s">
        <v>11</v>
      </c>
      <c r="C56" s="2">
        <v>2021</v>
      </c>
      <c r="D56" s="1">
        <v>169044</v>
      </c>
      <c r="E56" s="11">
        <v>6871451</v>
      </c>
      <c r="F56" s="1">
        <v>145318</v>
      </c>
      <c r="G56" s="11">
        <v>5946987</v>
      </c>
      <c r="H56" s="1">
        <v>15319</v>
      </c>
      <c r="I56" s="11">
        <v>638877</v>
      </c>
      <c r="J56" s="1">
        <v>1094225</v>
      </c>
      <c r="K56" s="11">
        <v>43827408</v>
      </c>
      <c r="L56" s="8">
        <v>16147</v>
      </c>
      <c r="M56" s="11">
        <v>630703</v>
      </c>
      <c r="N56" s="8">
        <v>20554</v>
      </c>
      <c r="O56" s="11">
        <v>815479</v>
      </c>
      <c r="P56" s="8">
        <v>0</v>
      </c>
      <c r="Q56" s="11">
        <v>0</v>
      </c>
      <c r="R56" s="8">
        <f t="shared" si="53"/>
        <v>1460607</v>
      </c>
      <c r="S56" s="11">
        <f t="shared" si="38"/>
        <v>58730905</v>
      </c>
      <c r="T56" s="2" t="s">
        <v>58</v>
      </c>
      <c r="AC56" s="2" t="s">
        <v>11</v>
      </c>
      <c r="AD56" s="2">
        <v>2021</v>
      </c>
      <c r="AE56" s="1">
        <f t="shared" si="39"/>
        <v>329681</v>
      </c>
      <c r="AF56" s="11">
        <f t="shared" si="40"/>
        <v>13457315</v>
      </c>
      <c r="AG56" s="1">
        <f t="shared" si="41"/>
        <v>1094225</v>
      </c>
      <c r="AH56" s="11">
        <f t="shared" si="42"/>
        <v>43827408</v>
      </c>
      <c r="AI56" s="8">
        <f t="shared" si="43"/>
        <v>16147</v>
      </c>
      <c r="AJ56" s="11">
        <f t="shared" si="44"/>
        <v>630703</v>
      </c>
      <c r="AK56" s="8">
        <f t="shared" si="45"/>
        <v>20554</v>
      </c>
      <c r="AL56" s="11">
        <f t="shared" si="46"/>
        <v>815479</v>
      </c>
      <c r="AM56" s="8">
        <f t="shared" si="47"/>
        <v>0</v>
      </c>
      <c r="AN56" s="11">
        <f t="shared" si="48"/>
        <v>0</v>
      </c>
      <c r="AO56" s="8">
        <f t="shared" si="54"/>
        <v>1460607</v>
      </c>
      <c r="AP56" s="11">
        <f t="shared" si="49"/>
        <v>58730905</v>
      </c>
      <c r="AQ56" s="2" t="str">
        <f t="shared" si="50"/>
        <v>SUPERVIA</v>
      </c>
      <c r="AR56" s="37">
        <f t="shared" si="51"/>
        <v>0</v>
      </c>
      <c r="AS56" s="37">
        <f t="shared" si="52"/>
        <v>0</v>
      </c>
    </row>
    <row r="57" spans="2:45" x14ac:dyDescent="0.25">
      <c r="B57" s="2" t="s">
        <v>4</v>
      </c>
      <c r="C57" s="2">
        <v>2021</v>
      </c>
      <c r="D57" s="1">
        <v>172898</v>
      </c>
      <c r="E57" s="11">
        <v>7036059</v>
      </c>
      <c r="F57" s="1">
        <v>151207</v>
      </c>
      <c r="G57" s="11">
        <v>6191111</v>
      </c>
      <c r="H57" s="1">
        <v>16571</v>
      </c>
      <c r="I57" s="11">
        <v>690285</v>
      </c>
      <c r="J57" s="1">
        <v>1156440</v>
      </c>
      <c r="K57" s="11">
        <v>46267085</v>
      </c>
      <c r="L57" s="8">
        <v>16668</v>
      </c>
      <c r="M57" s="11">
        <v>649414</v>
      </c>
      <c r="N57" s="8">
        <v>20793</v>
      </c>
      <c r="O57" s="11">
        <v>825479</v>
      </c>
      <c r="P57" s="8">
        <v>0</v>
      </c>
      <c r="Q57" s="11">
        <v>0</v>
      </c>
      <c r="R57" s="47">
        <f t="shared" si="53"/>
        <v>1534577</v>
      </c>
      <c r="S57" s="48">
        <f t="shared" si="38"/>
        <v>61659433</v>
      </c>
      <c r="T57" s="2" t="s">
        <v>58</v>
      </c>
      <c r="AC57" s="2" t="s">
        <v>4</v>
      </c>
      <c r="AD57" s="2">
        <v>2021</v>
      </c>
      <c r="AE57" s="1">
        <f t="shared" si="39"/>
        <v>340676</v>
      </c>
      <c r="AF57" s="11">
        <f t="shared" si="40"/>
        <v>13917455</v>
      </c>
      <c r="AG57" s="1">
        <f t="shared" si="41"/>
        <v>1156440</v>
      </c>
      <c r="AH57" s="11">
        <f t="shared" si="42"/>
        <v>46267085</v>
      </c>
      <c r="AI57" s="8">
        <f t="shared" si="43"/>
        <v>16668</v>
      </c>
      <c r="AJ57" s="11">
        <f t="shared" si="44"/>
        <v>649414</v>
      </c>
      <c r="AK57" s="8">
        <f t="shared" si="45"/>
        <v>20793</v>
      </c>
      <c r="AL57" s="11">
        <f t="shared" si="46"/>
        <v>825479</v>
      </c>
      <c r="AM57" s="8">
        <f t="shared" si="47"/>
        <v>0</v>
      </c>
      <c r="AN57" s="11">
        <f t="shared" si="48"/>
        <v>0</v>
      </c>
      <c r="AO57" s="8">
        <f t="shared" si="54"/>
        <v>1534577</v>
      </c>
      <c r="AP57" s="11">
        <f t="shared" si="49"/>
        <v>61659433</v>
      </c>
      <c r="AQ57" s="2" t="str">
        <f t="shared" si="50"/>
        <v>SUPERVIA</v>
      </c>
      <c r="AR57" s="37">
        <f t="shared" si="51"/>
        <v>0</v>
      </c>
      <c r="AS57" s="37">
        <f t="shared" si="52"/>
        <v>0</v>
      </c>
    </row>
    <row r="58" spans="2:45" x14ac:dyDescent="0.25">
      <c r="B58" s="2" t="s">
        <v>28</v>
      </c>
      <c r="C58" s="2">
        <v>2021</v>
      </c>
      <c r="D58" s="1">
        <v>188937</v>
      </c>
      <c r="E58" s="11">
        <v>7690145</v>
      </c>
      <c r="F58" s="1">
        <v>165107</v>
      </c>
      <c r="G58" s="11">
        <v>6731873</v>
      </c>
      <c r="H58" s="1">
        <v>17709</v>
      </c>
      <c r="I58" s="11">
        <v>728846</v>
      </c>
      <c r="J58" s="1">
        <v>1258714</v>
      </c>
      <c r="K58" s="11">
        <v>50315758</v>
      </c>
      <c r="L58" s="8">
        <v>16656</v>
      </c>
      <c r="M58" s="11">
        <v>650697</v>
      </c>
      <c r="N58" s="8">
        <v>23098</v>
      </c>
      <c r="O58" s="11">
        <v>918473</v>
      </c>
      <c r="P58" s="8">
        <v>0</v>
      </c>
      <c r="Q58" s="11">
        <v>0</v>
      </c>
      <c r="R58" s="47">
        <f t="shared" si="53"/>
        <v>1670221</v>
      </c>
      <c r="S58" s="48">
        <f t="shared" si="38"/>
        <v>67035792</v>
      </c>
      <c r="T58" s="2" t="s">
        <v>58</v>
      </c>
      <c r="AC58" s="2" t="s">
        <v>28</v>
      </c>
      <c r="AD58" s="2">
        <v>2021</v>
      </c>
      <c r="AE58" s="1">
        <f t="shared" si="39"/>
        <v>371753</v>
      </c>
      <c r="AF58" s="11">
        <f t="shared" si="40"/>
        <v>15150864</v>
      </c>
      <c r="AG58" s="1">
        <f t="shared" si="41"/>
        <v>1258714</v>
      </c>
      <c r="AH58" s="11">
        <f t="shared" si="42"/>
        <v>50315758</v>
      </c>
      <c r="AI58" s="8">
        <f t="shared" si="43"/>
        <v>16656</v>
      </c>
      <c r="AJ58" s="11">
        <f t="shared" si="44"/>
        <v>650697</v>
      </c>
      <c r="AK58" s="8">
        <f t="shared" si="45"/>
        <v>23098</v>
      </c>
      <c r="AL58" s="11">
        <f t="shared" si="46"/>
        <v>918473</v>
      </c>
      <c r="AM58" s="8">
        <f t="shared" si="47"/>
        <v>0</v>
      </c>
      <c r="AN58" s="11">
        <f t="shared" si="48"/>
        <v>0</v>
      </c>
      <c r="AO58" s="8">
        <f t="shared" si="54"/>
        <v>1670221</v>
      </c>
      <c r="AP58" s="11">
        <f t="shared" si="49"/>
        <v>67035792</v>
      </c>
      <c r="AQ58" s="2" t="str">
        <f t="shared" si="50"/>
        <v>SUPERVIA</v>
      </c>
      <c r="AR58" s="37">
        <f t="shared" si="51"/>
        <v>0</v>
      </c>
      <c r="AS58" s="37">
        <f t="shared" si="52"/>
        <v>0</v>
      </c>
    </row>
    <row r="59" spans="2:45" x14ac:dyDescent="0.25">
      <c r="B59" s="2" t="s">
        <v>29</v>
      </c>
      <c r="C59" s="2">
        <v>2021</v>
      </c>
      <c r="D59" s="1">
        <v>212645</v>
      </c>
      <c r="E59" s="11">
        <v>8630139</v>
      </c>
      <c r="F59" s="1">
        <v>186060</v>
      </c>
      <c r="G59" s="11">
        <v>7586702</v>
      </c>
      <c r="H59" s="1">
        <v>18421</v>
      </c>
      <c r="I59" s="11">
        <v>757073</v>
      </c>
      <c r="J59" s="1">
        <v>1428087</v>
      </c>
      <c r="K59" s="11">
        <v>56979734</v>
      </c>
      <c r="L59" s="8">
        <v>18362</v>
      </c>
      <c r="M59" s="11">
        <v>715637</v>
      </c>
      <c r="N59" s="8">
        <v>27390</v>
      </c>
      <c r="O59" s="11">
        <v>1083389</v>
      </c>
      <c r="P59" s="8">
        <v>0</v>
      </c>
      <c r="Q59" s="11">
        <v>0</v>
      </c>
      <c r="R59" s="47">
        <f t="shared" si="53"/>
        <v>1890965</v>
      </c>
      <c r="S59" s="48">
        <f t="shared" si="38"/>
        <v>75752674</v>
      </c>
      <c r="T59" s="2" t="s">
        <v>58</v>
      </c>
      <c r="AC59" s="2" t="s">
        <v>29</v>
      </c>
      <c r="AD59" s="2">
        <v>2021</v>
      </c>
      <c r="AE59" s="1">
        <f t="shared" si="39"/>
        <v>417126</v>
      </c>
      <c r="AF59" s="11">
        <f t="shared" si="40"/>
        <v>16973914</v>
      </c>
      <c r="AG59" s="1">
        <f t="shared" si="41"/>
        <v>1428087</v>
      </c>
      <c r="AH59" s="11">
        <f t="shared" si="42"/>
        <v>56979734</v>
      </c>
      <c r="AI59" s="8">
        <f t="shared" si="43"/>
        <v>18362</v>
      </c>
      <c r="AJ59" s="11">
        <f t="shared" si="44"/>
        <v>715637</v>
      </c>
      <c r="AK59" s="8">
        <f t="shared" si="45"/>
        <v>27390</v>
      </c>
      <c r="AL59" s="11">
        <f t="shared" si="46"/>
        <v>1083389</v>
      </c>
      <c r="AM59" s="8">
        <f t="shared" si="47"/>
        <v>0</v>
      </c>
      <c r="AN59" s="11">
        <f t="shared" si="48"/>
        <v>0</v>
      </c>
      <c r="AO59" s="8">
        <f t="shared" si="54"/>
        <v>1890965</v>
      </c>
      <c r="AP59" s="11">
        <f t="shared" si="49"/>
        <v>75752674</v>
      </c>
      <c r="AQ59" s="2" t="str">
        <f t="shared" si="50"/>
        <v>SUPERVIA</v>
      </c>
      <c r="AR59" s="37">
        <f t="shared" si="51"/>
        <v>0</v>
      </c>
      <c r="AS59" s="37">
        <f t="shared" si="52"/>
        <v>0</v>
      </c>
    </row>
    <row r="60" spans="2:45" x14ac:dyDescent="0.25">
      <c r="B60" s="2" t="s">
        <v>30</v>
      </c>
      <c r="C60" s="2">
        <v>2021</v>
      </c>
      <c r="D60" s="1">
        <v>211668</v>
      </c>
      <c r="E60" s="11">
        <v>8595122</v>
      </c>
      <c r="F60" s="1">
        <v>183302</v>
      </c>
      <c r="G60" s="11">
        <v>7483670</v>
      </c>
      <c r="H60" s="1">
        <v>17288</v>
      </c>
      <c r="I60" s="11">
        <v>711576</v>
      </c>
      <c r="J60" s="1">
        <v>1445583</v>
      </c>
      <c r="K60" s="11">
        <v>57673606</v>
      </c>
      <c r="L60" s="8">
        <v>17422</v>
      </c>
      <c r="M60" s="11">
        <v>683926</v>
      </c>
      <c r="N60" s="8">
        <v>28396</v>
      </c>
      <c r="O60" s="11">
        <v>1121545</v>
      </c>
      <c r="P60" s="8">
        <v>0</v>
      </c>
      <c r="Q60" s="11">
        <v>0</v>
      </c>
      <c r="R60" s="47">
        <f t="shared" si="53"/>
        <v>1903659</v>
      </c>
      <c r="S60" s="48">
        <f t="shared" si="38"/>
        <v>76269445</v>
      </c>
      <c r="T60" s="2" t="s">
        <v>58</v>
      </c>
      <c r="AC60" s="2" t="s">
        <v>30</v>
      </c>
      <c r="AD60" s="2">
        <v>2021</v>
      </c>
      <c r="AE60" s="1">
        <f t="shared" si="39"/>
        <v>412258</v>
      </c>
      <c r="AF60" s="11">
        <f t="shared" si="40"/>
        <v>16790368</v>
      </c>
      <c r="AG60" s="1">
        <f t="shared" si="41"/>
        <v>1445583</v>
      </c>
      <c r="AH60" s="11">
        <f t="shared" si="42"/>
        <v>57673606</v>
      </c>
      <c r="AI60" s="8">
        <f t="shared" si="43"/>
        <v>17422</v>
      </c>
      <c r="AJ60" s="11">
        <f t="shared" si="44"/>
        <v>683926</v>
      </c>
      <c r="AK60" s="8">
        <f t="shared" si="45"/>
        <v>28396</v>
      </c>
      <c r="AL60" s="11">
        <f t="shared" si="46"/>
        <v>1121545</v>
      </c>
      <c r="AM60" s="8">
        <f t="shared" si="47"/>
        <v>0</v>
      </c>
      <c r="AN60" s="11">
        <f t="shared" si="48"/>
        <v>0</v>
      </c>
      <c r="AO60" s="8">
        <f t="shared" si="54"/>
        <v>1903659</v>
      </c>
      <c r="AP60" s="11">
        <f t="shared" si="49"/>
        <v>76269445</v>
      </c>
      <c r="AQ60" s="2" t="str">
        <f t="shared" si="50"/>
        <v>SUPERVIA</v>
      </c>
      <c r="AR60" s="37">
        <f t="shared" si="51"/>
        <v>0</v>
      </c>
      <c r="AS60" s="37">
        <f t="shared" si="52"/>
        <v>0</v>
      </c>
    </row>
    <row r="61" spans="2:45" x14ac:dyDescent="0.25">
      <c r="B61" s="2" t="s">
        <v>31</v>
      </c>
      <c r="C61" s="2">
        <v>2021</v>
      </c>
      <c r="D61" s="1">
        <v>219955</v>
      </c>
      <c r="E61" s="11">
        <v>8930342</v>
      </c>
      <c r="F61" s="1">
        <v>186940</v>
      </c>
      <c r="G61" s="11">
        <v>7635344</v>
      </c>
      <c r="H61" s="1">
        <v>14767</v>
      </c>
      <c r="I61" s="11">
        <v>611434</v>
      </c>
      <c r="J61" s="1">
        <v>1473245</v>
      </c>
      <c r="K61" s="11">
        <v>58575574</v>
      </c>
      <c r="L61" s="8">
        <v>17425</v>
      </c>
      <c r="M61" s="11">
        <v>683677</v>
      </c>
      <c r="N61" s="8">
        <v>29504</v>
      </c>
      <c r="O61" s="11">
        <v>1164562</v>
      </c>
      <c r="P61" s="8"/>
      <c r="Q61" s="11"/>
      <c r="R61" s="50">
        <f t="shared" si="53"/>
        <v>1941836</v>
      </c>
      <c r="S61" s="51">
        <f t="shared" si="38"/>
        <v>77600933</v>
      </c>
      <c r="T61" s="2" t="s">
        <v>58</v>
      </c>
      <c r="AC61" s="2" t="s">
        <v>31</v>
      </c>
      <c r="AD61" s="2">
        <v>2021</v>
      </c>
      <c r="AE61" s="1">
        <f t="shared" si="39"/>
        <v>421662</v>
      </c>
      <c r="AF61" s="11">
        <f t="shared" si="40"/>
        <v>17177120</v>
      </c>
      <c r="AG61" s="1">
        <f t="shared" si="41"/>
        <v>1473245</v>
      </c>
      <c r="AH61" s="11">
        <f t="shared" si="42"/>
        <v>58575574</v>
      </c>
      <c r="AI61" s="8">
        <f t="shared" si="43"/>
        <v>17425</v>
      </c>
      <c r="AJ61" s="11">
        <f t="shared" si="44"/>
        <v>683677</v>
      </c>
      <c r="AK61" s="8">
        <f t="shared" si="45"/>
        <v>29504</v>
      </c>
      <c r="AL61" s="11">
        <f t="shared" si="46"/>
        <v>1164562</v>
      </c>
      <c r="AM61" s="8">
        <f t="shared" si="47"/>
        <v>0</v>
      </c>
      <c r="AN61" s="11">
        <f t="shared" si="48"/>
        <v>0</v>
      </c>
      <c r="AO61" s="8">
        <f t="shared" si="54"/>
        <v>1941836</v>
      </c>
      <c r="AP61" s="11">
        <f t="shared" si="49"/>
        <v>77600933</v>
      </c>
      <c r="AQ61" s="2" t="str">
        <f t="shared" si="50"/>
        <v>SUPERVIA</v>
      </c>
      <c r="AR61" s="37">
        <f t="shared" si="51"/>
        <v>0</v>
      </c>
      <c r="AS61" s="37">
        <f t="shared" si="52"/>
        <v>0</v>
      </c>
    </row>
    <row r="62" spans="2:45" x14ac:dyDescent="0.25">
      <c r="AF62" s="9"/>
      <c r="AH62" s="9"/>
      <c r="AJ62" s="9"/>
      <c r="AL62" s="9"/>
      <c r="AM62" s="9"/>
      <c r="AN62" s="9"/>
      <c r="AP62" s="9"/>
    </row>
    <row r="63" spans="2:45" x14ac:dyDescent="0.25">
      <c r="B63" s="3" t="s">
        <v>12</v>
      </c>
      <c r="C63" s="3"/>
      <c r="D63" s="4">
        <f t="shared" ref="D63:S63" si="55">SUM(D50:D62)</f>
        <v>2023826</v>
      </c>
      <c r="E63" s="12">
        <f t="shared" si="55"/>
        <v>82269253</v>
      </c>
      <c r="F63" s="4">
        <f t="shared" si="55"/>
        <v>1758455</v>
      </c>
      <c r="G63" s="12">
        <f t="shared" si="55"/>
        <v>71834514</v>
      </c>
      <c r="H63" s="4">
        <f t="shared" si="55"/>
        <v>174755</v>
      </c>
      <c r="I63" s="12">
        <f t="shared" si="55"/>
        <v>7259081</v>
      </c>
      <c r="J63" s="4">
        <f t="shared" si="55"/>
        <v>13544072</v>
      </c>
      <c r="K63" s="12">
        <f t="shared" si="55"/>
        <v>540569988</v>
      </c>
      <c r="L63" s="4">
        <f t="shared" si="55"/>
        <v>211867</v>
      </c>
      <c r="M63" s="12">
        <f>SUM(M50:M62)</f>
        <v>8273219</v>
      </c>
      <c r="N63" s="4">
        <f t="shared" si="55"/>
        <v>250995</v>
      </c>
      <c r="O63" s="12">
        <f t="shared" si="55"/>
        <v>9932325</v>
      </c>
      <c r="P63" s="4">
        <f t="shared" si="55"/>
        <v>0</v>
      </c>
      <c r="Q63" s="12">
        <f t="shared" si="55"/>
        <v>0</v>
      </c>
      <c r="R63" s="4">
        <f t="shared" si="55"/>
        <v>17963970</v>
      </c>
      <c r="S63" s="12">
        <f t="shared" si="55"/>
        <v>720138380</v>
      </c>
      <c r="AC63" s="3" t="s">
        <v>12</v>
      </c>
      <c r="AD63" s="3"/>
      <c r="AE63" s="4">
        <f t="shared" ref="AE63:AP63" si="56">SUM(AE50:AE62)</f>
        <v>3957036</v>
      </c>
      <c r="AF63" s="12">
        <f t="shared" si="56"/>
        <v>161362848</v>
      </c>
      <c r="AG63" s="4">
        <f t="shared" si="56"/>
        <v>13544072</v>
      </c>
      <c r="AH63" s="12">
        <f t="shared" si="56"/>
        <v>540569988</v>
      </c>
      <c r="AI63" s="4">
        <f t="shared" si="56"/>
        <v>211867</v>
      </c>
      <c r="AJ63" s="12">
        <f t="shared" si="56"/>
        <v>8273219</v>
      </c>
      <c r="AK63" s="4">
        <f t="shared" si="56"/>
        <v>250995</v>
      </c>
      <c r="AL63" s="12">
        <f t="shared" si="56"/>
        <v>9932325</v>
      </c>
      <c r="AM63" s="4">
        <f t="shared" si="56"/>
        <v>0</v>
      </c>
      <c r="AN63" s="12">
        <f t="shared" si="56"/>
        <v>0</v>
      </c>
      <c r="AO63" s="4">
        <f t="shared" si="56"/>
        <v>17963970</v>
      </c>
      <c r="AP63" s="12">
        <f t="shared" si="56"/>
        <v>720138380</v>
      </c>
    </row>
    <row r="64" spans="2:45" x14ac:dyDescent="0.25">
      <c r="J64" s="46" t="str">
        <f>+$B$45</f>
        <v>Aforo e Ingreso - SUPERVIA</v>
      </c>
      <c r="K64" s="9" t="s">
        <v>84</v>
      </c>
      <c r="L64" s="15">
        <f>AVERAGE(L50:L61)</f>
        <v>17655.583333333332</v>
      </c>
      <c r="M64" s="28">
        <f>AVERAGE(M50:M61)</f>
        <v>689434.91666666663</v>
      </c>
      <c r="R64" s="15">
        <f>AVERAGE(R50:R61)</f>
        <v>1496997.5</v>
      </c>
      <c r="S64" s="28">
        <f>AVERAGE(S50:S61)</f>
        <v>60011531.666666664</v>
      </c>
    </row>
    <row r="65" spans="1:45" x14ac:dyDescent="0.25">
      <c r="B65" s="5" t="s">
        <v>14</v>
      </c>
      <c r="J65" s="46" t="str">
        <f>+$B$45</f>
        <v>Aforo e Ingreso - SUPERVIA</v>
      </c>
      <c r="K65" s="9" t="s">
        <v>85</v>
      </c>
      <c r="L65" s="44">
        <f>+L64/$L$295</f>
        <v>5.7599021724384761E-2</v>
      </c>
      <c r="M65" s="44">
        <f>+M64/$M$295</f>
        <v>1.7948372066804153E-2</v>
      </c>
      <c r="R65" s="44">
        <f>+L64/R64</f>
        <v>1.179399653862704E-2</v>
      </c>
      <c r="S65" s="44">
        <f>+M64/S64</f>
        <v>1.1488373942796939E-2</v>
      </c>
    </row>
    <row r="66" spans="1:45" x14ac:dyDescent="0.25">
      <c r="B66" s="5" t="s">
        <v>22</v>
      </c>
      <c r="L66" s="26"/>
      <c r="M66" s="26"/>
    </row>
    <row r="67" spans="1:45" x14ac:dyDescent="0.25">
      <c r="B67" s="5"/>
    </row>
    <row r="68" spans="1:45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12</v>
      </c>
      <c r="S68" s="93"/>
      <c r="AE68" s="89" t="s">
        <v>69</v>
      </c>
      <c r="AF68" s="90"/>
      <c r="AG68" s="89" t="s">
        <v>17</v>
      </c>
      <c r="AH68" s="93"/>
      <c r="AI68" s="89" t="s">
        <v>18</v>
      </c>
      <c r="AJ68" s="93"/>
      <c r="AK68" s="89" t="s">
        <v>13</v>
      </c>
      <c r="AL68" s="93"/>
      <c r="AM68" s="89" t="s">
        <v>34</v>
      </c>
      <c r="AN68" s="93"/>
      <c r="AO68" s="89" t="s">
        <v>12</v>
      </c>
      <c r="AP68" s="93"/>
    </row>
    <row r="69" spans="1:4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X69" s="33">
        <v>2020</v>
      </c>
      <c r="Y69" s="34">
        <v>0.59698861253989666</v>
      </c>
      <c r="Z69" s="33">
        <v>2020</v>
      </c>
      <c r="AA69" s="35">
        <v>6.8982595145095872E-3</v>
      </c>
      <c r="AC69" s="7" t="s">
        <v>0</v>
      </c>
      <c r="AD69" s="7" t="s">
        <v>1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</row>
    <row r="70" spans="1:45" x14ac:dyDescent="0.25">
      <c r="AF70" s="9"/>
      <c r="AH70" s="9"/>
      <c r="AJ70" s="9"/>
      <c r="AL70" s="9"/>
      <c r="AM70" s="9"/>
      <c r="AN70" s="9"/>
      <c r="AP70" s="9"/>
    </row>
    <row r="71" spans="1:45" x14ac:dyDescent="0.25">
      <c r="B71" s="2" t="s">
        <v>5</v>
      </c>
      <c r="C71" s="2">
        <v>2021</v>
      </c>
      <c r="D71" s="1">
        <v>287765</v>
      </c>
      <c r="E71" s="11">
        <v>15509637</v>
      </c>
      <c r="F71" s="1">
        <v>161826</v>
      </c>
      <c r="G71" s="11">
        <v>9066150</v>
      </c>
      <c r="H71" s="1">
        <v>43736</v>
      </c>
      <c r="I71" s="11">
        <v>2452749</v>
      </c>
      <c r="J71" s="1">
        <v>1718275</v>
      </c>
      <c r="K71" s="11">
        <v>165091939</v>
      </c>
      <c r="L71" s="8">
        <v>202821</v>
      </c>
      <c r="M71" s="11">
        <v>23953495</v>
      </c>
      <c r="N71" s="8">
        <v>50787</v>
      </c>
      <c r="O71" s="11">
        <v>5414961</v>
      </c>
      <c r="P71" s="8">
        <v>0</v>
      </c>
      <c r="Q71" s="11">
        <v>0</v>
      </c>
      <c r="R71" s="8">
        <f>N71+L71+J71+H71+D71+P71+F71</f>
        <v>2465210</v>
      </c>
      <c r="S71" s="11">
        <f t="shared" ref="S71:S82" si="57">O71+M71+K71+I71+E71+Q71+G71</f>
        <v>221488931</v>
      </c>
      <c r="T71" s="2" t="s">
        <v>59</v>
      </c>
      <c r="X71" s="30">
        <v>1031704.14</v>
      </c>
      <c r="Y71" s="30">
        <f t="shared" ref="Y71:Y82" si="58">+X71/J71</f>
        <v>0.60043016397258875</v>
      </c>
      <c r="Z71" s="31">
        <v>1117307.6300000001</v>
      </c>
      <c r="AA71" s="32">
        <f t="shared" ref="AA71:AA82" si="59">+Z71/K71</f>
        <v>6.7677903401449548E-3</v>
      </c>
      <c r="AC71" s="2" t="s">
        <v>5</v>
      </c>
      <c r="AD71" s="2">
        <v>2021</v>
      </c>
      <c r="AE71" s="1">
        <f t="shared" ref="AE71:AE82" si="60">D71+H71+F71</f>
        <v>493327</v>
      </c>
      <c r="AF71" s="11">
        <f t="shared" ref="AF71:AF82" si="61">E71+I71+G71</f>
        <v>27028536</v>
      </c>
      <c r="AG71" s="1">
        <f t="shared" ref="AG71:AG82" si="62">+J71</f>
        <v>1718275</v>
      </c>
      <c r="AH71" s="11">
        <f t="shared" ref="AH71:AH82" si="63">+K71</f>
        <v>165091939</v>
      </c>
      <c r="AI71" s="8">
        <f t="shared" ref="AI71:AI82" si="64">+L71</f>
        <v>202821</v>
      </c>
      <c r="AJ71" s="11">
        <f t="shared" ref="AJ71:AJ82" si="65">+M71</f>
        <v>23953495</v>
      </c>
      <c r="AK71" s="8">
        <f t="shared" ref="AK71:AK82" si="66">+N71</f>
        <v>50787</v>
      </c>
      <c r="AL71" s="11">
        <f t="shared" ref="AL71:AL82" si="67">+O71</f>
        <v>5414961</v>
      </c>
      <c r="AM71" s="8">
        <f t="shared" ref="AM71:AM82" si="68">+P71</f>
        <v>0</v>
      </c>
      <c r="AN71" s="11">
        <f t="shared" ref="AN71:AN82" si="69">+Q71</f>
        <v>0</v>
      </c>
      <c r="AO71" s="8">
        <f>AM71+AK71+AI71+AG71+AE71</f>
        <v>2465210</v>
      </c>
      <c r="AP71" s="11">
        <f t="shared" ref="AP71:AP82" si="70">AN71+AL71+AJ71+AH71+AF71</f>
        <v>221488931</v>
      </c>
      <c r="AQ71" s="2" t="str">
        <f t="shared" ref="AQ71:AQ82" si="71">+T71</f>
        <v>CONMEX</v>
      </c>
      <c r="AR71" s="37">
        <f t="shared" ref="AR71:AR82" si="72">+AO71-R71</f>
        <v>0</v>
      </c>
      <c r="AS71" s="37">
        <f t="shared" ref="AS71:AS82" si="73">+AP71-S71</f>
        <v>0</v>
      </c>
    </row>
    <row r="72" spans="1:45" x14ac:dyDescent="0.25">
      <c r="B72" s="2" t="s">
        <v>6</v>
      </c>
      <c r="C72" s="2">
        <v>2021</v>
      </c>
      <c r="D72" s="1">
        <v>289692</v>
      </c>
      <c r="E72" s="11">
        <v>16830995</v>
      </c>
      <c r="F72" s="1">
        <v>160127</v>
      </c>
      <c r="G72" s="11">
        <v>9889538</v>
      </c>
      <c r="H72" s="1">
        <v>43589</v>
      </c>
      <c r="I72" s="11">
        <v>2771627</v>
      </c>
      <c r="J72" s="1">
        <v>1688678</v>
      </c>
      <c r="K72" s="11">
        <v>187447461</v>
      </c>
      <c r="L72" s="8">
        <v>188408</v>
      </c>
      <c r="M72" s="11">
        <v>26383679</v>
      </c>
      <c r="N72" s="8">
        <v>52485</v>
      </c>
      <c r="O72" s="11">
        <v>6823161</v>
      </c>
      <c r="P72" s="8">
        <v>0</v>
      </c>
      <c r="Q72" s="11">
        <v>0</v>
      </c>
      <c r="R72" s="8">
        <f>N72+L72+J72+H72+D72+P72+F72</f>
        <v>2422979</v>
      </c>
      <c r="S72" s="11">
        <f t="shared" si="57"/>
        <v>250146461</v>
      </c>
      <c r="T72" s="2" t="s">
        <v>59</v>
      </c>
      <c r="X72" s="30">
        <v>1021949.8800000001</v>
      </c>
      <c r="Y72" s="30">
        <f t="shared" si="58"/>
        <v>0.60517747018673784</v>
      </c>
      <c r="Z72" s="31">
        <v>1295106.8250000002</v>
      </c>
      <c r="AA72" s="32">
        <f t="shared" si="59"/>
        <v>6.9091724053813681E-3</v>
      </c>
      <c r="AC72" s="2" t="s">
        <v>6</v>
      </c>
      <c r="AD72" s="2">
        <v>2021</v>
      </c>
      <c r="AE72" s="1">
        <f t="shared" si="60"/>
        <v>493408</v>
      </c>
      <c r="AF72" s="11">
        <f t="shared" si="61"/>
        <v>29492160</v>
      </c>
      <c r="AG72" s="1">
        <f t="shared" si="62"/>
        <v>1688678</v>
      </c>
      <c r="AH72" s="11">
        <f t="shared" si="63"/>
        <v>187447461</v>
      </c>
      <c r="AI72" s="8">
        <f t="shared" si="64"/>
        <v>188408</v>
      </c>
      <c r="AJ72" s="11">
        <f t="shared" si="65"/>
        <v>26383679</v>
      </c>
      <c r="AK72" s="8">
        <f t="shared" si="66"/>
        <v>52485</v>
      </c>
      <c r="AL72" s="11">
        <f t="shared" si="67"/>
        <v>6823161</v>
      </c>
      <c r="AM72" s="8">
        <f t="shared" si="68"/>
        <v>0</v>
      </c>
      <c r="AN72" s="11">
        <f t="shared" si="69"/>
        <v>0</v>
      </c>
      <c r="AO72" s="8">
        <f t="shared" ref="AO72:AO82" si="74">AM72+AK72+AI72+AG72+AE72</f>
        <v>2422979</v>
      </c>
      <c r="AP72" s="11">
        <f t="shared" si="70"/>
        <v>250146461</v>
      </c>
      <c r="AQ72" s="2" t="str">
        <f t="shared" si="71"/>
        <v>CONMEX</v>
      </c>
      <c r="AR72" s="37">
        <f t="shared" si="72"/>
        <v>0</v>
      </c>
      <c r="AS72" s="37">
        <f t="shared" si="73"/>
        <v>0</v>
      </c>
    </row>
    <row r="73" spans="1:45" x14ac:dyDescent="0.25">
      <c r="B73" s="2" t="s">
        <v>7</v>
      </c>
      <c r="C73" s="2">
        <v>2021</v>
      </c>
      <c r="D73" s="1">
        <v>332269</v>
      </c>
      <c r="E73" s="11">
        <v>19718986</v>
      </c>
      <c r="F73" s="1">
        <v>192391</v>
      </c>
      <c r="G73" s="11">
        <v>11692358</v>
      </c>
      <c r="H73" s="1">
        <v>46822</v>
      </c>
      <c r="I73" s="11">
        <v>3129370</v>
      </c>
      <c r="J73" s="1">
        <v>1989462</v>
      </c>
      <c r="K73" s="11">
        <v>220644657</v>
      </c>
      <c r="L73" s="8">
        <v>210649</v>
      </c>
      <c r="M73" s="11">
        <v>29723704</v>
      </c>
      <c r="N73" s="8">
        <v>63997</v>
      </c>
      <c r="O73" s="11">
        <v>8191834</v>
      </c>
      <c r="P73" s="8">
        <v>0</v>
      </c>
      <c r="Q73" s="11">
        <v>0</v>
      </c>
      <c r="R73" s="8">
        <f t="shared" ref="R73:R82" si="75">N73+L73+J73+H73+D73+P73+F73</f>
        <v>2835590</v>
      </c>
      <c r="S73" s="11">
        <f t="shared" si="57"/>
        <v>293100909</v>
      </c>
      <c r="T73" s="2" t="s">
        <v>59</v>
      </c>
      <c r="X73" s="30">
        <v>1197002.53</v>
      </c>
      <c r="Y73" s="30">
        <f t="shared" si="58"/>
        <v>0.60167147198589366</v>
      </c>
      <c r="Z73" s="31">
        <v>1545031.1675</v>
      </c>
      <c r="AA73" s="32">
        <f t="shared" si="59"/>
        <v>7.0023502427253425E-3</v>
      </c>
      <c r="AC73" s="2" t="s">
        <v>7</v>
      </c>
      <c r="AD73" s="2">
        <v>2021</v>
      </c>
      <c r="AE73" s="1">
        <f t="shared" si="60"/>
        <v>571482</v>
      </c>
      <c r="AF73" s="11">
        <f t="shared" si="61"/>
        <v>34540714</v>
      </c>
      <c r="AG73" s="1">
        <f t="shared" si="62"/>
        <v>1989462</v>
      </c>
      <c r="AH73" s="11">
        <f t="shared" si="63"/>
        <v>220644657</v>
      </c>
      <c r="AI73" s="8">
        <f t="shared" si="64"/>
        <v>210649</v>
      </c>
      <c r="AJ73" s="11">
        <f t="shared" si="65"/>
        <v>29723704</v>
      </c>
      <c r="AK73" s="8">
        <f t="shared" si="66"/>
        <v>63997</v>
      </c>
      <c r="AL73" s="11">
        <f t="shared" si="67"/>
        <v>8191834</v>
      </c>
      <c r="AM73" s="8">
        <f t="shared" si="68"/>
        <v>0</v>
      </c>
      <c r="AN73" s="11">
        <f t="shared" si="69"/>
        <v>0</v>
      </c>
      <c r="AO73" s="8">
        <f t="shared" si="74"/>
        <v>2835590</v>
      </c>
      <c r="AP73" s="11">
        <f t="shared" si="70"/>
        <v>293100909</v>
      </c>
      <c r="AQ73" s="2" t="str">
        <f t="shared" si="71"/>
        <v>CONMEX</v>
      </c>
      <c r="AR73" s="37">
        <f t="shared" si="72"/>
        <v>0</v>
      </c>
      <c r="AS73" s="37">
        <f t="shared" si="73"/>
        <v>0</v>
      </c>
    </row>
    <row r="74" spans="1:45" x14ac:dyDescent="0.25">
      <c r="B74" s="2" t="s">
        <v>8</v>
      </c>
      <c r="C74" s="2">
        <v>2021</v>
      </c>
      <c r="D74" s="1">
        <v>308434</v>
      </c>
      <c r="E74" s="11">
        <v>18264999</v>
      </c>
      <c r="F74" s="1">
        <v>181888</v>
      </c>
      <c r="G74" s="11">
        <v>11324983</v>
      </c>
      <c r="H74" s="1">
        <v>49511</v>
      </c>
      <c r="I74" s="11">
        <v>3291121</v>
      </c>
      <c r="J74" s="1">
        <v>1869262</v>
      </c>
      <c r="K74" s="11">
        <v>208174071</v>
      </c>
      <c r="L74" s="8">
        <v>133415</v>
      </c>
      <c r="M74" s="11">
        <v>18904885</v>
      </c>
      <c r="N74" s="8">
        <v>73360</v>
      </c>
      <c r="O74" s="11">
        <v>9670589</v>
      </c>
      <c r="P74" s="8">
        <v>0</v>
      </c>
      <c r="Q74" s="11">
        <v>0</v>
      </c>
      <c r="R74" s="8">
        <f t="shared" si="75"/>
        <v>2615870</v>
      </c>
      <c r="S74" s="11">
        <f t="shared" si="57"/>
        <v>269630648</v>
      </c>
      <c r="T74" s="2" t="s">
        <v>59</v>
      </c>
      <c r="X74" s="30">
        <v>1125418.1299999999</v>
      </c>
      <c r="Y74" s="30">
        <f t="shared" si="58"/>
        <v>0.60206548359726986</v>
      </c>
      <c r="Z74" s="31">
        <v>1460428.1950000001</v>
      </c>
      <c r="AA74" s="32">
        <f t="shared" si="59"/>
        <v>7.0154183370896373E-3</v>
      </c>
      <c r="AC74" s="2" t="s">
        <v>8</v>
      </c>
      <c r="AD74" s="2">
        <v>2021</v>
      </c>
      <c r="AE74" s="1">
        <f t="shared" si="60"/>
        <v>539833</v>
      </c>
      <c r="AF74" s="11">
        <f t="shared" si="61"/>
        <v>32881103</v>
      </c>
      <c r="AG74" s="1">
        <f t="shared" si="62"/>
        <v>1869262</v>
      </c>
      <c r="AH74" s="11">
        <f t="shared" si="63"/>
        <v>208174071</v>
      </c>
      <c r="AI74" s="8">
        <f t="shared" si="64"/>
        <v>133415</v>
      </c>
      <c r="AJ74" s="11">
        <f t="shared" si="65"/>
        <v>18904885</v>
      </c>
      <c r="AK74" s="8">
        <f t="shared" si="66"/>
        <v>73360</v>
      </c>
      <c r="AL74" s="11">
        <f t="shared" si="67"/>
        <v>9670589</v>
      </c>
      <c r="AM74" s="8">
        <f t="shared" si="68"/>
        <v>0</v>
      </c>
      <c r="AN74" s="11">
        <f t="shared" si="69"/>
        <v>0</v>
      </c>
      <c r="AO74" s="8">
        <f t="shared" si="74"/>
        <v>2615870</v>
      </c>
      <c r="AP74" s="11">
        <f t="shared" si="70"/>
        <v>269630648</v>
      </c>
      <c r="AQ74" s="2" t="str">
        <f t="shared" si="71"/>
        <v>CONMEX</v>
      </c>
      <c r="AR74" s="37">
        <f t="shared" si="72"/>
        <v>0</v>
      </c>
      <c r="AS74" s="37">
        <f t="shared" si="73"/>
        <v>0</v>
      </c>
    </row>
    <row r="75" spans="1:45" x14ac:dyDescent="0.25">
      <c r="B75" s="2" t="s">
        <v>9</v>
      </c>
      <c r="C75" s="2">
        <v>2021</v>
      </c>
      <c r="D75" s="1">
        <v>343237</v>
      </c>
      <c r="E75" s="11">
        <v>20099646</v>
      </c>
      <c r="F75" s="1">
        <v>191318</v>
      </c>
      <c r="G75" s="11">
        <v>11724393</v>
      </c>
      <c r="H75" s="1">
        <v>56137</v>
      </c>
      <c r="I75" s="11">
        <v>3765196</v>
      </c>
      <c r="J75" s="1">
        <v>2025462</v>
      </c>
      <c r="K75" s="11">
        <v>222856039</v>
      </c>
      <c r="L75" s="8">
        <v>136046</v>
      </c>
      <c r="M75" s="11">
        <v>19251470</v>
      </c>
      <c r="N75" s="8">
        <v>72850</v>
      </c>
      <c r="O75" s="11">
        <v>9283149</v>
      </c>
      <c r="P75" s="8">
        <v>0</v>
      </c>
      <c r="Q75" s="11">
        <v>0</v>
      </c>
      <c r="R75" s="8">
        <f t="shared" si="75"/>
        <v>2825050</v>
      </c>
      <c r="S75" s="11">
        <f t="shared" si="57"/>
        <v>286979893</v>
      </c>
      <c r="T75" s="2" t="s">
        <v>59</v>
      </c>
      <c r="X75" s="30">
        <v>1220155.72</v>
      </c>
      <c r="Y75" s="30">
        <f t="shared" si="58"/>
        <v>0.60240859616225828</v>
      </c>
      <c r="Z75" s="31">
        <v>1541680.5499999998</v>
      </c>
      <c r="AA75" s="32">
        <f t="shared" si="59"/>
        <v>6.9178316051825717E-3</v>
      </c>
      <c r="AC75" s="2" t="s">
        <v>9</v>
      </c>
      <c r="AD75" s="2">
        <v>2021</v>
      </c>
      <c r="AE75" s="1">
        <f t="shared" si="60"/>
        <v>590692</v>
      </c>
      <c r="AF75" s="11">
        <f t="shared" si="61"/>
        <v>35589235</v>
      </c>
      <c r="AG75" s="1">
        <f t="shared" si="62"/>
        <v>2025462</v>
      </c>
      <c r="AH75" s="11">
        <f t="shared" si="63"/>
        <v>222856039</v>
      </c>
      <c r="AI75" s="8">
        <f t="shared" si="64"/>
        <v>136046</v>
      </c>
      <c r="AJ75" s="11">
        <f t="shared" si="65"/>
        <v>19251470</v>
      </c>
      <c r="AK75" s="8">
        <f t="shared" si="66"/>
        <v>72850</v>
      </c>
      <c r="AL75" s="11">
        <f t="shared" si="67"/>
        <v>9283149</v>
      </c>
      <c r="AM75" s="8">
        <f t="shared" si="68"/>
        <v>0</v>
      </c>
      <c r="AN75" s="11">
        <f t="shared" si="69"/>
        <v>0</v>
      </c>
      <c r="AO75" s="8">
        <f t="shared" si="74"/>
        <v>2825050</v>
      </c>
      <c r="AP75" s="11">
        <f t="shared" si="70"/>
        <v>286979893</v>
      </c>
      <c r="AQ75" s="2" t="str">
        <f t="shared" si="71"/>
        <v>CONMEX</v>
      </c>
      <c r="AR75" s="37">
        <f t="shared" si="72"/>
        <v>0</v>
      </c>
      <c r="AS75" s="37">
        <f t="shared" si="73"/>
        <v>0</v>
      </c>
    </row>
    <row r="76" spans="1:45" x14ac:dyDescent="0.25">
      <c r="B76" s="2" t="s">
        <v>10</v>
      </c>
      <c r="C76" s="2">
        <v>2021</v>
      </c>
      <c r="D76" s="1">
        <v>347630</v>
      </c>
      <c r="E76" s="11">
        <v>20471615</v>
      </c>
      <c r="F76" s="1">
        <v>176114</v>
      </c>
      <c r="G76" s="11">
        <v>10959558</v>
      </c>
      <c r="H76" s="1">
        <v>53751</v>
      </c>
      <c r="I76" s="11">
        <v>3648346</v>
      </c>
      <c r="J76" s="1">
        <v>2055570</v>
      </c>
      <c r="K76" s="11">
        <v>226244241</v>
      </c>
      <c r="L76" s="8">
        <v>129228</v>
      </c>
      <c r="M76" s="11">
        <v>18490368</v>
      </c>
      <c r="N76" s="8">
        <v>76153</v>
      </c>
      <c r="O76" s="11">
        <v>9628014</v>
      </c>
      <c r="P76" s="8">
        <v>0</v>
      </c>
      <c r="Q76" s="11">
        <v>0</v>
      </c>
      <c r="R76" s="8">
        <f t="shared" si="75"/>
        <v>2838446</v>
      </c>
      <c r="S76" s="11">
        <f t="shared" si="57"/>
        <v>289442142</v>
      </c>
      <c r="T76" s="2" t="s">
        <v>59</v>
      </c>
      <c r="X76" s="30">
        <v>1239748.92</v>
      </c>
      <c r="Y76" s="30">
        <f t="shared" si="58"/>
        <v>0.60311685809775384</v>
      </c>
      <c r="Z76" s="31">
        <v>1574253.2424999997</v>
      </c>
      <c r="AA76" s="32">
        <f t="shared" si="59"/>
        <v>6.95820249630133E-3</v>
      </c>
      <c r="AC76" s="2" t="s">
        <v>10</v>
      </c>
      <c r="AD76" s="2">
        <v>2021</v>
      </c>
      <c r="AE76" s="1">
        <f t="shared" si="60"/>
        <v>577495</v>
      </c>
      <c r="AF76" s="11">
        <f t="shared" si="61"/>
        <v>35079519</v>
      </c>
      <c r="AG76" s="1">
        <f t="shared" si="62"/>
        <v>2055570</v>
      </c>
      <c r="AH76" s="11">
        <f t="shared" si="63"/>
        <v>226244241</v>
      </c>
      <c r="AI76" s="8">
        <f t="shared" si="64"/>
        <v>129228</v>
      </c>
      <c r="AJ76" s="11">
        <f t="shared" si="65"/>
        <v>18490368</v>
      </c>
      <c r="AK76" s="8">
        <f t="shared" si="66"/>
        <v>76153</v>
      </c>
      <c r="AL76" s="11">
        <f t="shared" si="67"/>
        <v>9628014</v>
      </c>
      <c r="AM76" s="8">
        <f t="shared" si="68"/>
        <v>0</v>
      </c>
      <c r="AN76" s="11">
        <f t="shared" si="69"/>
        <v>0</v>
      </c>
      <c r="AO76" s="8">
        <f t="shared" si="74"/>
        <v>2838446</v>
      </c>
      <c r="AP76" s="11">
        <f t="shared" si="70"/>
        <v>289442142</v>
      </c>
      <c r="AQ76" s="2" t="str">
        <f t="shared" si="71"/>
        <v>CONMEX</v>
      </c>
      <c r="AR76" s="37">
        <f t="shared" si="72"/>
        <v>0</v>
      </c>
      <c r="AS76" s="37">
        <f t="shared" si="73"/>
        <v>0</v>
      </c>
    </row>
    <row r="77" spans="1:45" x14ac:dyDescent="0.25">
      <c r="B77" s="2" t="s">
        <v>11</v>
      </c>
      <c r="C77" s="2">
        <v>2021</v>
      </c>
      <c r="D77" s="1">
        <v>356117</v>
      </c>
      <c r="E77" s="11">
        <v>21426514</v>
      </c>
      <c r="F77" s="1">
        <v>178170</v>
      </c>
      <c r="G77" s="11">
        <v>11019050</v>
      </c>
      <c r="H77" s="1">
        <v>52273</v>
      </c>
      <c r="I77" s="11">
        <v>3489877</v>
      </c>
      <c r="J77" s="1">
        <v>2105559</v>
      </c>
      <c r="K77" s="11">
        <v>232891055</v>
      </c>
      <c r="L77" s="8">
        <v>129133</v>
      </c>
      <c r="M77" s="11">
        <v>18802259</v>
      </c>
      <c r="N77" s="8">
        <v>78587</v>
      </c>
      <c r="O77" s="11">
        <v>10004650</v>
      </c>
      <c r="P77" s="8">
        <v>0</v>
      </c>
      <c r="Q77" s="11">
        <v>0</v>
      </c>
      <c r="R77" s="8">
        <f t="shared" si="75"/>
        <v>2899839</v>
      </c>
      <c r="S77" s="11">
        <f t="shared" si="57"/>
        <v>297633405</v>
      </c>
      <c r="T77" s="2" t="s">
        <v>59</v>
      </c>
      <c r="X77" s="30">
        <v>1272447.29</v>
      </c>
      <c r="Y77" s="30">
        <f t="shared" si="58"/>
        <v>0.60432753962249453</v>
      </c>
      <c r="Z77" s="31">
        <v>1616453.09</v>
      </c>
      <c r="AA77" s="32">
        <f t="shared" si="59"/>
        <v>6.9408122609088616E-3</v>
      </c>
      <c r="AC77" s="2" t="s">
        <v>11</v>
      </c>
      <c r="AD77" s="2">
        <v>2021</v>
      </c>
      <c r="AE77" s="1">
        <f t="shared" si="60"/>
        <v>586560</v>
      </c>
      <c r="AF77" s="11">
        <f t="shared" si="61"/>
        <v>35935441</v>
      </c>
      <c r="AG77" s="1">
        <f t="shared" si="62"/>
        <v>2105559</v>
      </c>
      <c r="AH77" s="11">
        <f t="shared" si="63"/>
        <v>232891055</v>
      </c>
      <c r="AI77" s="8">
        <f t="shared" si="64"/>
        <v>129133</v>
      </c>
      <c r="AJ77" s="11">
        <f t="shared" si="65"/>
        <v>18802259</v>
      </c>
      <c r="AK77" s="8">
        <f t="shared" si="66"/>
        <v>78587</v>
      </c>
      <c r="AL77" s="11">
        <f t="shared" si="67"/>
        <v>10004650</v>
      </c>
      <c r="AM77" s="8">
        <f t="shared" si="68"/>
        <v>0</v>
      </c>
      <c r="AN77" s="11">
        <f t="shared" si="69"/>
        <v>0</v>
      </c>
      <c r="AO77" s="8">
        <f t="shared" si="74"/>
        <v>2899839</v>
      </c>
      <c r="AP77" s="11">
        <f t="shared" si="70"/>
        <v>297633405</v>
      </c>
      <c r="AQ77" s="2" t="str">
        <f t="shared" si="71"/>
        <v>CONMEX</v>
      </c>
      <c r="AR77" s="37">
        <f t="shared" si="72"/>
        <v>0</v>
      </c>
      <c r="AS77" s="37">
        <f t="shared" si="73"/>
        <v>0</v>
      </c>
    </row>
    <row r="78" spans="1:45" x14ac:dyDescent="0.25">
      <c r="B78" s="2" t="s">
        <v>4</v>
      </c>
      <c r="C78" s="2">
        <v>2021</v>
      </c>
      <c r="D78" s="1">
        <v>351949</v>
      </c>
      <c r="E78" s="11">
        <v>21404873</v>
      </c>
      <c r="F78" s="1">
        <v>173322</v>
      </c>
      <c r="G78" s="11">
        <v>10711548</v>
      </c>
      <c r="H78" s="1">
        <v>56204</v>
      </c>
      <c r="I78" s="11">
        <v>3904035</v>
      </c>
      <c r="J78" s="1">
        <v>2061695</v>
      </c>
      <c r="K78" s="11">
        <v>228274037</v>
      </c>
      <c r="L78" s="8">
        <v>121773</v>
      </c>
      <c r="M78" s="11">
        <v>17874963</v>
      </c>
      <c r="N78" s="8">
        <v>80115</v>
      </c>
      <c r="O78" s="11">
        <v>10137073</v>
      </c>
      <c r="P78" s="8">
        <v>0</v>
      </c>
      <c r="Q78" s="11">
        <v>0</v>
      </c>
      <c r="R78" s="47">
        <f t="shared" si="75"/>
        <v>2845058</v>
      </c>
      <c r="S78" s="48">
        <f t="shared" si="57"/>
        <v>292306529</v>
      </c>
      <c r="T78" s="2" t="s">
        <v>59</v>
      </c>
      <c r="X78" s="30">
        <v>1242958.01</v>
      </c>
      <c r="Y78" s="30">
        <f t="shared" si="58"/>
        <v>0.60288161439980215</v>
      </c>
      <c r="Z78" s="31">
        <v>1577334.5599999998</v>
      </c>
      <c r="AA78" s="32">
        <f t="shared" si="59"/>
        <v>6.9098289964530648E-3</v>
      </c>
      <c r="AC78" s="2" t="s">
        <v>4</v>
      </c>
      <c r="AD78" s="2">
        <v>2021</v>
      </c>
      <c r="AE78" s="1">
        <f t="shared" si="60"/>
        <v>581475</v>
      </c>
      <c r="AF78" s="11">
        <f t="shared" si="61"/>
        <v>36020456</v>
      </c>
      <c r="AG78" s="1">
        <f t="shared" si="62"/>
        <v>2061695</v>
      </c>
      <c r="AH78" s="11">
        <f t="shared" si="63"/>
        <v>228274037</v>
      </c>
      <c r="AI78" s="8">
        <f t="shared" si="64"/>
        <v>121773</v>
      </c>
      <c r="AJ78" s="11">
        <f t="shared" si="65"/>
        <v>17874963</v>
      </c>
      <c r="AK78" s="8">
        <f t="shared" si="66"/>
        <v>80115</v>
      </c>
      <c r="AL78" s="11">
        <f t="shared" si="67"/>
        <v>10137073</v>
      </c>
      <c r="AM78" s="8">
        <f t="shared" si="68"/>
        <v>0</v>
      </c>
      <c r="AN78" s="11">
        <f t="shared" si="69"/>
        <v>0</v>
      </c>
      <c r="AO78" s="8">
        <f t="shared" si="74"/>
        <v>2845058</v>
      </c>
      <c r="AP78" s="11">
        <f t="shared" si="70"/>
        <v>292306529</v>
      </c>
      <c r="AQ78" s="2" t="str">
        <f t="shared" si="71"/>
        <v>CONMEX</v>
      </c>
      <c r="AR78" s="37">
        <f t="shared" si="72"/>
        <v>0</v>
      </c>
      <c r="AS78" s="37">
        <f t="shared" si="73"/>
        <v>0</v>
      </c>
    </row>
    <row r="79" spans="1:45" x14ac:dyDescent="0.25">
      <c r="B79" s="2" t="s">
        <v>28</v>
      </c>
      <c r="C79" s="2">
        <v>2021</v>
      </c>
      <c r="D79" s="1">
        <v>328807</v>
      </c>
      <c r="E79" s="11">
        <v>19986241</v>
      </c>
      <c r="F79" s="1">
        <v>170021</v>
      </c>
      <c r="G79" s="11">
        <v>10713495</v>
      </c>
      <c r="H79" s="1">
        <v>53028</v>
      </c>
      <c r="I79" s="11">
        <v>3728746</v>
      </c>
      <c r="J79" s="1">
        <v>1975326</v>
      </c>
      <c r="K79" s="11">
        <v>218230677</v>
      </c>
      <c r="L79" s="8">
        <v>108923</v>
      </c>
      <c r="M79" s="11">
        <v>15927467</v>
      </c>
      <c r="N79" s="8">
        <v>76532</v>
      </c>
      <c r="O79" s="11">
        <v>9562366</v>
      </c>
      <c r="P79" s="8">
        <v>0</v>
      </c>
      <c r="Q79" s="11">
        <v>0</v>
      </c>
      <c r="R79" s="47">
        <f t="shared" si="75"/>
        <v>2712637</v>
      </c>
      <c r="S79" s="48">
        <f t="shared" si="57"/>
        <v>278148992</v>
      </c>
      <c r="T79" s="2" t="s">
        <v>59</v>
      </c>
      <c r="X79" s="30">
        <v>1209528.6200000001</v>
      </c>
      <c r="Y79" s="30">
        <f t="shared" si="58"/>
        <v>0.61231848312632964</v>
      </c>
      <c r="Z79" s="31">
        <v>1467546.4849999999</v>
      </c>
      <c r="AA79" s="32">
        <f t="shared" si="59"/>
        <v>6.7247488078864357E-3</v>
      </c>
      <c r="AC79" s="2" t="s">
        <v>28</v>
      </c>
      <c r="AD79" s="2">
        <v>2021</v>
      </c>
      <c r="AE79" s="1">
        <f t="shared" si="60"/>
        <v>551856</v>
      </c>
      <c r="AF79" s="11">
        <f t="shared" si="61"/>
        <v>34428482</v>
      </c>
      <c r="AG79" s="1">
        <f t="shared" si="62"/>
        <v>1975326</v>
      </c>
      <c r="AH79" s="11">
        <f t="shared" si="63"/>
        <v>218230677</v>
      </c>
      <c r="AI79" s="8">
        <f t="shared" si="64"/>
        <v>108923</v>
      </c>
      <c r="AJ79" s="11">
        <f t="shared" si="65"/>
        <v>15927467</v>
      </c>
      <c r="AK79" s="8">
        <f t="shared" si="66"/>
        <v>76532</v>
      </c>
      <c r="AL79" s="11">
        <f t="shared" si="67"/>
        <v>9562366</v>
      </c>
      <c r="AM79" s="8">
        <f t="shared" si="68"/>
        <v>0</v>
      </c>
      <c r="AN79" s="11">
        <f t="shared" si="69"/>
        <v>0</v>
      </c>
      <c r="AO79" s="8">
        <f t="shared" si="74"/>
        <v>2712637</v>
      </c>
      <c r="AP79" s="11">
        <f t="shared" si="70"/>
        <v>278148992</v>
      </c>
      <c r="AQ79" s="2" t="str">
        <f t="shared" si="71"/>
        <v>CONMEX</v>
      </c>
      <c r="AR79" s="37">
        <f t="shared" si="72"/>
        <v>0</v>
      </c>
      <c r="AS79" s="37">
        <f t="shared" si="73"/>
        <v>0</v>
      </c>
    </row>
    <row r="80" spans="1:45" x14ac:dyDescent="0.25">
      <c r="B80" s="2" t="s">
        <v>29</v>
      </c>
      <c r="C80" s="2">
        <v>2021</v>
      </c>
      <c r="D80" s="1">
        <v>370564</v>
      </c>
      <c r="E80" s="11">
        <v>22309441</v>
      </c>
      <c r="F80" s="1">
        <v>189364</v>
      </c>
      <c r="G80" s="11">
        <v>11773777</v>
      </c>
      <c r="H80" s="1">
        <v>55360</v>
      </c>
      <c r="I80" s="11">
        <v>3966743</v>
      </c>
      <c r="J80" s="1">
        <v>2190050</v>
      </c>
      <c r="K80" s="11">
        <v>241660743</v>
      </c>
      <c r="L80" s="8">
        <v>121648</v>
      </c>
      <c r="M80" s="11">
        <v>17981311</v>
      </c>
      <c r="N80" s="8">
        <v>86077</v>
      </c>
      <c r="O80" s="11">
        <v>10852478</v>
      </c>
      <c r="P80" s="8">
        <v>0</v>
      </c>
      <c r="Q80" s="11">
        <v>0</v>
      </c>
      <c r="R80" s="47">
        <f t="shared" si="75"/>
        <v>3013063</v>
      </c>
      <c r="S80" s="48">
        <f t="shared" si="57"/>
        <v>308544493</v>
      </c>
      <c r="T80" s="2" t="s">
        <v>59</v>
      </c>
      <c r="X80" s="30">
        <v>1323372.21</v>
      </c>
      <c r="Y80" s="30">
        <f t="shared" si="58"/>
        <v>0.60426575192347209</v>
      </c>
      <c r="Z80" s="31">
        <v>1659376.075</v>
      </c>
      <c r="AA80" s="32">
        <f t="shared" si="59"/>
        <v>6.8665520696507996E-3</v>
      </c>
      <c r="AC80" s="2" t="s">
        <v>29</v>
      </c>
      <c r="AD80" s="2">
        <v>2021</v>
      </c>
      <c r="AE80" s="1">
        <f t="shared" si="60"/>
        <v>615288</v>
      </c>
      <c r="AF80" s="11">
        <f t="shared" si="61"/>
        <v>38049961</v>
      </c>
      <c r="AG80" s="1">
        <f t="shared" si="62"/>
        <v>2190050</v>
      </c>
      <c r="AH80" s="11">
        <f t="shared" si="63"/>
        <v>241660743</v>
      </c>
      <c r="AI80" s="8">
        <f t="shared" si="64"/>
        <v>121648</v>
      </c>
      <c r="AJ80" s="11">
        <f t="shared" si="65"/>
        <v>17981311</v>
      </c>
      <c r="AK80" s="8">
        <f t="shared" si="66"/>
        <v>86077</v>
      </c>
      <c r="AL80" s="11">
        <f t="shared" si="67"/>
        <v>10852478</v>
      </c>
      <c r="AM80" s="8">
        <f t="shared" si="68"/>
        <v>0</v>
      </c>
      <c r="AN80" s="11">
        <f t="shared" si="69"/>
        <v>0</v>
      </c>
      <c r="AO80" s="8">
        <f t="shared" si="74"/>
        <v>3013063</v>
      </c>
      <c r="AP80" s="11">
        <f t="shared" si="70"/>
        <v>308544493</v>
      </c>
      <c r="AQ80" s="2" t="str">
        <f t="shared" si="71"/>
        <v>CONMEX</v>
      </c>
      <c r="AR80" s="37">
        <f t="shared" si="72"/>
        <v>0</v>
      </c>
      <c r="AS80" s="37">
        <f t="shared" si="73"/>
        <v>0</v>
      </c>
    </row>
    <row r="81" spans="1:45" x14ac:dyDescent="0.25">
      <c r="B81" s="2" t="s">
        <v>30</v>
      </c>
      <c r="C81" s="2">
        <v>2021</v>
      </c>
      <c r="D81" s="1">
        <v>370508</v>
      </c>
      <c r="E81" s="11">
        <v>22283403</v>
      </c>
      <c r="F81" s="1">
        <v>188124</v>
      </c>
      <c r="G81" s="11">
        <v>11757387</v>
      </c>
      <c r="H81" s="1">
        <v>51168</v>
      </c>
      <c r="I81" s="11">
        <v>3917811</v>
      </c>
      <c r="J81" s="1">
        <v>2189485</v>
      </c>
      <c r="K81" s="11">
        <v>238394607</v>
      </c>
      <c r="L81" s="8">
        <v>117533</v>
      </c>
      <c r="M81" s="11">
        <v>17672614</v>
      </c>
      <c r="N81" s="8">
        <v>88131</v>
      </c>
      <c r="O81" s="11">
        <v>10993460</v>
      </c>
      <c r="P81" s="8">
        <v>0</v>
      </c>
      <c r="Q81" s="11">
        <v>0</v>
      </c>
      <c r="R81" s="47">
        <f t="shared" si="75"/>
        <v>3004949</v>
      </c>
      <c r="S81" s="48">
        <f t="shared" si="57"/>
        <v>305019282</v>
      </c>
      <c r="T81" s="2" t="s">
        <v>59</v>
      </c>
      <c r="X81" s="30">
        <v>1324130.1499999999</v>
      </c>
      <c r="Y81" s="30">
        <f t="shared" si="58"/>
        <v>0.60476785636804997</v>
      </c>
      <c r="Z81" s="31">
        <v>1624293.7100000002</v>
      </c>
      <c r="AA81" s="32">
        <f t="shared" si="59"/>
        <v>6.8134666737658216E-3</v>
      </c>
      <c r="AC81" s="2" t="s">
        <v>30</v>
      </c>
      <c r="AD81" s="2">
        <v>2021</v>
      </c>
      <c r="AE81" s="1">
        <f t="shared" si="60"/>
        <v>609800</v>
      </c>
      <c r="AF81" s="11">
        <f t="shared" si="61"/>
        <v>37958601</v>
      </c>
      <c r="AG81" s="1">
        <f t="shared" si="62"/>
        <v>2189485</v>
      </c>
      <c r="AH81" s="11">
        <f t="shared" si="63"/>
        <v>238394607</v>
      </c>
      <c r="AI81" s="8">
        <f t="shared" si="64"/>
        <v>117533</v>
      </c>
      <c r="AJ81" s="11">
        <f t="shared" si="65"/>
        <v>17672614</v>
      </c>
      <c r="AK81" s="8">
        <f t="shared" si="66"/>
        <v>88131</v>
      </c>
      <c r="AL81" s="11">
        <f t="shared" si="67"/>
        <v>10993460</v>
      </c>
      <c r="AM81" s="8">
        <f t="shared" si="68"/>
        <v>0</v>
      </c>
      <c r="AN81" s="11">
        <f t="shared" si="69"/>
        <v>0</v>
      </c>
      <c r="AO81" s="8">
        <f t="shared" si="74"/>
        <v>3004949</v>
      </c>
      <c r="AP81" s="11">
        <f t="shared" si="70"/>
        <v>305019282</v>
      </c>
      <c r="AQ81" s="2" t="str">
        <f t="shared" si="71"/>
        <v>CONMEX</v>
      </c>
      <c r="AR81" s="37">
        <f t="shared" si="72"/>
        <v>0</v>
      </c>
      <c r="AS81" s="37">
        <f t="shared" si="73"/>
        <v>0</v>
      </c>
    </row>
    <row r="82" spans="1:45" x14ac:dyDescent="0.25">
      <c r="B82" s="2" t="s">
        <v>31</v>
      </c>
      <c r="C82" s="2">
        <v>2021</v>
      </c>
      <c r="D82" s="1">
        <v>397684</v>
      </c>
      <c r="E82" s="11">
        <v>23712115</v>
      </c>
      <c r="F82" s="1">
        <v>202042</v>
      </c>
      <c r="G82" s="11">
        <v>12332822</v>
      </c>
      <c r="H82" s="1">
        <v>52748</v>
      </c>
      <c r="I82" s="11">
        <v>4193480</v>
      </c>
      <c r="J82" s="1">
        <v>2326404</v>
      </c>
      <c r="K82" s="11">
        <v>247615239</v>
      </c>
      <c r="L82" s="8">
        <v>122970</v>
      </c>
      <c r="M82" s="11">
        <v>18818071</v>
      </c>
      <c r="N82" s="8">
        <v>93560</v>
      </c>
      <c r="O82" s="11">
        <v>11358292</v>
      </c>
      <c r="P82" s="8">
        <v>0</v>
      </c>
      <c r="Q82" s="11">
        <v>0</v>
      </c>
      <c r="R82" s="50">
        <f t="shared" si="75"/>
        <v>3195408</v>
      </c>
      <c r="S82" s="51">
        <f t="shared" si="57"/>
        <v>318030019</v>
      </c>
      <c r="T82" s="2" t="s">
        <v>59</v>
      </c>
      <c r="X82" s="30">
        <v>1401217.4000000001</v>
      </c>
      <c r="Y82" s="30">
        <f t="shared" si="58"/>
        <v>0.60231043275372642</v>
      </c>
      <c r="Z82" s="31">
        <v>1684749.0449999999</v>
      </c>
      <c r="AA82" s="32">
        <f t="shared" si="59"/>
        <v>6.8038988706991491E-3</v>
      </c>
      <c r="AC82" s="2" t="s">
        <v>31</v>
      </c>
      <c r="AD82" s="2">
        <v>2021</v>
      </c>
      <c r="AE82" s="1">
        <f t="shared" si="60"/>
        <v>652474</v>
      </c>
      <c r="AF82" s="11">
        <f t="shared" si="61"/>
        <v>40238417</v>
      </c>
      <c r="AG82" s="1">
        <f t="shared" si="62"/>
        <v>2326404</v>
      </c>
      <c r="AH82" s="11">
        <f t="shared" si="63"/>
        <v>247615239</v>
      </c>
      <c r="AI82" s="8">
        <f t="shared" si="64"/>
        <v>122970</v>
      </c>
      <c r="AJ82" s="11">
        <f t="shared" si="65"/>
        <v>18818071</v>
      </c>
      <c r="AK82" s="8">
        <f t="shared" si="66"/>
        <v>93560</v>
      </c>
      <c r="AL82" s="11">
        <f t="shared" si="67"/>
        <v>11358292</v>
      </c>
      <c r="AM82" s="8">
        <f t="shared" si="68"/>
        <v>0</v>
      </c>
      <c r="AN82" s="11">
        <f t="shared" si="69"/>
        <v>0</v>
      </c>
      <c r="AO82" s="8">
        <f t="shared" si="74"/>
        <v>3195408</v>
      </c>
      <c r="AP82" s="11">
        <f t="shared" si="70"/>
        <v>318030019</v>
      </c>
      <c r="AQ82" s="2" t="str">
        <f t="shared" si="71"/>
        <v>CONMEX</v>
      </c>
      <c r="AR82" s="37">
        <f t="shared" si="72"/>
        <v>0</v>
      </c>
      <c r="AS82" s="37">
        <f t="shared" si="73"/>
        <v>0</v>
      </c>
    </row>
    <row r="83" spans="1:45" x14ac:dyDescent="0.25">
      <c r="AF83" s="9"/>
      <c r="AH83" s="9"/>
      <c r="AJ83" s="9"/>
      <c r="AL83" s="9"/>
      <c r="AM83" s="9"/>
      <c r="AN83" s="9"/>
      <c r="AP83" s="9"/>
    </row>
    <row r="84" spans="1:45" x14ac:dyDescent="0.25">
      <c r="B84" s="3" t="s">
        <v>12</v>
      </c>
      <c r="C84" s="3"/>
      <c r="D84" s="4">
        <f t="shared" ref="D84:S84" si="76">SUM(D71:D83)</f>
        <v>4084656</v>
      </c>
      <c r="E84" s="12">
        <f t="shared" si="76"/>
        <v>242018465</v>
      </c>
      <c r="F84" s="4">
        <f t="shared" si="76"/>
        <v>2164707</v>
      </c>
      <c r="G84" s="12">
        <f t="shared" si="76"/>
        <v>132965059</v>
      </c>
      <c r="H84" s="4">
        <f t="shared" si="76"/>
        <v>614327</v>
      </c>
      <c r="I84" s="12">
        <f t="shared" si="76"/>
        <v>42259101</v>
      </c>
      <c r="J84" s="4">
        <f t="shared" si="76"/>
        <v>24195228</v>
      </c>
      <c r="K84" s="12">
        <f t="shared" si="76"/>
        <v>2637524766</v>
      </c>
      <c r="L84" s="4">
        <f t="shared" si="76"/>
        <v>1722547</v>
      </c>
      <c r="M84" s="12">
        <f t="shared" si="76"/>
        <v>243784286</v>
      </c>
      <c r="N84" s="4">
        <f t="shared" si="76"/>
        <v>892634</v>
      </c>
      <c r="O84" s="12">
        <f t="shared" si="76"/>
        <v>111920027</v>
      </c>
      <c r="P84" s="4">
        <f t="shared" si="76"/>
        <v>0</v>
      </c>
      <c r="Q84" s="12">
        <f t="shared" si="76"/>
        <v>0</v>
      </c>
      <c r="R84" s="4">
        <f t="shared" si="76"/>
        <v>33674099</v>
      </c>
      <c r="S84" s="12">
        <f t="shared" si="76"/>
        <v>3410471704</v>
      </c>
      <c r="X84" s="12">
        <f>AVERAGE(X71:X83)</f>
        <v>1217469.4166666667</v>
      </c>
      <c r="Y84" s="12">
        <f t="shared" ref="Y84:AA84" si="77">AVERAGE(Y71:Y83)</f>
        <v>0.60381181018303132</v>
      </c>
      <c r="Z84" s="12">
        <f t="shared" si="77"/>
        <v>1513630.0479166666</v>
      </c>
      <c r="AA84" s="16">
        <f t="shared" si="77"/>
        <v>6.8858394255157792E-3</v>
      </c>
      <c r="AC84" s="3" t="s">
        <v>12</v>
      </c>
      <c r="AD84" s="3"/>
      <c r="AE84" s="4">
        <f t="shared" ref="AE84:AP84" si="78">SUM(AE71:AE83)</f>
        <v>6863690</v>
      </c>
      <c r="AF84" s="12">
        <f t="shared" si="78"/>
        <v>417242625</v>
      </c>
      <c r="AG84" s="4">
        <f t="shared" si="78"/>
        <v>24195228</v>
      </c>
      <c r="AH84" s="12">
        <f t="shared" si="78"/>
        <v>2637524766</v>
      </c>
      <c r="AI84" s="4">
        <f t="shared" si="78"/>
        <v>1722547</v>
      </c>
      <c r="AJ84" s="12">
        <f t="shared" si="78"/>
        <v>243784286</v>
      </c>
      <c r="AK84" s="4">
        <f t="shared" si="78"/>
        <v>892634</v>
      </c>
      <c r="AL84" s="12">
        <f t="shared" si="78"/>
        <v>111920027</v>
      </c>
      <c r="AM84" s="4">
        <f t="shared" si="78"/>
        <v>0</v>
      </c>
      <c r="AN84" s="12">
        <f t="shared" si="78"/>
        <v>0</v>
      </c>
      <c r="AO84" s="4">
        <f t="shared" si="78"/>
        <v>33674099</v>
      </c>
      <c r="AP84" s="12">
        <f t="shared" si="78"/>
        <v>3410471704</v>
      </c>
    </row>
    <row r="85" spans="1:45" x14ac:dyDescent="0.25">
      <c r="J85" s="46" t="str">
        <f>+$B$66</f>
        <v>Aforo e Ingreso - CONMEX</v>
      </c>
      <c r="K85" s="9" t="s">
        <v>84</v>
      </c>
      <c r="L85" s="15">
        <f>AVERAGE(L71:L82)</f>
        <v>143545.58333333334</v>
      </c>
      <c r="M85" s="28">
        <f>AVERAGE(M71:M82)</f>
        <v>20315357.166666668</v>
      </c>
      <c r="R85" s="15">
        <f>AVERAGE(R71:R82)</f>
        <v>2806174.9166666665</v>
      </c>
      <c r="S85" s="28">
        <f>AVERAGE(S71:S82)</f>
        <v>284205975.33333331</v>
      </c>
    </row>
    <row r="86" spans="1:45" x14ac:dyDescent="0.25">
      <c r="B86" s="5" t="s">
        <v>14</v>
      </c>
      <c r="J86" s="46" t="str">
        <f>+$B$66</f>
        <v>Aforo e Ingreso - CONMEX</v>
      </c>
      <c r="K86" s="9" t="s">
        <v>85</v>
      </c>
      <c r="L86" s="44">
        <f>+L85/$L$295</f>
        <v>0.46829861221555885</v>
      </c>
      <c r="M86" s="44">
        <f>+M85/$M$295</f>
        <v>0.52887891269023524</v>
      </c>
      <c r="R86" s="44">
        <f>+L85/R85</f>
        <v>5.1153469614732681E-2</v>
      </c>
      <c r="S86" s="44">
        <f>+M85/S85</f>
        <v>7.148110500787197E-2</v>
      </c>
    </row>
    <row r="87" spans="1:45" x14ac:dyDescent="0.25">
      <c r="B87" s="5" t="s">
        <v>32</v>
      </c>
      <c r="L87" s="26"/>
      <c r="M87" s="26"/>
    </row>
    <row r="88" spans="1:45" x14ac:dyDescent="0.25">
      <c r="B88" s="5"/>
    </row>
    <row r="89" spans="1:45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12</v>
      </c>
      <c r="S89" s="93"/>
      <c r="AE89" s="89" t="s">
        <v>69</v>
      </c>
      <c r="AF89" s="90"/>
      <c r="AG89" s="89" t="s">
        <v>17</v>
      </c>
      <c r="AH89" s="93"/>
      <c r="AI89" s="89" t="s">
        <v>18</v>
      </c>
      <c r="AJ89" s="93"/>
      <c r="AK89" s="89" t="s">
        <v>13</v>
      </c>
      <c r="AL89" s="93"/>
      <c r="AM89" s="89" t="s">
        <v>34</v>
      </c>
      <c r="AN89" s="93"/>
      <c r="AO89" s="89" t="s">
        <v>12</v>
      </c>
      <c r="AP89" s="93"/>
    </row>
    <row r="90" spans="1:4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X90" s="33">
        <v>2020</v>
      </c>
      <c r="Y90" s="34">
        <v>0.63400168227815346</v>
      </c>
      <c r="Z90" s="33">
        <v>2020</v>
      </c>
      <c r="AA90" s="35">
        <v>7.5372420580406925E-3</v>
      </c>
      <c r="AC90" s="7" t="s">
        <v>0</v>
      </c>
      <c r="AD90" s="7" t="s">
        <v>1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</row>
    <row r="91" spans="1:45" x14ac:dyDescent="0.25">
      <c r="AF91" s="9"/>
      <c r="AH91" s="9"/>
      <c r="AJ91" s="9"/>
      <c r="AL91" s="9"/>
      <c r="AM91" s="9"/>
      <c r="AN91" s="9"/>
      <c r="AP91" s="9"/>
    </row>
    <row r="92" spans="1:45" x14ac:dyDescent="0.25">
      <c r="B92" s="2" t="s">
        <v>5</v>
      </c>
      <c r="C92" s="2">
        <v>2021</v>
      </c>
      <c r="D92" s="1">
        <v>9749</v>
      </c>
      <c r="E92" s="11">
        <v>938039</v>
      </c>
      <c r="F92" s="1">
        <v>4833</v>
      </c>
      <c r="G92" s="11">
        <v>824906</v>
      </c>
      <c r="H92" s="1">
        <v>1107</v>
      </c>
      <c r="I92" s="11">
        <v>219828</v>
      </c>
      <c r="J92" s="1">
        <v>181587</v>
      </c>
      <c r="K92" s="11">
        <v>32151590</v>
      </c>
      <c r="L92" s="8">
        <v>24013</v>
      </c>
      <c r="M92" s="11">
        <v>5152132</v>
      </c>
      <c r="N92" s="8">
        <v>7007</v>
      </c>
      <c r="O92" s="11">
        <v>1067477</v>
      </c>
      <c r="P92" s="8">
        <v>0</v>
      </c>
      <c r="Q92" s="11">
        <v>0</v>
      </c>
      <c r="R92" s="8">
        <f>N92+L92+J92+H92+D92+P92+F92</f>
        <v>228296</v>
      </c>
      <c r="S92" s="11">
        <f t="shared" ref="S92:S103" si="79">O92+M92+K92+I92+E92+Q92+G92</f>
        <v>40353972</v>
      </c>
      <c r="T92" s="2" t="s">
        <v>60</v>
      </c>
      <c r="X92" s="30">
        <v>114214.28</v>
      </c>
      <c r="Y92" s="30">
        <f t="shared" ref="Y92:Y103" si="80">+X92/J92</f>
        <v>0.62897828589050975</v>
      </c>
      <c r="Z92" s="31">
        <v>244771.48750000002</v>
      </c>
      <c r="AA92" s="32">
        <f t="shared" ref="AA92:AA103" si="81">+Z92/K92</f>
        <v>7.6130445648255659E-3</v>
      </c>
      <c r="AB92" s="13"/>
      <c r="AC92" s="2" t="s">
        <v>5</v>
      </c>
      <c r="AD92" s="2">
        <v>2021</v>
      </c>
      <c r="AE92" s="1">
        <f t="shared" ref="AE92:AE103" si="82">D92+H92+F92</f>
        <v>15689</v>
      </c>
      <c r="AF92" s="11">
        <f t="shared" ref="AF92:AF103" si="83">E92+I92+G92</f>
        <v>1982773</v>
      </c>
      <c r="AG92" s="1">
        <f t="shared" ref="AG92:AG103" si="84">+J92</f>
        <v>181587</v>
      </c>
      <c r="AH92" s="11">
        <f t="shared" ref="AH92:AH103" si="85">+K92</f>
        <v>32151590</v>
      </c>
      <c r="AI92" s="8">
        <f t="shared" ref="AI92:AI103" si="86">+L92</f>
        <v>24013</v>
      </c>
      <c r="AJ92" s="11">
        <f t="shared" ref="AJ92:AJ103" si="87">+M92</f>
        <v>5152132</v>
      </c>
      <c r="AK92" s="8">
        <f t="shared" ref="AK92:AK103" si="88">+N92</f>
        <v>7007</v>
      </c>
      <c r="AL92" s="11">
        <f t="shared" ref="AL92:AL103" si="89">+O92</f>
        <v>1067477</v>
      </c>
      <c r="AM92" s="8">
        <f t="shared" ref="AM92:AM103" si="90">+P92</f>
        <v>0</v>
      </c>
      <c r="AN92" s="11">
        <f t="shared" ref="AN92:AN103" si="91">+Q92</f>
        <v>0</v>
      </c>
      <c r="AO92" s="8">
        <f>AM92+AK92+AI92+AG92+AE92</f>
        <v>228296</v>
      </c>
      <c r="AP92" s="11">
        <f t="shared" ref="AP92:AP103" si="92">AN92+AL92+AJ92+AH92+AF92</f>
        <v>40353972</v>
      </c>
      <c r="AQ92" s="2" t="str">
        <f t="shared" ref="AQ92:AQ103" si="93">+T92</f>
        <v>LEP</v>
      </c>
      <c r="AR92" s="37">
        <f t="shared" ref="AR92:AR103" si="94">+AO92-R92</f>
        <v>0</v>
      </c>
      <c r="AS92" s="37">
        <f t="shared" ref="AS92:AS103" si="95">+AP92-S92</f>
        <v>0</v>
      </c>
    </row>
    <row r="93" spans="1:45" x14ac:dyDescent="0.25">
      <c r="B93" s="2" t="s">
        <v>6</v>
      </c>
      <c r="C93" s="2">
        <v>2021</v>
      </c>
      <c r="D93" s="1">
        <v>8403</v>
      </c>
      <c r="E93" s="11">
        <v>844114</v>
      </c>
      <c r="F93" s="1">
        <v>4516</v>
      </c>
      <c r="G93" s="11">
        <v>779989</v>
      </c>
      <c r="H93" s="1">
        <v>931</v>
      </c>
      <c r="I93" s="11">
        <v>185297</v>
      </c>
      <c r="J93" s="1">
        <v>172923</v>
      </c>
      <c r="K93" s="11">
        <v>31582685</v>
      </c>
      <c r="L93" s="8">
        <v>22332</v>
      </c>
      <c r="M93" s="11">
        <v>4839704</v>
      </c>
      <c r="N93" s="8">
        <v>6585</v>
      </c>
      <c r="O93" s="11">
        <v>1018165</v>
      </c>
      <c r="P93" s="8">
        <v>0</v>
      </c>
      <c r="Q93" s="11">
        <v>0</v>
      </c>
      <c r="R93" s="8">
        <f t="shared" ref="R93:R103" si="96">N93+L93+J93+H93+D93+P93+F93</f>
        <v>215690</v>
      </c>
      <c r="S93" s="11">
        <f t="shared" si="79"/>
        <v>39249954</v>
      </c>
      <c r="T93" s="2" t="s">
        <v>60</v>
      </c>
      <c r="X93" s="30">
        <v>108585.48999999999</v>
      </c>
      <c r="Y93" s="30">
        <f t="shared" si="80"/>
        <v>0.62794128022298934</v>
      </c>
      <c r="Z93" s="31">
        <v>242614.36249999999</v>
      </c>
      <c r="AA93" s="32">
        <f t="shared" si="81"/>
        <v>7.6818789314461386E-3</v>
      </c>
      <c r="AB93" s="13"/>
      <c r="AC93" s="2" t="s">
        <v>6</v>
      </c>
      <c r="AD93" s="2">
        <v>2021</v>
      </c>
      <c r="AE93" s="1">
        <f t="shared" si="82"/>
        <v>13850</v>
      </c>
      <c r="AF93" s="11">
        <f t="shared" si="83"/>
        <v>1809400</v>
      </c>
      <c r="AG93" s="1">
        <f t="shared" si="84"/>
        <v>172923</v>
      </c>
      <c r="AH93" s="11">
        <f t="shared" si="85"/>
        <v>31582685</v>
      </c>
      <c r="AI93" s="8">
        <f t="shared" si="86"/>
        <v>22332</v>
      </c>
      <c r="AJ93" s="11">
        <f t="shared" si="87"/>
        <v>4839704</v>
      </c>
      <c r="AK93" s="8">
        <f t="shared" si="88"/>
        <v>6585</v>
      </c>
      <c r="AL93" s="11">
        <f t="shared" si="89"/>
        <v>1018165</v>
      </c>
      <c r="AM93" s="8">
        <f t="shared" si="90"/>
        <v>0</v>
      </c>
      <c r="AN93" s="11">
        <f t="shared" si="91"/>
        <v>0</v>
      </c>
      <c r="AO93" s="8">
        <f t="shared" ref="AO93:AO103" si="97">AM93+AK93+AI93+AG93+AE93</f>
        <v>215690</v>
      </c>
      <c r="AP93" s="11">
        <f t="shared" si="92"/>
        <v>39249954</v>
      </c>
      <c r="AQ93" s="2" t="str">
        <f t="shared" si="93"/>
        <v>LEP</v>
      </c>
      <c r="AR93" s="37">
        <f t="shared" si="94"/>
        <v>0</v>
      </c>
      <c r="AS93" s="37">
        <f t="shared" si="95"/>
        <v>0</v>
      </c>
    </row>
    <row r="94" spans="1:45" x14ac:dyDescent="0.25">
      <c r="B94" s="2" t="s">
        <v>7</v>
      </c>
      <c r="C94" s="2">
        <v>2021</v>
      </c>
      <c r="D94" s="1">
        <v>10649</v>
      </c>
      <c r="E94" s="11">
        <v>1032909</v>
      </c>
      <c r="F94" s="1">
        <v>5328</v>
      </c>
      <c r="G94" s="11">
        <v>903383</v>
      </c>
      <c r="H94" s="1">
        <v>1123</v>
      </c>
      <c r="I94" s="11">
        <v>215594</v>
      </c>
      <c r="J94" s="1">
        <v>203151</v>
      </c>
      <c r="K94" s="11">
        <v>36574855</v>
      </c>
      <c r="L94" s="8">
        <v>25392</v>
      </c>
      <c r="M94" s="11">
        <v>5484923</v>
      </c>
      <c r="N94" s="8">
        <v>7871</v>
      </c>
      <c r="O94" s="11">
        <v>1221532</v>
      </c>
      <c r="P94" s="8">
        <v>0</v>
      </c>
      <c r="Q94" s="11">
        <v>0</v>
      </c>
      <c r="R94" s="8">
        <f t="shared" si="96"/>
        <v>253514</v>
      </c>
      <c r="S94" s="11">
        <f t="shared" si="79"/>
        <v>45433196</v>
      </c>
      <c r="T94" s="2" t="s">
        <v>60</v>
      </c>
      <c r="X94" s="30">
        <v>126833.08</v>
      </c>
      <c r="Y94" s="30">
        <f t="shared" si="80"/>
        <v>0.62432909510659562</v>
      </c>
      <c r="Z94" s="31">
        <v>283962.0625</v>
      </c>
      <c r="AA94" s="32">
        <f t="shared" si="81"/>
        <v>7.7638602395006077E-3</v>
      </c>
      <c r="AB94" s="13"/>
      <c r="AC94" s="2" t="s">
        <v>7</v>
      </c>
      <c r="AD94" s="2">
        <v>2021</v>
      </c>
      <c r="AE94" s="1">
        <f t="shared" si="82"/>
        <v>17100</v>
      </c>
      <c r="AF94" s="11">
        <f t="shared" si="83"/>
        <v>2151886</v>
      </c>
      <c r="AG94" s="1">
        <f t="shared" si="84"/>
        <v>203151</v>
      </c>
      <c r="AH94" s="11">
        <f t="shared" si="85"/>
        <v>36574855</v>
      </c>
      <c r="AI94" s="8">
        <f t="shared" si="86"/>
        <v>25392</v>
      </c>
      <c r="AJ94" s="11">
        <f t="shared" si="87"/>
        <v>5484923</v>
      </c>
      <c r="AK94" s="8">
        <f t="shared" si="88"/>
        <v>7871</v>
      </c>
      <c r="AL94" s="11">
        <f t="shared" si="89"/>
        <v>1221532</v>
      </c>
      <c r="AM94" s="8">
        <f t="shared" si="90"/>
        <v>0</v>
      </c>
      <c r="AN94" s="11">
        <f t="shared" si="91"/>
        <v>0</v>
      </c>
      <c r="AO94" s="8">
        <f t="shared" si="97"/>
        <v>253514</v>
      </c>
      <c r="AP94" s="11">
        <f t="shared" si="92"/>
        <v>45433196</v>
      </c>
      <c r="AQ94" s="2" t="str">
        <f t="shared" si="93"/>
        <v>LEP</v>
      </c>
      <c r="AR94" s="37">
        <f t="shared" si="94"/>
        <v>0</v>
      </c>
      <c r="AS94" s="37">
        <f t="shared" si="95"/>
        <v>0</v>
      </c>
    </row>
    <row r="95" spans="1:45" x14ac:dyDescent="0.25">
      <c r="B95" s="2" t="s">
        <v>8</v>
      </c>
      <c r="C95" s="2">
        <v>2021</v>
      </c>
      <c r="D95" s="1">
        <v>10510</v>
      </c>
      <c r="E95" s="11">
        <v>980722</v>
      </c>
      <c r="F95" s="1">
        <v>5628</v>
      </c>
      <c r="G95" s="11">
        <v>903050</v>
      </c>
      <c r="H95" s="1">
        <v>1037</v>
      </c>
      <c r="I95" s="11">
        <v>192738</v>
      </c>
      <c r="J95" s="1">
        <v>199339</v>
      </c>
      <c r="K95" s="11">
        <v>35634488</v>
      </c>
      <c r="L95" s="8">
        <v>16253</v>
      </c>
      <c r="M95" s="11">
        <v>3567028</v>
      </c>
      <c r="N95" s="8">
        <v>8554</v>
      </c>
      <c r="O95" s="11">
        <v>1358712</v>
      </c>
      <c r="P95" s="8">
        <v>0</v>
      </c>
      <c r="Q95" s="11">
        <v>0</v>
      </c>
      <c r="R95" s="8">
        <f t="shared" si="96"/>
        <v>241321</v>
      </c>
      <c r="S95" s="11">
        <f t="shared" si="79"/>
        <v>42636738</v>
      </c>
      <c r="T95" s="2" t="s">
        <v>60</v>
      </c>
      <c r="X95" s="30">
        <v>124422.56</v>
      </c>
      <c r="Y95" s="30">
        <f t="shared" si="80"/>
        <v>0.62417570069078299</v>
      </c>
      <c r="Z95" s="31">
        <v>278443.61499999999</v>
      </c>
      <c r="AA95" s="32">
        <f t="shared" si="81"/>
        <v>7.8138800535032232E-3</v>
      </c>
      <c r="AB95" s="13"/>
      <c r="AC95" s="2" t="s">
        <v>8</v>
      </c>
      <c r="AD95" s="2">
        <v>2021</v>
      </c>
      <c r="AE95" s="1">
        <f t="shared" si="82"/>
        <v>17175</v>
      </c>
      <c r="AF95" s="11">
        <f t="shared" si="83"/>
        <v>2076510</v>
      </c>
      <c r="AG95" s="1">
        <f t="shared" si="84"/>
        <v>199339</v>
      </c>
      <c r="AH95" s="11">
        <f t="shared" si="85"/>
        <v>35634488</v>
      </c>
      <c r="AI95" s="8">
        <f t="shared" si="86"/>
        <v>16253</v>
      </c>
      <c r="AJ95" s="11">
        <f t="shared" si="87"/>
        <v>3567028</v>
      </c>
      <c r="AK95" s="8">
        <f t="shared" si="88"/>
        <v>8554</v>
      </c>
      <c r="AL95" s="11">
        <f t="shared" si="89"/>
        <v>1358712</v>
      </c>
      <c r="AM95" s="8">
        <f t="shared" si="90"/>
        <v>0</v>
      </c>
      <c r="AN95" s="11">
        <f t="shared" si="91"/>
        <v>0</v>
      </c>
      <c r="AO95" s="8">
        <f t="shared" si="97"/>
        <v>241321</v>
      </c>
      <c r="AP95" s="11">
        <f t="shared" si="92"/>
        <v>42636738</v>
      </c>
      <c r="AQ95" s="2" t="str">
        <f t="shared" si="93"/>
        <v>LEP</v>
      </c>
      <c r="AR95" s="37">
        <f t="shared" si="94"/>
        <v>0</v>
      </c>
      <c r="AS95" s="37">
        <f t="shared" si="95"/>
        <v>0</v>
      </c>
    </row>
    <row r="96" spans="1:45" x14ac:dyDescent="0.25">
      <c r="B96" s="2" t="s">
        <v>9</v>
      </c>
      <c r="C96" s="2">
        <v>2021</v>
      </c>
      <c r="D96" s="1">
        <v>11483</v>
      </c>
      <c r="E96" s="11">
        <v>1082797</v>
      </c>
      <c r="F96" s="1">
        <v>5591</v>
      </c>
      <c r="G96" s="11">
        <v>889719</v>
      </c>
      <c r="H96" s="1">
        <v>1446</v>
      </c>
      <c r="I96" s="11">
        <v>285103</v>
      </c>
      <c r="J96" s="1">
        <v>210458</v>
      </c>
      <c r="K96" s="11">
        <v>37710835</v>
      </c>
      <c r="L96" s="8">
        <v>16612</v>
      </c>
      <c r="M96" s="11">
        <v>3670882</v>
      </c>
      <c r="N96" s="8">
        <v>8780</v>
      </c>
      <c r="O96" s="11">
        <v>1326580</v>
      </c>
      <c r="P96" s="8">
        <v>0</v>
      </c>
      <c r="Q96" s="11">
        <v>0</v>
      </c>
      <c r="R96" s="8">
        <f t="shared" si="96"/>
        <v>254370</v>
      </c>
      <c r="S96" s="11">
        <f t="shared" si="79"/>
        <v>44965916</v>
      </c>
      <c r="T96" s="2" t="s">
        <v>60</v>
      </c>
      <c r="X96" s="30">
        <v>132359.47999999998</v>
      </c>
      <c r="Y96" s="30">
        <f t="shared" si="80"/>
        <v>0.6289116118180349</v>
      </c>
      <c r="Z96" s="31">
        <v>290422.6875</v>
      </c>
      <c r="AA96" s="32">
        <f t="shared" si="81"/>
        <v>7.7013062028459464E-3</v>
      </c>
      <c r="AB96" s="13"/>
      <c r="AC96" s="2" t="s">
        <v>9</v>
      </c>
      <c r="AD96" s="2">
        <v>2021</v>
      </c>
      <c r="AE96" s="1">
        <f t="shared" si="82"/>
        <v>18520</v>
      </c>
      <c r="AF96" s="11">
        <f t="shared" si="83"/>
        <v>2257619</v>
      </c>
      <c r="AG96" s="1">
        <f t="shared" si="84"/>
        <v>210458</v>
      </c>
      <c r="AH96" s="11">
        <f t="shared" si="85"/>
        <v>37710835</v>
      </c>
      <c r="AI96" s="8">
        <f t="shared" si="86"/>
        <v>16612</v>
      </c>
      <c r="AJ96" s="11">
        <f t="shared" si="87"/>
        <v>3670882</v>
      </c>
      <c r="AK96" s="8">
        <f t="shared" si="88"/>
        <v>8780</v>
      </c>
      <c r="AL96" s="11">
        <f t="shared" si="89"/>
        <v>1326580</v>
      </c>
      <c r="AM96" s="8">
        <f t="shared" si="90"/>
        <v>0</v>
      </c>
      <c r="AN96" s="11">
        <f t="shared" si="91"/>
        <v>0</v>
      </c>
      <c r="AO96" s="8">
        <f t="shared" si="97"/>
        <v>254370</v>
      </c>
      <c r="AP96" s="11">
        <f t="shared" si="92"/>
        <v>44965916</v>
      </c>
      <c r="AQ96" s="2" t="str">
        <f t="shared" si="93"/>
        <v>LEP</v>
      </c>
      <c r="AR96" s="37">
        <f t="shared" si="94"/>
        <v>0</v>
      </c>
      <c r="AS96" s="37">
        <f t="shared" si="95"/>
        <v>0</v>
      </c>
    </row>
    <row r="97" spans="1:45" x14ac:dyDescent="0.25">
      <c r="B97" s="2" t="s">
        <v>10</v>
      </c>
      <c r="C97" s="2">
        <v>2021</v>
      </c>
      <c r="D97" s="1">
        <v>10984</v>
      </c>
      <c r="E97" s="11">
        <v>1104924</v>
      </c>
      <c r="F97" s="1">
        <v>5303</v>
      </c>
      <c r="G97" s="11">
        <v>840225</v>
      </c>
      <c r="H97" s="1">
        <v>1448</v>
      </c>
      <c r="I97" s="11">
        <v>284840</v>
      </c>
      <c r="J97" s="1">
        <v>211411</v>
      </c>
      <c r="K97" s="11">
        <v>38060903</v>
      </c>
      <c r="L97" s="8">
        <v>15666</v>
      </c>
      <c r="M97" s="11">
        <v>3476169</v>
      </c>
      <c r="N97" s="8">
        <v>8829</v>
      </c>
      <c r="O97" s="11">
        <v>1345548</v>
      </c>
      <c r="P97" s="8">
        <v>0</v>
      </c>
      <c r="Q97" s="11">
        <v>0</v>
      </c>
      <c r="R97" s="8">
        <f t="shared" si="96"/>
        <v>253641</v>
      </c>
      <c r="S97" s="11">
        <f t="shared" si="79"/>
        <v>45112609</v>
      </c>
      <c r="T97" s="2" t="s">
        <v>60</v>
      </c>
      <c r="X97" s="30">
        <v>132762.35</v>
      </c>
      <c r="Y97" s="30">
        <f t="shared" si="80"/>
        <v>0.62798222419836247</v>
      </c>
      <c r="Z97" s="31">
        <v>295531.91499999998</v>
      </c>
      <c r="AA97" s="32">
        <f t="shared" si="81"/>
        <v>7.7647110737230794E-3</v>
      </c>
      <c r="AB97" s="13"/>
      <c r="AC97" s="2" t="s">
        <v>10</v>
      </c>
      <c r="AD97" s="2">
        <v>2021</v>
      </c>
      <c r="AE97" s="1">
        <f t="shared" si="82"/>
        <v>17735</v>
      </c>
      <c r="AF97" s="11">
        <f t="shared" si="83"/>
        <v>2229989</v>
      </c>
      <c r="AG97" s="1">
        <f t="shared" si="84"/>
        <v>211411</v>
      </c>
      <c r="AH97" s="11">
        <f t="shared" si="85"/>
        <v>38060903</v>
      </c>
      <c r="AI97" s="8">
        <f t="shared" si="86"/>
        <v>15666</v>
      </c>
      <c r="AJ97" s="11">
        <f t="shared" si="87"/>
        <v>3476169</v>
      </c>
      <c r="AK97" s="8">
        <f t="shared" si="88"/>
        <v>8829</v>
      </c>
      <c r="AL97" s="11">
        <f t="shared" si="89"/>
        <v>1345548</v>
      </c>
      <c r="AM97" s="8">
        <f t="shared" si="90"/>
        <v>0</v>
      </c>
      <c r="AN97" s="11">
        <f t="shared" si="91"/>
        <v>0</v>
      </c>
      <c r="AO97" s="8">
        <f t="shared" si="97"/>
        <v>253641</v>
      </c>
      <c r="AP97" s="11">
        <f t="shared" si="92"/>
        <v>45112609</v>
      </c>
      <c r="AQ97" s="2" t="str">
        <f t="shared" si="93"/>
        <v>LEP</v>
      </c>
      <c r="AR97" s="37">
        <f t="shared" si="94"/>
        <v>0</v>
      </c>
      <c r="AS97" s="37">
        <f t="shared" si="95"/>
        <v>0</v>
      </c>
    </row>
    <row r="98" spans="1:45" x14ac:dyDescent="0.25">
      <c r="B98" s="2" t="s">
        <v>11</v>
      </c>
      <c r="C98" s="2">
        <v>2021</v>
      </c>
      <c r="D98" s="1">
        <v>12772</v>
      </c>
      <c r="E98" s="11">
        <v>1246726</v>
      </c>
      <c r="F98" s="1">
        <v>5579</v>
      </c>
      <c r="G98" s="11">
        <v>851320</v>
      </c>
      <c r="H98" s="1">
        <v>1325</v>
      </c>
      <c r="I98" s="11">
        <v>241189</v>
      </c>
      <c r="J98" s="1">
        <v>223071</v>
      </c>
      <c r="K98" s="11">
        <v>39344968</v>
      </c>
      <c r="L98" s="8">
        <v>15636</v>
      </c>
      <c r="M98" s="11">
        <v>3412436</v>
      </c>
      <c r="N98" s="8">
        <v>9459</v>
      </c>
      <c r="O98" s="11">
        <v>1375093</v>
      </c>
      <c r="P98" s="8">
        <v>0</v>
      </c>
      <c r="Q98" s="11">
        <v>0</v>
      </c>
      <c r="R98" s="8">
        <f t="shared" si="96"/>
        <v>267842</v>
      </c>
      <c r="S98" s="11">
        <f t="shared" si="79"/>
        <v>46471732</v>
      </c>
      <c r="T98" s="2" t="s">
        <v>60</v>
      </c>
      <c r="X98" s="30">
        <v>141631.16</v>
      </c>
      <c r="Y98" s="30">
        <f t="shared" si="80"/>
        <v>0.6349151615404961</v>
      </c>
      <c r="Z98" s="31">
        <v>304675.34999999998</v>
      </c>
      <c r="AA98" s="32">
        <f t="shared" si="81"/>
        <v>7.7436929164613876E-3</v>
      </c>
      <c r="AC98" s="2" t="s">
        <v>11</v>
      </c>
      <c r="AD98" s="2">
        <v>2021</v>
      </c>
      <c r="AE98" s="1">
        <f t="shared" si="82"/>
        <v>19676</v>
      </c>
      <c r="AF98" s="11">
        <f t="shared" si="83"/>
        <v>2339235</v>
      </c>
      <c r="AG98" s="1">
        <f t="shared" si="84"/>
        <v>223071</v>
      </c>
      <c r="AH98" s="11">
        <f t="shared" si="85"/>
        <v>39344968</v>
      </c>
      <c r="AI98" s="8">
        <f t="shared" si="86"/>
        <v>15636</v>
      </c>
      <c r="AJ98" s="11">
        <f t="shared" si="87"/>
        <v>3412436</v>
      </c>
      <c r="AK98" s="8">
        <f t="shared" si="88"/>
        <v>9459</v>
      </c>
      <c r="AL98" s="11">
        <f t="shared" si="89"/>
        <v>1375093</v>
      </c>
      <c r="AM98" s="8">
        <f t="shared" si="90"/>
        <v>0</v>
      </c>
      <c r="AN98" s="11">
        <f t="shared" si="91"/>
        <v>0</v>
      </c>
      <c r="AO98" s="8">
        <f t="shared" si="97"/>
        <v>267842</v>
      </c>
      <c r="AP98" s="11">
        <f t="shared" si="92"/>
        <v>46471732</v>
      </c>
      <c r="AQ98" s="2" t="str">
        <f t="shared" si="93"/>
        <v>LEP</v>
      </c>
      <c r="AR98" s="37">
        <f t="shared" si="94"/>
        <v>0</v>
      </c>
      <c r="AS98" s="37">
        <f t="shared" si="95"/>
        <v>0</v>
      </c>
    </row>
    <row r="99" spans="1:45" x14ac:dyDescent="0.25">
      <c r="B99" s="2" t="s">
        <v>4</v>
      </c>
      <c r="C99" s="2">
        <v>2021</v>
      </c>
      <c r="D99" s="1">
        <v>12063</v>
      </c>
      <c r="E99" s="11">
        <v>1241758</v>
      </c>
      <c r="F99" s="1">
        <v>5287</v>
      </c>
      <c r="G99" s="11">
        <v>867611</v>
      </c>
      <c r="H99" s="1">
        <v>1207</v>
      </c>
      <c r="I99" s="11">
        <v>219260</v>
      </c>
      <c r="J99" s="1">
        <v>218977</v>
      </c>
      <c r="K99" s="11">
        <v>39557898</v>
      </c>
      <c r="L99" s="8">
        <v>15137</v>
      </c>
      <c r="M99" s="11">
        <v>3349087</v>
      </c>
      <c r="N99" s="8">
        <v>9506</v>
      </c>
      <c r="O99" s="11">
        <v>1422158</v>
      </c>
      <c r="P99" s="8">
        <v>0</v>
      </c>
      <c r="Q99" s="11">
        <v>0</v>
      </c>
      <c r="R99" s="47">
        <f t="shared" si="96"/>
        <v>262177</v>
      </c>
      <c r="S99" s="48">
        <f t="shared" si="79"/>
        <v>46657772</v>
      </c>
      <c r="T99" s="2" t="s">
        <v>60</v>
      </c>
      <c r="X99" s="30">
        <v>139716.5</v>
      </c>
      <c r="Y99" s="30">
        <f t="shared" si="80"/>
        <v>0.63804189481087059</v>
      </c>
      <c r="Z99" s="31">
        <v>303298.13750000001</v>
      </c>
      <c r="AA99" s="32">
        <f t="shared" si="81"/>
        <v>7.6671954991137294E-3</v>
      </c>
      <c r="AC99" s="2" t="s">
        <v>4</v>
      </c>
      <c r="AD99" s="2">
        <v>2021</v>
      </c>
      <c r="AE99" s="1">
        <f t="shared" si="82"/>
        <v>18557</v>
      </c>
      <c r="AF99" s="11">
        <f t="shared" si="83"/>
        <v>2328629</v>
      </c>
      <c r="AG99" s="1">
        <f t="shared" si="84"/>
        <v>218977</v>
      </c>
      <c r="AH99" s="11">
        <f t="shared" si="85"/>
        <v>39557898</v>
      </c>
      <c r="AI99" s="8">
        <f t="shared" si="86"/>
        <v>15137</v>
      </c>
      <c r="AJ99" s="11">
        <f t="shared" si="87"/>
        <v>3349087</v>
      </c>
      <c r="AK99" s="8">
        <f t="shared" si="88"/>
        <v>9506</v>
      </c>
      <c r="AL99" s="11">
        <f t="shared" si="89"/>
        <v>1422158</v>
      </c>
      <c r="AM99" s="8">
        <f t="shared" si="90"/>
        <v>0</v>
      </c>
      <c r="AN99" s="11">
        <f t="shared" si="91"/>
        <v>0</v>
      </c>
      <c r="AO99" s="8">
        <f t="shared" si="97"/>
        <v>262177</v>
      </c>
      <c r="AP99" s="11">
        <f t="shared" si="92"/>
        <v>46657772</v>
      </c>
      <c r="AQ99" s="2" t="str">
        <f t="shared" si="93"/>
        <v>LEP</v>
      </c>
      <c r="AR99" s="37">
        <f t="shared" si="94"/>
        <v>0</v>
      </c>
      <c r="AS99" s="37">
        <f t="shared" si="95"/>
        <v>0</v>
      </c>
    </row>
    <row r="100" spans="1:45" x14ac:dyDescent="0.25">
      <c r="B100" s="2" t="s">
        <v>28</v>
      </c>
      <c r="C100" s="2">
        <v>2021</v>
      </c>
      <c r="D100" s="1">
        <v>11071</v>
      </c>
      <c r="E100" s="11">
        <v>1178020</v>
      </c>
      <c r="F100" s="1">
        <v>5144</v>
      </c>
      <c r="G100" s="11">
        <v>833299</v>
      </c>
      <c r="H100" s="1">
        <v>1156</v>
      </c>
      <c r="I100" s="11">
        <v>220256</v>
      </c>
      <c r="J100" s="1">
        <v>211621</v>
      </c>
      <c r="K100" s="11">
        <v>38681033</v>
      </c>
      <c r="L100" s="8">
        <v>13790</v>
      </c>
      <c r="M100" s="11">
        <v>3138983</v>
      </c>
      <c r="N100" s="8">
        <v>9850</v>
      </c>
      <c r="O100" s="11">
        <v>1508487</v>
      </c>
      <c r="P100" s="8">
        <v>0</v>
      </c>
      <c r="Q100" s="11">
        <v>0</v>
      </c>
      <c r="R100" s="47">
        <f t="shared" si="96"/>
        <v>252632</v>
      </c>
      <c r="S100" s="48">
        <f t="shared" si="79"/>
        <v>45560078</v>
      </c>
      <c r="T100" s="2" t="s">
        <v>60</v>
      </c>
      <c r="X100" s="30">
        <v>136707.07</v>
      </c>
      <c r="Y100" s="30">
        <f t="shared" si="80"/>
        <v>0.64599954635882073</v>
      </c>
      <c r="Z100" s="31">
        <v>292843.8075</v>
      </c>
      <c r="AA100" s="32">
        <f t="shared" si="81"/>
        <v>7.5707338917241429E-3</v>
      </c>
      <c r="AC100" s="2" t="s">
        <v>28</v>
      </c>
      <c r="AD100" s="2">
        <v>2021</v>
      </c>
      <c r="AE100" s="1">
        <f t="shared" si="82"/>
        <v>17371</v>
      </c>
      <c r="AF100" s="11">
        <f t="shared" si="83"/>
        <v>2231575</v>
      </c>
      <c r="AG100" s="1">
        <f t="shared" si="84"/>
        <v>211621</v>
      </c>
      <c r="AH100" s="11">
        <f t="shared" si="85"/>
        <v>38681033</v>
      </c>
      <c r="AI100" s="8">
        <f t="shared" si="86"/>
        <v>13790</v>
      </c>
      <c r="AJ100" s="11">
        <f t="shared" si="87"/>
        <v>3138983</v>
      </c>
      <c r="AK100" s="8">
        <f t="shared" si="88"/>
        <v>9850</v>
      </c>
      <c r="AL100" s="11">
        <f t="shared" si="89"/>
        <v>1508487</v>
      </c>
      <c r="AM100" s="8">
        <f t="shared" si="90"/>
        <v>0</v>
      </c>
      <c r="AN100" s="11">
        <f t="shared" si="91"/>
        <v>0</v>
      </c>
      <c r="AO100" s="8">
        <f t="shared" si="97"/>
        <v>252632</v>
      </c>
      <c r="AP100" s="11">
        <f t="shared" si="92"/>
        <v>45560078</v>
      </c>
      <c r="AQ100" s="2" t="str">
        <f t="shared" si="93"/>
        <v>LEP</v>
      </c>
      <c r="AR100" s="37">
        <f t="shared" si="94"/>
        <v>0</v>
      </c>
      <c r="AS100" s="37">
        <f t="shared" si="95"/>
        <v>0</v>
      </c>
    </row>
    <row r="101" spans="1:45" x14ac:dyDescent="0.25">
      <c r="B101" s="2" t="s">
        <v>29</v>
      </c>
      <c r="C101" s="2">
        <v>2021</v>
      </c>
      <c r="D101" s="1">
        <v>12755</v>
      </c>
      <c r="E101" s="11">
        <v>1319953</v>
      </c>
      <c r="F101" s="1">
        <v>5920</v>
      </c>
      <c r="G101" s="11">
        <v>971938</v>
      </c>
      <c r="H101" s="1">
        <v>1310</v>
      </c>
      <c r="I101" s="11">
        <v>261161</v>
      </c>
      <c r="J101" s="1">
        <v>227831</v>
      </c>
      <c r="K101" s="11">
        <v>41346636</v>
      </c>
      <c r="L101" s="8">
        <v>14392</v>
      </c>
      <c r="M101" s="11">
        <v>3218793</v>
      </c>
      <c r="N101" s="8">
        <v>10891</v>
      </c>
      <c r="O101" s="11">
        <v>1688658</v>
      </c>
      <c r="P101" s="8">
        <v>0</v>
      </c>
      <c r="Q101" s="11">
        <v>0</v>
      </c>
      <c r="R101" s="47">
        <f t="shared" si="96"/>
        <v>273099</v>
      </c>
      <c r="S101" s="48">
        <f t="shared" si="79"/>
        <v>48807139</v>
      </c>
      <c r="T101" s="2" t="s">
        <v>60</v>
      </c>
      <c r="X101" s="30">
        <v>145197.41</v>
      </c>
      <c r="Y101" s="30">
        <f t="shared" si="80"/>
        <v>0.63730313258511795</v>
      </c>
      <c r="Z101" s="31">
        <v>317560.51500000001</v>
      </c>
      <c r="AA101" s="32">
        <f t="shared" si="81"/>
        <v>7.6804438213546565E-3</v>
      </c>
      <c r="AC101" s="2" t="s">
        <v>29</v>
      </c>
      <c r="AD101" s="2">
        <v>2021</v>
      </c>
      <c r="AE101" s="1">
        <f t="shared" si="82"/>
        <v>19985</v>
      </c>
      <c r="AF101" s="11">
        <f t="shared" si="83"/>
        <v>2553052</v>
      </c>
      <c r="AG101" s="1">
        <f t="shared" si="84"/>
        <v>227831</v>
      </c>
      <c r="AH101" s="11">
        <f t="shared" si="85"/>
        <v>41346636</v>
      </c>
      <c r="AI101" s="8">
        <f t="shared" si="86"/>
        <v>14392</v>
      </c>
      <c r="AJ101" s="11">
        <f t="shared" si="87"/>
        <v>3218793</v>
      </c>
      <c r="AK101" s="8">
        <f t="shared" si="88"/>
        <v>10891</v>
      </c>
      <c r="AL101" s="11">
        <f t="shared" si="89"/>
        <v>1688658</v>
      </c>
      <c r="AM101" s="8">
        <f t="shared" si="90"/>
        <v>0</v>
      </c>
      <c r="AN101" s="11">
        <f t="shared" si="91"/>
        <v>0</v>
      </c>
      <c r="AO101" s="8">
        <f t="shared" si="97"/>
        <v>273099</v>
      </c>
      <c r="AP101" s="11">
        <f t="shared" si="92"/>
        <v>48807139</v>
      </c>
      <c r="AQ101" s="2" t="str">
        <f t="shared" si="93"/>
        <v>LEP</v>
      </c>
      <c r="AR101" s="37">
        <f t="shared" si="94"/>
        <v>0</v>
      </c>
      <c r="AS101" s="37">
        <f t="shared" si="95"/>
        <v>0</v>
      </c>
    </row>
    <row r="102" spans="1:45" x14ac:dyDescent="0.25">
      <c r="B102" s="2" t="s">
        <v>30</v>
      </c>
      <c r="C102" s="2">
        <v>2021</v>
      </c>
      <c r="D102" s="1">
        <v>13188</v>
      </c>
      <c r="E102" s="11">
        <v>1349011</v>
      </c>
      <c r="F102" s="1">
        <v>5918</v>
      </c>
      <c r="G102" s="11">
        <v>971415</v>
      </c>
      <c r="H102" s="1">
        <v>1324</v>
      </c>
      <c r="I102" s="11">
        <v>248412</v>
      </c>
      <c r="J102" s="1">
        <v>224968</v>
      </c>
      <c r="K102" s="11">
        <v>40349246</v>
      </c>
      <c r="L102" s="8">
        <v>14286</v>
      </c>
      <c r="M102" s="11">
        <v>3165480</v>
      </c>
      <c r="N102" s="8">
        <v>10965</v>
      </c>
      <c r="O102" s="11">
        <v>1663024</v>
      </c>
      <c r="P102" s="8">
        <v>0</v>
      </c>
      <c r="Q102" s="11">
        <v>0</v>
      </c>
      <c r="R102" s="47">
        <f t="shared" si="96"/>
        <v>270649</v>
      </c>
      <c r="S102" s="48">
        <f t="shared" si="79"/>
        <v>47746588</v>
      </c>
      <c r="T102" s="2" t="s">
        <v>60</v>
      </c>
      <c r="X102" s="30">
        <v>143730.9</v>
      </c>
      <c r="Y102" s="30">
        <f t="shared" si="80"/>
        <v>0.63889486504747339</v>
      </c>
      <c r="Z102" s="31">
        <v>308259.35000000003</v>
      </c>
      <c r="AA102" s="32">
        <f t="shared" si="81"/>
        <v>7.6397796875807798E-3</v>
      </c>
      <c r="AC102" s="2" t="s">
        <v>30</v>
      </c>
      <c r="AD102" s="2">
        <v>2021</v>
      </c>
      <c r="AE102" s="1">
        <f t="shared" si="82"/>
        <v>20430</v>
      </c>
      <c r="AF102" s="11">
        <f t="shared" si="83"/>
        <v>2568838</v>
      </c>
      <c r="AG102" s="1">
        <f t="shared" si="84"/>
        <v>224968</v>
      </c>
      <c r="AH102" s="11">
        <f t="shared" si="85"/>
        <v>40349246</v>
      </c>
      <c r="AI102" s="8">
        <f t="shared" si="86"/>
        <v>14286</v>
      </c>
      <c r="AJ102" s="11">
        <f t="shared" si="87"/>
        <v>3165480</v>
      </c>
      <c r="AK102" s="8">
        <f t="shared" si="88"/>
        <v>10965</v>
      </c>
      <c r="AL102" s="11">
        <f t="shared" si="89"/>
        <v>1663024</v>
      </c>
      <c r="AM102" s="8">
        <f t="shared" si="90"/>
        <v>0</v>
      </c>
      <c r="AN102" s="11">
        <f t="shared" si="91"/>
        <v>0</v>
      </c>
      <c r="AO102" s="8">
        <f t="shared" si="97"/>
        <v>270649</v>
      </c>
      <c r="AP102" s="11">
        <f t="shared" si="92"/>
        <v>47746588</v>
      </c>
      <c r="AQ102" s="2" t="str">
        <f t="shared" si="93"/>
        <v>LEP</v>
      </c>
      <c r="AR102" s="37">
        <f t="shared" si="94"/>
        <v>0</v>
      </c>
      <c r="AS102" s="37">
        <f t="shared" si="95"/>
        <v>0</v>
      </c>
    </row>
    <row r="103" spans="1:45" x14ac:dyDescent="0.25">
      <c r="B103" s="2" t="s">
        <v>31</v>
      </c>
      <c r="C103" s="2">
        <v>2021</v>
      </c>
      <c r="D103" s="1">
        <v>16858</v>
      </c>
      <c r="E103" s="11">
        <v>1618599</v>
      </c>
      <c r="F103" s="1">
        <v>6772</v>
      </c>
      <c r="G103" s="11">
        <v>1061634</v>
      </c>
      <c r="H103" s="1">
        <v>1700</v>
      </c>
      <c r="I103" s="11">
        <v>308551</v>
      </c>
      <c r="J103" s="1">
        <v>244106</v>
      </c>
      <c r="K103" s="11">
        <v>41836686</v>
      </c>
      <c r="L103" s="8">
        <v>13980</v>
      </c>
      <c r="M103" s="11">
        <v>3037947</v>
      </c>
      <c r="N103" s="8">
        <v>11848</v>
      </c>
      <c r="O103" s="11">
        <v>1746995</v>
      </c>
      <c r="P103" s="8">
        <v>0</v>
      </c>
      <c r="Q103" s="11">
        <v>0</v>
      </c>
      <c r="R103" s="50">
        <f t="shared" si="96"/>
        <v>295264</v>
      </c>
      <c r="S103" s="51">
        <f t="shared" si="79"/>
        <v>49610412</v>
      </c>
      <c r="T103" s="2" t="s">
        <v>60</v>
      </c>
      <c r="X103" s="30">
        <v>155602.46</v>
      </c>
      <c r="Y103" s="30">
        <f t="shared" si="80"/>
        <v>0.63743808017828318</v>
      </c>
      <c r="Z103" s="31">
        <v>320584.54999999993</v>
      </c>
      <c r="AA103" s="32">
        <f t="shared" si="81"/>
        <v>7.6627615772434732E-3</v>
      </c>
      <c r="AC103" s="2" t="s">
        <v>31</v>
      </c>
      <c r="AD103" s="2">
        <v>2021</v>
      </c>
      <c r="AE103" s="1">
        <f t="shared" si="82"/>
        <v>25330</v>
      </c>
      <c r="AF103" s="11">
        <f t="shared" si="83"/>
        <v>2988784</v>
      </c>
      <c r="AG103" s="1">
        <f t="shared" si="84"/>
        <v>244106</v>
      </c>
      <c r="AH103" s="11">
        <f t="shared" si="85"/>
        <v>41836686</v>
      </c>
      <c r="AI103" s="8">
        <f t="shared" si="86"/>
        <v>13980</v>
      </c>
      <c r="AJ103" s="11">
        <f t="shared" si="87"/>
        <v>3037947</v>
      </c>
      <c r="AK103" s="8">
        <f t="shared" si="88"/>
        <v>11848</v>
      </c>
      <c r="AL103" s="11">
        <f t="shared" si="89"/>
        <v>1746995</v>
      </c>
      <c r="AM103" s="8">
        <f t="shared" si="90"/>
        <v>0</v>
      </c>
      <c r="AN103" s="11">
        <f t="shared" si="91"/>
        <v>0</v>
      </c>
      <c r="AO103" s="8">
        <f t="shared" si="97"/>
        <v>295264</v>
      </c>
      <c r="AP103" s="11">
        <f t="shared" si="92"/>
        <v>49610412</v>
      </c>
      <c r="AQ103" s="2" t="str">
        <f t="shared" si="93"/>
        <v>LEP</v>
      </c>
      <c r="AR103" s="37">
        <f t="shared" si="94"/>
        <v>0</v>
      </c>
      <c r="AS103" s="37">
        <f t="shared" si="95"/>
        <v>0</v>
      </c>
    </row>
    <row r="104" spans="1:45" x14ac:dyDescent="0.25">
      <c r="AF104" s="9"/>
      <c r="AH104" s="9"/>
      <c r="AJ104" s="9"/>
      <c r="AL104" s="9"/>
      <c r="AM104" s="9"/>
      <c r="AN104" s="9"/>
      <c r="AP104" s="9"/>
    </row>
    <row r="105" spans="1:45" x14ac:dyDescent="0.25">
      <c r="B105" s="3" t="s">
        <v>12</v>
      </c>
      <c r="C105" s="3"/>
      <c r="D105" s="4">
        <f t="shared" ref="D105:S105" si="98">SUM(D92:D104)</f>
        <v>140485</v>
      </c>
      <c r="E105" s="12">
        <f t="shared" si="98"/>
        <v>13937572</v>
      </c>
      <c r="F105" s="4">
        <f t="shared" si="98"/>
        <v>65819</v>
      </c>
      <c r="G105" s="12">
        <f t="shared" si="98"/>
        <v>10698489</v>
      </c>
      <c r="H105" s="4">
        <f t="shared" si="98"/>
        <v>15114</v>
      </c>
      <c r="I105" s="12">
        <f t="shared" si="98"/>
        <v>2882229</v>
      </c>
      <c r="J105" s="4">
        <f t="shared" si="98"/>
        <v>2529443</v>
      </c>
      <c r="K105" s="12">
        <f t="shared" si="98"/>
        <v>452831823</v>
      </c>
      <c r="L105" s="4">
        <f t="shared" si="98"/>
        <v>207489</v>
      </c>
      <c r="M105" s="12">
        <f t="shared" si="98"/>
        <v>45513564</v>
      </c>
      <c r="N105" s="4">
        <f t="shared" si="98"/>
        <v>110145</v>
      </c>
      <c r="O105" s="12">
        <f t="shared" si="98"/>
        <v>16742429</v>
      </c>
      <c r="P105" s="4">
        <f t="shared" si="98"/>
        <v>0</v>
      </c>
      <c r="Q105" s="12">
        <f t="shared" si="98"/>
        <v>0</v>
      </c>
      <c r="R105" s="4">
        <f t="shared" si="98"/>
        <v>3068495</v>
      </c>
      <c r="S105" s="12">
        <f t="shared" si="98"/>
        <v>542606106</v>
      </c>
      <c r="X105" s="12">
        <f>AVERAGE(X92:X104)</f>
        <v>133480.2283333333</v>
      </c>
      <c r="Y105" s="12">
        <f t="shared" ref="Y105:AA105" si="99">AVERAGE(Y92:Y104)</f>
        <v>0.6329092398706947</v>
      </c>
      <c r="Z105" s="12">
        <f t="shared" si="99"/>
        <v>290247.32</v>
      </c>
      <c r="AA105" s="16">
        <f t="shared" si="99"/>
        <v>7.6919407049435623E-3</v>
      </c>
      <c r="AC105" s="3" t="s">
        <v>12</v>
      </c>
      <c r="AD105" s="3"/>
      <c r="AE105" s="4">
        <f t="shared" ref="AE105:AP105" si="100">SUM(AE92:AE104)</f>
        <v>221418</v>
      </c>
      <c r="AF105" s="12">
        <f t="shared" si="100"/>
        <v>27518290</v>
      </c>
      <c r="AG105" s="4">
        <f t="shared" si="100"/>
        <v>2529443</v>
      </c>
      <c r="AH105" s="12">
        <f t="shared" si="100"/>
        <v>452831823</v>
      </c>
      <c r="AI105" s="4">
        <f t="shared" si="100"/>
        <v>207489</v>
      </c>
      <c r="AJ105" s="12">
        <f t="shared" si="100"/>
        <v>45513564</v>
      </c>
      <c r="AK105" s="4">
        <f t="shared" si="100"/>
        <v>110145</v>
      </c>
      <c r="AL105" s="12">
        <f t="shared" si="100"/>
        <v>16742429</v>
      </c>
      <c r="AM105" s="4">
        <f t="shared" si="100"/>
        <v>0</v>
      </c>
      <c r="AN105" s="12">
        <f t="shared" si="100"/>
        <v>0</v>
      </c>
      <c r="AO105" s="4">
        <f t="shared" si="100"/>
        <v>3068495</v>
      </c>
      <c r="AP105" s="12">
        <f t="shared" si="100"/>
        <v>542606106</v>
      </c>
    </row>
    <row r="106" spans="1:45" x14ac:dyDescent="0.25">
      <c r="J106" s="46" t="str">
        <f>+$B$87</f>
        <v>Aforo e Ingreso - LEPSA</v>
      </c>
      <c r="K106" s="9" t="s">
        <v>84</v>
      </c>
      <c r="L106" s="15">
        <f>AVERAGE(L92:L103)</f>
        <v>17290.75</v>
      </c>
      <c r="M106" s="28">
        <f>AVERAGE(M92:M103)</f>
        <v>3792797</v>
      </c>
      <c r="R106" s="15">
        <f>AVERAGE(R92:R103)</f>
        <v>255707.91666666666</v>
      </c>
      <c r="S106" s="28">
        <f>AVERAGE(S92:S103)</f>
        <v>45217175.5</v>
      </c>
    </row>
    <row r="107" spans="1:45" x14ac:dyDescent="0.25">
      <c r="B107" s="5" t="s">
        <v>14</v>
      </c>
      <c r="J107" s="46" t="str">
        <f>+$B$87</f>
        <v>Aforo e Ingreso - LEPSA</v>
      </c>
      <c r="K107" s="9" t="s">
        <v>85</v>
      </c>
      <c r="L107" s="44">
        <f>+L106/$L$295</f>
        <v>5.6408800891931593E-2</v>
      </c>
      <c r="M107" s="44">
        <f>+M106/$M$295</f>
        <v>9.8739605558405164E-2</v>
      </c>
      <c r="R107" s="44">
        <f>+L106/R106</f>
        <v>6.7619142283106212E-2</v>
      </c>
      <c r="S107" s="44">
        <f>+M106/S106</f>
        <v>8.3879564746365015E-2</v>
      </c>
    </row>
    <row r="108" spans="1:45" x14ac:dyDescent="0.25">
      <c r="B108" s="5" t="s">
        <v>35</v>
      </c>
      <c r="L108" s="26"/>
      <c r="M108" s="26"/>
      <c r="N108" s="9"/>
      <c r="P108"/>
    </row>
    <row r="109" spans="1:45" x14ac:dyDescent="0.25">
      <c r="B109" s="5"/>
      <c r="N109" s="9"/>
      <c r="P109"/>
    </row>
    <row r="110" spans="1:45" x14ac:dyDescent="0.25">
      <c r="D110" s="89" t="s">
        <v>15</v>
      </c>
      <c r="E110" s="90"/>
      <c r="F110" s="89" t="s">
        <v>71</v>
      </c>
      <c r="G110" s="90"/>
      <c r="H110" s="89" t="s">
        <v>16</v>
      </c>
      <c r="I110" s="90"/>
      <c r="J110" s="89" t="s">
        <v>17</v>
      </c>
      <c r="K110" s="93"/>
      <c r="L110" s="89" t="s">
        <v>18</v>
      </c>
      <c r="M110" s="93"/>
      <c r="N110" s="89" t="s">
        <v>13</v>
      </c>
      <c r="O110" s="93"/>
      <c r="P110" s="89" t="s">
        <v>34</v>
      </c>
      <c r="Q110" s="93"/>
      <c r="R110" s="89" t="s">
        <v>46</v>
      </c>
      <c r="S110" s="90"/>
      <c r="T110" s="89" t="s">
        <v>12</v>
      </c>
      <c r="U110" s="93"/>
      <c r="AE110" s="89" t="s">
        <v>69</v>
      </c>
      <c r="AF110" s="90"/>
      <c r="AG110" s="89" t="s">
        <v>17</v>
      </c>
      <c r="AH110" s="93"/>
      <c r="AI110" s="89" t="s">
        <v>18</v>
      </c>
      <c r="AJ110" s="93"/>
      <c r="AK110" s="89" t="s">
        <v>13</v>
      </c>
      <c r="AL110" s="93"/>
      <c r="AM110" s="89" t="s">
        <v>34</v>
      </c>
      <c r="AN110" s="93"/>
      <c r="AO110" s="89" t="s">
        <v>12</v>
      </c>
      <c r="AP110" s="93"/>
    </row>
    <row r="111" spans="1:4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X111" s="33">
        <v>2020</v>
      </c>
      <c r="Y111" s="34">
        <v>0.62082106551086769</v>
      </c>
      <c r="Z111" s="33">
        <v>2020</v>
      </c>
      <c r="AA111" s="35">
        <v>7.7688354310788922E-3</v>
      </c>
      <c r="AC111" s="7" t="s">
        <v>0</v>
      </c>
      <c r="AD111" s="7" t="s">
        <v>1</v>
      </c>
      <c r="AE111" s="7" t="s">
        <v>2</v>
      </c>
      <c r="AF111" s="10" t="s">
        <v>3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</row>
    <row r="112" spans="1:45" x14ac:dyDescent="0.25">
      <c r="R112" s="9"/>
      <c r="U112" s="9"/>
      <c r="AF112" s="9"/>
      <c r="AH112" s="9"/>
      <c r="AJ112" s="9"/>
      <c r="AL112" s="9"/>
      <c r="AM112" s="9"/>
      <c r="AN112" s="9"/>
      <c r="AP112" s="9"/>
    </row>
    <row r="113" spans="2:46" x14ac:dyDescent="0.25">
      <c r="B113" s="2" t="s">
        <v>5</v>
      </c>
      <c r="C113" s="2">
        <v>2021</v>
      </c>
      <c r="D113" s="1">
        <v>21595</v>
      </c>
      <c r="E113" s="11">
        <v>2065500</v>
      </c>
      <c r="F113" s="1">
        <v>10175</v>
      </c>
      <c r="G113" s="11">
        <v>1131440</v>
      </c>
      <c r="H113" s="1">
        <v>1501</v>
      </c>
      <c r="I113" s="11">
        <v>165856</v>
      </c>
      <c r="J113" s="1">
        <v>229528</v>
      </c>
      <c r="K113" s="11">
        <v>34947061</v>
      </c>
      <c r="L113" s="1">
        <v>40077</v>
      </c>
      <c r="M113" s="11">
        <v>5977163</v>
      </c>
      <c r="N113" s="1">
        <v>22616</v>
      </c>
      <c r="O113" s="11">
        <v>3065703</v>
      </c>
      <c r="P113" s="45">
        <v>0</v>
      </c>
      <c r="Q113" s="11">
        <v>0</v>
      </c>
      <c r="R113" s="1">
        <v>25828</v>
      </c>
      <c r="S113" s="11">
        <v>1595312</v>
      </c>
      <c r="T113" s="1">
        <f>N113+L113+J113+H113+D113+P113+R113+F113</f>
        <v>351320</v>
      </c>
      <c r="U113" s="11">
        <f t="shared" ref="U113:U124" si="101">O113+M113+K113+I113+E113+Q113+S113+G113</f>
        <v>48948035</v>
      </c>
      <c r="V113" s="2" t="s">
        <v>61</v>
      </c>
      <c r="X113" s="30">
        <v>143071.13</v>
      </c>
      <c r="Y113" s="30">
        <f>+X113/J113</f>
        <v>0.6233275678784288</v>
      </c>
      <c r="Z113" s="31">
        <v>265115.73</v>
      </c>
      <c r="AA113" s="32">
        <f>+Z113/K113</f>
        <v>7.5862096100155598E-3</v>
      </c>
      <c r="AC113" s="2" t="s">
        <v>5</v>
      </c>
      <c r="AD113" s="2">
        <v>2021</v>
      </c>
      <c r="AE113" s="1">
        <f t="shared" ref="AE113:AE124" si="102">+R113+D113+F113+H113</f>
        <v>59099</v>
      </c>
      <c r="AF113" s="11">
        <f t="shared" ref="AF113:AF124" si="103">+S113+E113+G113+I113</f>
        <v>4958108</v>
      </c>
      <c r="AG113" s="1">
        <f t="shared" ref="AG113:AG124" si="104">+J113</f>
        <v>229528</v>
      </c>
      <c r="AH113" s="11">
        <f t="shared" ref="AH113:AH124" si="105">+K113</f>
        <v>34947061</v>
      </c>
      <c r="AI113" s="8">
        <f t="shared" ref="AI113:AI124" si="106">+L113</f>
        <v>40077</v>
      </c>
      <c r="AJ113" s="11">
        <f t="shared" ref="AJ113:AJ124" si="107">+M113</f>
        <v>5977163</v>
      </c>
      <c r="AK113" s="8">
        <f t="shared" ref="AK113:AK124" si="108">+N113</f>
        <v>22616</v>
      </c>
      <c r="AL113" s="11">
        <f t="shared" ref="AL113:AL124" si="109">+O113</f>
        <v>3065703</v>
      </c>
      <c r="AM113" s="8">
        <f t="shared" ref="AM113:AM124" si="110">+P113</f>
        <v>0</v>
      </c>
      <c r="AN113" s="11">
        <f t="shared" ref="AN113:AN124" si="111">+Q113</f>
        <v>0</v>
      </c>
      <c r="AO113" s="8">
        <f>AM113+AK113+AI113+AG113+AE113</f>
        <v>351320</v>
      </c>
      <c r="AP113" s="11">
        <f t="shared" ref="AP113:AP124" si="112">AN113+AL113+AJ113+AH113+AF113</f>
        <v>48948035</v>
      </c>
      <c r="AQ113" s="2" t="str">
        <f t="shared" ref="AQ113:AQ124" si="113">+V113</f>
        <v>GANA</v>
      </c>
      <c r="AR113" s="37">
        <f t="shared" ref="AR113:AR124" si="114">+AO113-T113</f>
        <v>0</v>
      </c>
      <c r="AS113" s="37">
        <f t="shared" ref="AS113:AS124" si="115">+AP113-U113</f>
        <v>0</v>
      </c>
    </row>
    <row r="114" spans="2:46" x14ac:dyDescent="0.25">
      <c r="B114" s="2" t="s">
        <v>6</v>
      </c>
      <c r="C114" s="2">
        <v>2021</v>
      </c>
      <c r="D114" s="1">
        <v>21080</v>
      </c>
      <c r="E114" s="11">
        <v>2150500</v>
      </c>
      <c r="F114" s="1">
        <v>9838</v>
      </c>
      <c r="G114" s="11">
        <v>1160186</v>
      </c>
      <c r="H114" s="1">
        <v>1565</v>
      </c>
      <c r="I114" s="11">
        <v>171528</v>
      </c>
      <c r="J114" s="1">
        <v>225164</v>
      </c>
      <c r="K114" s="11">
        <v>36380628</v>
      </c>
      <c r="L114" s="1">
        <v>37791</v>
      </c>
      <c r="M114" s="11">
        <v>5807586</v>
      </c>
      <c r="N114" s="1">
        <v>23619</v>
      </c>
      <c r="O114" s="11">
        <v>3356293</v>
      </c>
      <c r="P114" s="45">
        <v>0</v>
      </c>
      <c r="Q114" s="11">
        <v>0</v>
      </c>
      <c r="R114" s="1">
        <v>32494</v>
      </c>
      <c r="S114" s="11">
        <v>2187015</v>
      </c>
      <c r="T114" s="1">
        <f t="shared" ref="T114:T124" si="116">N114+L114+J114+H114+D114+P114+R114+F114</f>
        <v>351551</v>
      </c>
      <c r="U114" s="11">
        <f t="shared" si="101"/>
        <v>51213736</v>
      </c>
      <c r="V114" s="2" t="s">
        <v>61</v>
      </c>
      <c r="X114" s="30">
        <v>141724.54999999999</v>
      </c>
      <c r="Y114" s="30">
        <f t="shared" ref="Y114:Y124" si="117">+X114/J114</f>
        <v>0.62942810573626329</v>
      </c>
      <c r="Z114" s="31">
        <v>276458.4425</v>
      </c>
      <c r="AA114" s="32">
        <f t="shared" ref="AA114:AA124" si="118">+Z114/K114</f>
        <v>7.5990563576857446E-3</v>
      </c>
      <c r="AC114" s="2" t="s">
        <v>6</v>
      </c>
      <c r="AD114" s="2">
        <v>2021</v>
      </c>
      <c r="AE114" s="1">
        <f t="shared" si="102"/>
        <v>64977</v>
      </c>
      <c r="AF114" s="11">
        <f t="shared" si="103"/>
        <v>5669229</v>
      </c>
      <c r="AG114" s="1">
        <f t="shared" si="104"/>
        <v>225164</v>
      </c>
      <c r="AH114" s="11">
        <f t="shared" si="105"/>
        <v>36380628</v>
      </c>
      <c r="AI114" s="8">
        <f t="shared" si="106"/>
        <v>37791</v>
      </c>
      <c r="AJ114" s="11">
        <f t="shared" si="107"/>
        <v>5807586</v>
      </c>
      <c r="AK114" s="8">
        <f t="shared" si="108"/>
        <v>23619</v>
      </c>
      <c r="AL114" s="11">
        <f t="shared" si="109"/>
        <v>3356293</v>
      </c>
      <c r="AM114" s="8">
        <f t="shared" si="110"/>
        <v>0</v>
      </c>
      <c r="AN114" s="11">
        <f t="shared" si="111"/>
        <v>0</v>
      </c>
      <c r="AO114" s="8">
        <f t="shared" ref="AO114:AO124" si="119">AM114+AK114+AI114+AG114+AE114</f>
        <v>351551</v>
      </c>
      <c r="AP114" s="11">
        <f t="shared" si="112"/>
        <v>51213736</v>
      </c>
      <c r="AQ114" s="2" t="str">
        <f t="shared" si="113"/>
        <v>GANA</v>
      </c>
      <c r="AR114" s="37">
        <f t="shared" si="114"/>
        <v>0</v>
      </c>
      <c r="AS114" s="37">
        <f t="shared" si="115"/>
        <v>0</v>
      </c>
    </row>
    <row r="115" spans="2:46" x14ac:dyDescent="0.25">
      <c r="B115" s="2" t="s">
        <v>7</v>
      </c>
      <c r="C115" s="2">
        <v>2021</v>
      </c>
      <c r="D115" s="1">
        <v>24760</v>
      </c>
      <c r="E115" s="11">
        <v>2493192</v>
      </c>
      <c r="F115" s="1">
        <v>9397</v>
      </c>
      <c r="G115" s="11">
        <v>1076548</v>
      </c>
      <c r="H115" s="1">
        <v>2015</v>
      </c>
      <c r="I115" s="11">
        <v>215779</v>
      </c>
      <c r="J115" s="1">
        <v>270967</v>
      </c>
      <c r="K115" s="11">
        <v>43957131</v>
      </c>
      <c r="L115" s="1">
        <v>42797</v>
      </c>
      <c r="M115" s="11">
        <v>6683864</v>
      </c>
      <c r="N115" s="1">
        <v>27088</v>
      </c>
      <c r="O115" s="11">
        <v>3830902</v>
      </c>
      <c r="P115" s="45">
        <v>0</v>
      </c>
      <c r="Q115" s="11">
        <v>0</v>
      </c>
      <c r="R115" s="1">
        <v>40662</v>
      </c>
      <c r="S115" s="11">
        <v>2718932</v>
      </c>
      <c r="T115" s="1">
        <f t="shared" si="116"/>
        <v>417686</v>
      </c>
      <c r="U115" s="11">
        <f t="shared" si="101"/>
        <v>60976348</v>
      </c>
      <c r="V115" s="2" t="s">
        <v>61</v>
      </c>
      <c r="X115" s="30">
        <v>170868.95</v>
      </c>
      <c r="Y115" s="30">
        <f t="shared" si="117"/>
        <v>0.63058951828082388</v>
      </c>
      <c r="Z115" s="31">
        <v>330607.90250000003</v>
      </c>
      <c r="AA115" s="32">
        <f t="shared" si="118"/>
        <v>7.5211437821089827E-3</v>
      </c>
      <c r="AC115" s="2" t="s">
        <v>7</v>
      </c>
      <c r="AD115" s="2">
        <v>2021</v>
      </c>
      <c r="AE115" s="1">
        <f t="shared" si="102"/>
        <v>76834</v>
      </c>
      <c r="AF115" s="11">
        <f t="shared" si="103"/>
        <v>6504451</v>
      </c>
      <c r="AG115" s="1">
        <f t="shared" si="104"/>
        <v>270967</v>
      </c>
      <c r="AH115" s="11">
        <f t="shared" si="105"/>
        <v>43957131</v>
      </c>
      <c r="AI115" s="8">
        <f t="shared" si="106"/>
        <v>42797</v>
      </c>
      <c r="AJ115" s="11">
        <f t="shared" si="107"/>
        <v>6683864</v>
      </c>
      <c r="AK115" s="8">
        <f t="shared" si="108"/>
        <v>27088</v>
      </c>
      <c r="AL115" s="11">
        <f t="shared" si="109"/>
        <v>3830902</v>
      </c>
      <c r="AM115" s="8">
        <f t="shared" si="110"/>
        <v>0</v>
      </c>
      <c r="AN115" s="11">
        <f t="shared" si="111"/>
        <v>0</v>
      </c>
      <c r="AO115" s="8">
        <f t="shared" si="119"/>
        <v>417686</v>
      </c>
      <c r="AP115" s="11">
        <f t="shared" si="112"/>
        <v>60976348</v>
      </c>
      <c r="AQ115" s="2" t="str">
        <f t="shared" si="113"/>
        <v>GANA</v>
      </c>
      <c r="AR115" s="37">
        <f t="shared" si="114"/>
        <v>0</v>
      </c>
      <c r="AS115" s="37">
        <f t="shared" si="115"/>
        <v>0</v>
      </c>
    </row>
    <row r="116" spans="2:46" x14ac:dyDescent="0.25">
      <c r="B116" s="2" t="s">
        <v>8</v>
      </c>
      <c r="C116" s="2">
        <v>2021</v>
      </c>
      <c r="D116" s="1">
        <v>24380</v>
      </c>
      <c r="E116" s="11">
        <v>2457126</v>
      </c>
      <c r="F116" s="1">
        <v>8383</v>
      </c>
      <c r="G116" s="11">
        <v>984575</v>
      </c>
      <c r="H116" s="1">
        <v>1828</v>
      </c>
      <c r="I116" s="11">
        <v>208679</v>
      </c>
      <c r="J116" s="1">
        <v>260171</v>
      </c>
      <c r="K116" s="11">
        <v>41467910</v>
      </c>
      <c r="L116" s="1">
        <v>34684</v>
      </c>
      <c r="M116" s="11">
        <v>5165506</v>
      </c>
      <c r="N116" s="1">
        <v>28550</v>
      </c>
      <c r="O116" s="11">
        <v>3994267</v>
      </c>
      <c r="P116" s="45">
        <v>0</v>
      </c>
      <c r="Q116" s="11">
        <v>0</v>
      </c>
      <c r="R116" s="1">
        <v>113</v>
      </c>
      <c r="S116" s="11">
        <v>10829</v>
      </c>
      <c r="T116" s="1">
        <f t="shared" si="116"/>
        <v>358109</v>
      </c>
      <c r="U116" s="11">
        <f t="shared" si="101"/>
        <v>54288892</v>
      </c>
      <c r="V116" s="2" t="s">
        <v>61</v>
      </c>
      <c r="X116" s="30">
        <v>164058.55000000002</v>
      </c>
      <c r="Y116" s="30">
        <f t="shared" si="117"/>
        <v>0.63057969566169947</v>
      </c>
      <c r="Z116" s="31">
        <v>315261.1275</v>
      </c>
      <c r="AA116" s="32">
        <f t="shared" si="118"/>
        <v>7.6025323557420664E-3</v>
      </c>
      <c r="AC116" s="2" t="s">
        <v>8</v>
      </c>
      <c r="AD116" s="2">
        <v>2021</v>
      </c>
      <c r="AE116" s="1">
        <f t="shared" si="102"/>
        <v>34704</v>
      </c>
      <c r="AF116" s="11">
        <f t="shared" si="103"/>
        <v>3661209</v>
      </c>
      <c r="AG116" s="1">
        <f t="shared" si="104"/>
        <v>260171</v>
      </c>
      <c r="AH116" s="11">
        <f t="shared" si="105"/>
        <v>41467910</v>
      </c>
      <c r="AI116" s="8">
        <f t="shared" si="106"/>
        <v>34684</v>
      </c>
      <c r="AJ116" s="11">
        <f t="shared" si="107"/>
        <v>5165506</v>
      </c>
      <c r="AK116" s="8">
        <f t="shared" si="108"/>
        <v>28550</v>
      </c>
      <c r="AL116" s="11">
        <f t="shared" si="109"/>
        <v>3994267</v>
      </c>
      <c r="AM116" s="8">
        <f t="shared" si="110"/>
        <v>0</v>
      </c>
      <c r="AN116" s="11">
        <f t="shared" si="111"/>
        <v>0</v>
      </c>
      <c r="AO116" s="8">
        <f t="shared" si="119"/>
        <v>358109</v>
      </c>
      <c r="AP116" s="11">
        <f t="shared" si="112"/>
        <v>54288892</v>
      </c>
      <c r="AQ116" s="2" t="str">
        <f t="shared" si="113"/>
        <v>GANA</v>
      </c>
      <c r="AR116" s="37">
        <f t="shared" si="114"/>
        <v>0</v>
      </c>
      <c r="AS116" s="37">
        <f t="shared" si="115"/>
        <v>0</v>
      </c>
    </row>
    <row r="117" spans="2:46" x14ac:dyDescent="0.25">
      <c r="B117" s="2" t="s">
        <v>9</v>
      </c>
      <c r="C117" s="2">
        <v>2021</v>
      </c>
      <c r="D117" s="1">
        <v>26096</v>
      </c>
      <c r="E117" s="11">
        <v>2580294</v>
      </c>
      <c r="F117" s="1">
        <v>8269</v>
      </c>
      <c r="G117" s="11">
        <v>955297</v>
      </c>
      <c r="H117" s="1">
        <v>2046</v>
      </c>
      <c r="I117" s="11">
        <v>256920</v>
      </c>
      <c r="J117" s="1">
        <v>270625</v>
      </c>
      <c r="K117" s="11">
        <v>43471644</v>
      </c>
      <c r="L117" s="1">
        <v>41258</v>
      </c>
      <c r="M117" s="11">
        <v>5939591</v>
      </c>
      <c r="N117" s="1">
        <v>30507</v>
      </c>
      <c r="O117" s="11">
        <v>4316257</v>
      </c>
      <c r="P117" s="45">
        <v>0</v>
      </c>
      <c r="Q117" s="11">
        <v>0</v>
      </c>
      <c r="R117" s="1">
        <v>0</v>
      </c>
      <c r="S117" s="11">
        <v>0</v>
      </c>
      <c r="T117" s="1">
        <f t="shared" si="116"/>
        <v>378801</v>
      </c>
      <c r="U117" s="11">
        <f t="shared" si="101"/>
        <v>57520003</v>
      </c>
      <c r="V117" s="2" t="s">
        <v>61</v>
      </c>
      <c r="X117" s="30">
        <v>169613.47</v>
      </c>
      <c r="Y117" s="30">
        <f t="shared" si="117"/>
        <v>0.62674723325635107</v>
      </c>
      <c r="Z117" s="31">
        <v>335157.46499999997</v>
      </c>
      <c r="AA117" s="32">
        <f t="shared" si="118"/>
        <v>7.7097950332865248E-3</v>
      </c>
      <c r="AC117" s="2" t="s">
        <v>9</v>
      </c>
      <c r="AD117" s="2">
        <v>2021</v>
      </c>
      <c r="AE117" s="1">
        <f t="shared" si="102"/>
        <v>36411</v>
      </c>
      <c r="AF117" s="11">
        <f t="shared" si="103"/>
        <v>3792511</v>
      </c>
      <c r="AG117" s="1">
        <f t="shared" si="104"/>
        <v>270625</v>
      </c>
      <c r="AH117" s="11">
        <f t="shared" si="105"/>
        <v>43471644</v>
      </c>
      <c r="AI117" s="8">
        <f t="shared" si="106"/>
        <v>41258</v>
      </c>
      <c r="AJ117" s="11">
        <f t="shared" si="107"/>
        <v>5939591</v>
      </c>
      <c r="AK117" s="8">
        <f t="shared" si="108"/>
        <v>30507</v>
      </c>
      <c r="AL117" s="11">
        <f t="shared" si="109"/>
        <v>4316257</v>
      </c>
      <c r="AM117" s="8">
        <f t="shared" si="110"/>
        <v>0</v>
      </c>
      <c r="AN117" s="11">
        <f t="shared" si="111"/>
        <v>0</v>
      </c>
      <c r="AO117" s="8">
        <f t="shared" si="119"/>
        <v>378801</v>
      </c>
      <c r="AP117" s="11">
        <f t="shared" si="112"/>
        <v>57520003</v>
      </c>
      <c r="AQ117" s="2" t="str">
        <f t="shared" si="113"/>
        <v>GANA</v>
      </c>
      <c r="AR117" s="37">
        <f t="shared" si="114"/>
        <v>0</v>
      </c>
      <c r="AS117" s="37">
        <f t="shared" si="115"/>
        <v>0</v>
      </c>
    </row>
    <row r="118" spans="2:46" x14ac:dyDescent="0.25">
      <c r="B118" s="2" t="s">
        <v>10</v>
      </c>
      <c r="C118" s="2">
        <v>2021</v>
      </c>
      <c r="D118" s="1">
        <v>25998</v>
      </c>
      <c r="E118" s="11">
        <v>2498146</v>
      </c>
      <c r="F118" s="1">
        <v>9747</v>
      </c>
      <c r="G118" s="11">
        <v>1078543</v>
      </c>
      <c r="H118" s="1">
        <v>2152</v>
      </c>
      <c r="I118" s="11">
        <v>279814</v>
      </c>
      <c r="J118" s="1">
        <v>266574</v>
      </c>
      <c r="K118" s="11">
        <v>41406855</v>
      </c>
      <c r="L118" s="1">
        <v>42563</v>
      </c>
      <c r="M118" s="11">
        <v>6145287</v>
      </c>
      <c r="N118" s="1">
        <v>31768</v>
      </c>
      <c r="O118" s="11">
        <v>4511163</v>
      </c>
      <c r="P118" s="45">
        <v>0</v>
      </c>
      <c r="Q118" s="11">
        <v>0</v>
      </c>
      <c r="R118" s="1">
        <v>0</v>
      </c>
      <c r="S118" s="11">
        <v>0</v>
      </c>
      <c r="T118" s="1">
        <f t="shared" si="116"/>
        <v>378802</v>
      </c>
      <c r="U118" s="11">
        <f t="shared" si="101"/>
        <v>55919808</v>
      </c>
      <c r="V118" s="2" t="s">
        <v>61</v>
      </c>
      <c r="X118" s="30">
        <v>165648.27000000002</v>
      </c>
      <c r="Y118" s="30">
        <f t="shared" si="117"/>
        <v>0.62139694793940903</v>
      </c>
      <c r="Z118" s="31">
        <v>326619.90999999997</v>
      </c>
      <c r="AA118" s="32">
        <f t="shared" si="118"/>
        <v>7.8880637034616612E-3</v>
      </c>
      <c r="AC118" s="2" t="s">
        <v>10</v>
      </c>
      <c r="AD118" s="2">
        <v>2021</v>
      </c>
      <c r="AE118" s="1">
        <f t="shared" si="102"/>
        <v>37897</v>
      </c>
      <c r="AF118" s="11">
        <f t="shared" si="103"/>
        <v>3856503</v>
      </c>
      <c r="AG118" s="1">
        <f t="shared" si="104"/>
        <v>266574</v>
      </c>
      <c r="AH118" s="11">
        <f t="shared" si="105"/>
        <v>41406855</v>
      </c>
      <c r="AI118" s="8">
        <f t="shared" si="106"/>
        <v>42563</v>
      </c>
      <c r="AJ118" s="11">
        <f t="shared" si="107"/>
        <v>6145287</v>
      </c>
      <c r="AK118" s="8">
        <f t="shared" si="108"/>
        <v>31768</v>
      </c>
      <c r="AL118" s="11">
        <f t="shared" si="109"/>
        <v>4511163</v>
      </c>
      <c r="AM118" s="8">
        <f t="shared" si="110"/>
        <v>0</v>
      </c>
      <c r="AN118" s="11">
        <f t="shared" si="111"/>
        <v>0</v>
      </c>
      <c r="AO118" s="8">
        <f t="shared" si="119"/>
        <v>378802</v>
      </c>
      <c r="AP118" s="11">
        <f t="shared" si="112"/>
        <v>55919808</v>
      </c>
      <c r="AQ118" s="2" t="str">
        <f t="shared" si="113"/>
        <v>GANA</v>
      </c>
      <c r="AR118" s="37">
        <f t="shared" si="114"/>
        <v>0</v>
      </c>
      <c r="AS118" s="37">
        <f t="shared" si="115"/>
        <v>0</v>
      </c>
    </row>
    <row r="119" spans="2:46" x14ac:dyDescent="0.25">
      <c r="B119" s="2" t="s">
        <v>11</v>
      </c>
      <c r="C119" s="2">
        <v>2021</v>
      </c>
      <c r="D119" s="1">
        <v>26379</v>
      </c>
      <c r="E119" s="11">
        <v>2651553</v>
      </c>
      <c r="F119" s="1">
        <v>9548</v>
      </c>
      <c r="G119" s="11">
        <v>1084339</v>
      </c>
      <c r="H119" s="1">
        <v>1964</v>
      </c>
      <c r="I119" s="11">
        <v>256904</v>
      </c>
      <c r="J119" s="1">
        <v>275616</v>
      </c>
      <c r="K119" s="11">
        <v>43392628</v>
      </c>
      <c r="L119" s="1">
        <v>42473</v>
      </c>
      <c r="M119" s="11">
        <v>6345764</v>
      </c>
      <c r="N119" s="1">
        <v>32093</v>
      </c>
      <c r="O119" s="11">
        <v>4473280</v>
      </c>
      <c r="P119" s="45">
        <v>0</v>
      </c>
      <c r="Q119" s="11">
        <v>0</v>
      </c>
      <c r="R119" s="1">
        <v>2</v>
      </c>
      <c r="S119" s="11">
        <v>217</v>
      </c>
      <c r="T119" s="1">
        <f t="shared" si="116"/>
        <v>388075</v>
      </c>
      <c r="U119" s="11">
        <f t="shared" si="101"/>
        <v>58204685</v>
      </c>
      <c r="V119" s="2" t="s">
        <v>61</v>
      </c>
      <c r="X119" s="30">
        <v>170967.89</v>
      </c>
      <c r="Y119" s="30">
        <f t="shared" si="117"/>
        <v>0.62031191948217812</v>
      </c>
      <c r="Z119" s="31">
        <v>343173.44999999995</v>
      </c>
      <c r="AA119" s="32">
        <f t="shared" si="118"/>
        <v>7.9085657130515338E-3</v>
      </c>
      <c r="AC119" s="2" t="s">
        <v>11</v>
      </c>
      <c r="AD119" s="2">
        <v>2021</v>
      </c>
      <c r="AE119" s="1">
        <f t="shared" si="102"/>
        <v>37893</v>
      </c>
      <c r="AF119" s="11">
        <f t="shared" si="103"/>
        <v>3993013</v>
      </c>
      <c r="AG119" s="1">
        <f t="shared" si="104"/>
        <v>275616</v>
      </c>
      <c r="AH119" s="11">
        <f t="shared" si="105"/>
        <v>43392628</v>
      </c>
      <c r="AI119" s="8">
        <f t="shared" si="106"/>
        <v>42473</v>
      </c>
      <c r="AJ119" s="11">
        <f t="shared" si="107"/>
        <v>6345764</v>
      </c>
      <c r="AK119" s="8">
        <f t="shared" si="108"/>
        <v>32093</v>
      </c>
      <c r="AL119" s="11">
        <f t="shared" si="109"/>
        <v>4473280</v>
      </c>
      <c r="AM119" s="8">
        <f t="shared" si="110"/>
        <v>0</v>
      </c>
      <c r="AN119" s="11">
        <f t="shared" si="111"/>
        <v>0</v>
      </c>
      <c r="AO119" s="8">
        <f t="shared" si="119"/>
        <v>388075</v>
      </c>
      <c r="AP119" s="11">
        <f t="shared" si="112"/>
        <v>58204685</v>
      </c>
      <c r="AQ119" s="2" t="str">
        <f t="shared" si="113"/>
        <v>GANA</v>
      </c>
      <c r="AR119" s="37">
        <f t="shared" si="114"/>
        <v>0</v>
      </c>
      <c r="AS119" s="37">
        <f t="shared" si="115"/>
        <v>0</v>
      </c>
    </row>
    <row r="120" spans="2:46" x14ac:dyDescent="0.25">
      <c r="B120" s="2" t="s">
        <v>4</v>
      </c>
      <c r="C120" s="2">
        <v>2021</v>
      </c>
      <c r="D120" s="1">
        <v>25490</v>
      </c>
      <c r="E120" s="11">
        <v>2590652</v>
      </c>
      <c r="F120" s="1">
        <v>8388</v>
      </c>
      <c r="G120" s="11">
        <v>953068</v>
      </c>
      <c r="H120" s="1">
        <v>4151</v>
      </c>
      <c r="I120" s="11">
        <v>435354</v>
      </c>
      <c r="J120" s="1">
        <v>267116</v>
      </c>
      <c r="K120" s="11">
        <v>42085459</v>
      </c>
      <c r="L120" s="1">
        <v>42876</v>
      </c>
      <c r="M120" s="11">
        <v>6311777</v>
      </c>
      <c r="N120" s="1">
        <v>31799</v>
      </c>
      <c r="O120" s="11">
        <v>4449932</v>
      </c>
      <c r="P120" s="1">
        <v>0</v>
      </c>
      <c r="Q120" s="11">
        <v>0</v>
      </c>
      <c r="R120" s="1">
        <v>0</v>
      </c>
      <c r="S120" s="11">
        <v>0</v>
      </c>
      <c r="T120" s="1">
        <f t="shared" si="116"/>
        <v>379820</v>
      </c>
      <c r="U120" s="48">
        <f t="shared" si="101"/>
        <v>56826242</v>
      </c>
      <c r="V120" s="2" t="s">
        <v>61</v>
      </c>
      <c r="X120" s="30">
        <v>167899.87</v>
      </c>
      <c r="Y120" s="30">
        <f t="shared" si="117"/>
        <v>0.62856537983497807</v>
      </c>
      <c r="Z120" s="31">
        <v>325043.42499999999</v>
      </c>
      <c r="AA120" s="32">
        <f t="shared" si="118"/>
        <v>7.7234140418903354E-3</v>
      </c>
      <c r="AC120" s="2" t="s">
        <v>4</v>
      </c>
      <c r="AD120" s="2">
        <v>2021</v>
      </c>
      <c r="AE120" s="1">
        <f t="shared" si="102"/>
        <v>38029</v>
      </c>
      <c r="AF120" s="11">
        <f t="shared" si="103"/>
        <v>3979074</v>
      </c>
      <c r="AG120" s="1">
        <f t="shared" si="104"/>
        <v>267116</v>
      </c>
      <c r="AH120" s="11">
        <f t="shared" si="105"/>
        <v>42085459</v>
      </c>
      <c r="AI120" s="8">
        <f t="shared" si="106"/>
        <v>42876</v>
      </c>
      <c r="AJ120" s="11">
        <f t="shared" si="107"/>
        <v>6311777</v>
      </c>
      <c r="AK120" s="8">
        <f t="shared" si="108"/>
        <v>31799</v>
      </c>
      <c r="AL120" s="11">
        <f t="shared" si="109"/>
        <v>4449932</v>
      </c>
      <c r="AM120" s="8">
        <f t="shared" si="110"/>
        <v>0</v>
      </c>
      <c r="AN120" s="11">
        <f t="shared" si="111"/>
        <v>0</v>
      </c>
      <c r="AO120" s="8">
        <f t="shared" si="119"/>
        <v>379820</v>
      </c>
      <c r="AP120" s="11">
        <f t="shared" si="112"/>
        <v>56826242</v>
      </c>
      <c r="AQ120" s="2" t="str">
        <f t="shared" si="113"/>
        <v>GANA</v>
      </c>
      <c r="AR120" s="37">
        <f t="shared" si="114"/>
        <v>0</v>
      </c>
      <c r="AS120" s="37">
        <f t="shared" si="115"/>
        <v>0</v>
      </c>
      <c r="AT120" s="13"/>
    </row>
    <row r="121" spans="2:46" x14ac:dyDescent="0.25">
      <c r="B121" s="2" t="s">
        <v>28</v>
      </c>
      <c r="C121" s="2">
        <v>2021</v>
      </c>
      <c r="D121" s="1">
        <v>23318</v>
      </c>
      <c r="E121" s="11">
        <v>2377343</v>
      </c>
      <c r="F121" s="1">
        <v>8658</v>
      </c>
      <c r="G121" s="11">
        <v>958220</v>
      </c>
      <c r="H121" s="1">
        <v>20644</v>
      </c>
      <c r="I121" s="11">
        <v>1887843</v>
      </c>
      <c r="J121" s="1">
        <v>259149</v>
      </c>
      <c r="K121" s="11">
        <v>41507794</v>
      </c>
      <c r="L121" s="1">
        <v>33287</v>
      </c>
      <c r="M121" s="11">
        <v>5213710</v>
      </c>
      <c r="N121" s="1">
        <v>33464</v>
      </c>
      <c r="O121" s="11">
        <v>4648521</v>
      </c>
      <c r="P121" s="1">
        <v>0</v>
      </c>
      <c r="Q121" s="11">
        <v>0</v>
      </c>
      <c r="R121" s="1">
        <v>8</v>
      </c>
      <c r="S121" s="11">
        <v>370</v>
      </c>
      <c r="T121" s="1">
        <f t="shared" si="116"/>
        <v>378528</v>
      </c>
      <c r="U121" s="48">
        <f t="shared" si="101"/>
        <v>56593801</v>
      </c>
      <c r="V121" s="2" t="s">
        <v>61</v>
      </c>
      <c r="X121" s="30">
        <v>165909.75</v>
      </c>
      <c r="Y121" s="30">
        <f t="shared" si="117"/>
        <v>0.64020987925865047</v>
      </c>
      <c r="Z121" s="31">
        <v>318141.89750000002</v>
      </c>
      <c r="AA121" s="32">
        <f t="shared" si="118"/>
        <v>7.664630346291109E-3</v>
      </c>
      <c r="AC121" s="2" t="s">
        <v>28</v>
      </c>
      <c r="AD121" s="2">
        <v>2021</v>
      </c>
      <c r="AE121" s="1">
        <f t="shared" si="102"/>
        <v>52628</v>
      </c>
      <c r="AF121" s="11">
        <f t="shared" si="103"/>
        <v>5223776</v>
      </c>
      <c r="AG121" s="1">
        <f t="shared" si="104"/>
        <v>259149</v>
      </c>
      <c r="AH121" s="11">
        <f t="shared" si="105"/>
        <v>41507794</v>
      </c>
      <c r="AI121" s="8">
        <f t="shared" si="106"/>
        <v>33287</v>
      </c>
      <c r="AJ121" s="11">
        <f t="shared" si="107"/>
        <v>5213710</v>
      </c>
      <c r="AK121" s="8">
        <f t="shared" si="108"/>
        <v>33464</v>
      </c>
      <c r="AL121" s="11">
        <f t="shared" si="109"/>
        <v>4648521</v>
      </c>
      <c r="AM121" s="8">
        <f t="shared" si="110"/>
        <v>0</v>
      </c>
      <c r="AN121" s="11">
        <f t="shared" si="111"/>
        <v>0</v>
      </c>
      <c r="AO121" s="8">
        <f t="shared" si="119"/>
        <v>378528</v>
      </c>
      <c r="AP121" s="11">
        <f t="shared" si="112"/>
        <v>56593801</v>
      </c>
      <c r="AQ121" s="2" t="str">
        <f t="shared" si="113"/>
        <v>GANA</v>
      </c>
      <c r="AR121" s="37">
        <f t="shared" si="114"/>
        <v>0</v>
      </c>
      <c r="AS121" s="37">
        <f t="shared" si="115"/>
        <v>0</v>
      </c>
      <c r="AT121" s="13"/>
    </row>
    <row r="122" spans="2:46" x14ac:dyDescent="0.25">
      <c r="B122" s="2" t="s">
        <v>29</v>
      </c>
      <c r="C122" s="2">
        <v>2021</v>
      </c>
      <c r="D122" s="1">
        <v>26399</v>
      </c>
      <c r="E122" s="11">
        <v>2687747</v>
      </c>
      <c r="F122" s="1">
        <v>9816</v>
      </c>
      <c r="G122" s="11">
        <v>1096039</v>
      </c>
      <c r="H122" s="1">
        <v>22867</v>
      </c>
      <c r="I122" s="11">
        <v>2335126</v>
      </c>
      <c r="J122" s="1">
        <v>284589</v>
      </c>
      <c r="K122" s="11">
        <v>45114663</v>
      </c>
      <c r="L122" s="1">
        <v>33033</v>
      </c>
      <c r="M122" s="11">
        <v>5143259</v>
      </c>
      <c r="N122" s="1">
        <v>35714</v>
      </c>
      <c r="O122" s="11">
        <v>4945281</v>
      </c>
      <c r="P122" s="1">
        <v>0</v>
      </c>
      <c r="Q122" s="11">
        <v>0</v>
      </c>
      <c r="R122" s="1">
        <v>14</v>
      </c>
      <c r="S122" s="11">
        <v>798</v>
      </c>
      <c r="T122" s="1">
        <f t="shared" si="116"/>
        <v>412432</v>
      </c>
      <c r="U122" s="48">
        <f t="shared" si="101"/>
        <v>61322913</v>
      </c>
      <c r="V122" s="2" t="s">
        <v>61</v>
      </c>
      <c r="X122" s="30">
        <v>177016.36000000002</v>
      </c>
      <c r="Y122" s="30">
        <f t="shared" si="117"/>
        <v>0.62200703470619034</v>
      </c>
      <c r="Z122" s="31">
        <v>357239.44750000001</v>
      </c>
      <c r="AA122" s="32">
        <f t="shared" si="118"/>
        <v>7.9184775801162469E-3</v>
      </c>
      <c r="AC122" s="2" t="s">
        <v>29</v>
      </c>
      <c r="AD122" s="2">
        <v>2021</v>
      </c>
      <c r="AE122" s="1">
        <f t="shared" si="102"/>
        <v>59096</v>
      </c>
      <c r="AF122" s="11">
        <f t="shared" si="103"/>
        <v>6119710</v>
      </c>
      <c r="AG122" s="1">
        <f t="shared" si="104"/>
        <v>284589</v>
      </c>
      <c r="AH122" s="11">
        <f t="shared" si="105"/>
        <v>45114663</v>
      </c>
      <c r="AI122" s="8">
        <f t="shared" si="106"/>
        <v>33033</v>
      </c>
      <c r="AJ122" s="11">
        <f t="shared" si="107"/>
        <v>5143259</v>
      </c>
      <c r="AK122" s="8">
        <f t="shared" si="108"/>
        <v>35714</v>
      </c>
      <c r="AL122" s="11">
        <f t="shared" si="109"/>
        <v>4945281</v>
      </c>
      <c r="AM122" s="8">
        <f t="shared" si="110"/>
        <v>0</v>
      </c>
      <c r="AN122" s="11">
        <f t="shared" si="111"/>
        <v>0</v>
      </c>
      <c r="AO122" s="8">
        <f t="shared" si="119"/>
        <v>412432</v>
      </c>
      <c r="AP122" s="11">
        <f t="shared" si="112"/>
        <v>61322913</v>
      </c>
      <c r="AQ122" s="2" t="str">
        <f t="shared" si="113"/>
        <v>GANA</v>
      </c>
      <c r="AR122" s="37">
        <f t="shared" si="114"/>
        <v>0</v>
      </c>
      <c r="AS122" s="37">
        <f t="shared" si="115"/>
        <v>0</v>
      </c>
      <c r="AT122" s="13"/>
    </row>
    <row r="123" spans="2:46" x14ac:dyDescent="0.25">
      <c r="B123" s="2" t="s">
        <v>30</v>
      </c>
      <c r="C123" s="2">
        <v>2021</v>
      </c>
      <c r="D123" s="1">
        <v>25548</v>
      </c>
      <c r="E123" s="11">
        <v>2598502</v>
      </c>
      <c r="F123" s="1">
        <v>9198</v>
      </c>
      <c r="G123" s="11">
        <v>1043563</v>
      </c>
      <c r="H123" s="1">
        <v>20217</v>
      </c>
      <c r="I123" s="11">
        <v>2281214</v>
      </c>
      <c r="J123" s="1">
        <v>274733</v>
      </c>
      <c r="K123" s="11">
        <v>43296636</v>
      </c>
      <c r="L123" s="1">
        <v>29607</v>
      </c>
      <c r="M123" s="11">
        <v>4693461</v>
      </c>
      <c r="N123" s="1">
        <v>33270</v>
      </c>
      <c r="O123" s="11">
        <v>4677136</v>
      </c>
      <c r="P123" s="1">
        <v>0</v>
      </c>
      <c r="Q123" s="11">
        <v>0</v>
      </c>
      <c r="R123" s="1">
        <v>0</v>
      </c>
      <c r="S123" s="48">
        <v>0</v>
      </c>
      <c r="T123" s="1">
        <f t="shared" si="116"/>
        <v>392573</v>
      </c>
      <c r="U123" s="48">
        <f t="shared" si="101"/>
        <v>58590512</v>
      </c>
      <c r="V123" s="2" t="s">
        <v>61</v>
      </c>
      <c r="X123" s="30">
        <v>170268.82</v>
      </c>
      <c r="Y123" s="30">
        <f t="shared" si="117"/>
        <v>0.61976107711851147</v>
      </c>
      <c r="Z123" s="31">
        <v>345279.935</v>
      </c>
      <c r="AA123" s="32">
        <f t="shared" si="118"/>
        <v>7.9747520107566784E-3</v>
      </c>
      <c r="AC123" s="2" t="s">
        <v>30</v>
      </c>
      <c r="AD123" s="2">
        <v>2021</v>
      </c>
      <c r="AE123" s="1">
        <f t="shared" si="102"/>
        <v>54963</v>
      </c>
      <c r="AF123" s="11">
        <f t="shared" si="103"/>
        <v>5923279</v>
      </c>
      <c r="AG123" s="1">
        <f t="shared" si="104"/>
        <v>274733</v>
      </c>
      <c r="AH123" s="11">
        <f t="shared" si="105"/>
        <v>43296636</v>
      </c>
      <c r="AI123" s="8">
        <f t="shared" si="106"/>
        <v>29607</v>
      </c>
      <c r="AJ123" s="11">
        <f t="shared" si="107"/>
        <v>4693461</v>
      </c>
      <c r="AK123" s="8">
        <f t="shared" si="108"/>
        <v>33270</v>
      </c>
      <c r="AL123" s="11">
        <f t="shared" si="109"/>
        <v>4677136</v>
      </c>
      <c r="AM123" s="8">
        <f t="shared" si="110"/>
        <v>0</v>
      </c>
      <c r="AN123" s="11">
        <f t="shared" si="111"/>
        <v>0</v>
      </c>
      <c r="AO123" s="8">
        <f t="shared" si="119"/>
        <v>392573</v>
      </c>
      <c r="AP123" s="11">
        <f t="shared" si="112"/>
        <v>58590512</v>
      </c>
      <c r="AQ123" s="2" t="str">
        <f t="shared" si="113"/>
        <v>GANA</v>
      </c>
      <c r="AR123" s="37">
        <f t="shared" si="114"/>
        <v>0</v>
      </c>
      <c r="AS123" s="37">
        <f t="shared" si="115"/>
        <v>0</v>
      </c>
    </row>
    <row r="124" spans="2:46" x14ac:dyDescent="0.25">
      <c r="B124" s="2" t="s">
        <v>31</v>
      </c>
      <c r="C124" s="2">
        <v>2021</v>
      </c>
      <c r="D124" s="1">
        <v>30528</v>
      </c>
      <c r="E124" s="11">
        <v>3120887</v>
      </c>
      <c r="F124" s="1">
        <v>9486</v>
      </c>
      <c r="G124" s="11">
        <v>1073581</v>
      </c>
      <c r="H124" s="1">
        <v>19644</v>
      </c>
      <c r="I124" s="11">
        <v>2444952</v>
      </c>
      <c r="J124" s="1">
        <v>300149</v>
      </c>
      <c r="K124" s="11">
        <v>45906226</v>
      </c>
      <c r="L124" s="1">
        <v>30296</v>
      </c>
      <c r="M124" s="11">
        <v>4864888</v>
      </c>
      <c r="N124" s="1">
        <v>35791</v>
      </c>
      <c r="O124" s="11">
        <v>4972999</v>
      </c>
      <c r="P124" s="1">
        <v>0</v>
      </c>
      <c r="Q124" s="11">
        <v>0</v>
      </c>
      <c r="R124" s="52">
        <v>4</v>
      </c>
      <c r="S124" s="51">
        <v>228</v>
      </c>
      <c r="T124" s="52">
        <f t="shared" si="116"/>
        <v>425898</v>
      </c>
      <c r="U124" s="51">
        <f t="shared" si="101"/>
        <v>62383761</v>
      </c>
      <c r="V124" s="2" t="s">
        <v>61</v>
      </c>
      <c r="X124" s="30">
        <v>183847.57</v>
      </c>
      <c r="Y124" s="30">
        <f t="shared" si="117"/>
        <v>0.6125210145627672</v>
      </c>
      <c r="Z124" s="31">
        <v>368639.74249999993</v>
      </c>
      <c r="AA124" s="32">
        <f t="shared" si="118"/>
        <v>8.0302776904378932E-3</v>
      </c>
      <c r="AC124" s="2" t="s">
        <v>31</v>
      </c>
      <c r="AD124" s="2">
        <v>2021</v>
      </c>
      <c r="AE124" s="1">
        <f t="shared" si="102"/>
        <v>59662</v>
      </c>
      <c r="AF124" s="11">
        <f t="shared" si="103"/>
        <v>6639648</v>
      </c>
      <c r="AG124" s="1">
        <f t="shared" si="104"/>
        <v>300149</v>
      </c>
      <c r="AH124" s="11">
        <f t="shared" si="105"/>
        <v>45906226</v>
      </c>
      <c r="AI124" s="8">
        <f t="shared" si="106"/>
        <v>30296</v>
      </c>
      <c r="AJ124" s="11">
        <f t="shared" si="107"/>
        <v>4864888</v>
      </c>
      <c r="AK124" s="8">
        <f t="shared" si="108"/>
        <v>35791</v>
      </c>
      <c r="AL124" s="11">
        <f t="shared" si="109"/>
        <v>4972999</v>
      </c>
      <c r="AM124" s="8">
        <f t="shared" si="110"/>
        <v>0</v>
      </c>
      <c r="AN124" s="11">
        <f t="shared" si="111"/>
        <v>0</v>
      </c>
      <c r="AO124" s="8">
        <f t="shared" si="119"/>
        <v>425898</v>
      </c>
      <c r="AP124" s="11">
        <f t="shared" si="112"/>
        <v>62383761</v>
      </c>
      <c r="AQ124" s="2" t="str">
        <f t="shared" si="113"/>
        <v>GANA</v>
      </c>
      <c r="AR124" s="37">
        <f t="shared" si="114"/>
        <v>0</v>
      </c>
      <c r="AS124" s="37">
        <f t="shared" si="115"/>
        <v>0</v>
      </c>
    </row>
    <row r="125" spans="2:46" x14ac:dyDescent="0.25">
      <c r="R125" s="9"/>
      <c r="U125" s="9"/>
      <c r="AF125" s="9"/>
      <c r="AH125" s="9"/>
      <c r="AJ125" s="9"/>
      <c r="AL125" s="9"/>
      <c r="AM125" s="9"/>
      <c r="AN125" s="9"/>
      <c r="AP125" s="9"/>
    </row>
    <row r="126" spans="2:46" x14ac:dyDescent="0.25">
      <c r="B126" s="3" t="s">
        <v>12</v>
      </c>
      <c r="C126" s="3"/>
      <c r="D126" s="4">
        <f t="shared" ref="D126:U126" si="120">SUM(D113:D125)</f>
        <v>301571</v>
      </c>
      <c r="E126" s="12">
        <f t="shared" si="120"/>
        <v>30271442</v>
      </c>
      <c r="F126" s="4">
        <f t="shared" si="120"/>
        <v>110903</v>
      </c>
      <c r="G126" s="12">
        <f t="shared" si="120"/>
        <v>12595399</v>
      </c>
      <c r="H126" s="4">
        <f t="shared" si="120"/>
        <v>100594</v>
      </c>
      <c r="I126" s="12">
        <f t="shared" si="120"/>
        <v>10939969</v>
      </c>
      <c r="J126" s="4">
        <f t="shared" si="120"/>
        <v>3184381</v>
      </c>
      <c r="K126" s="12">
        <f t="shared" si="120"/>
        <v>502934635</v>
      </c>
      <c r="L126" s="4">
        <f t="shared" si="120"/>
        <v>450742</v>
      </c>
      <c r="M126" s="12">
        <f t="shared" si="120"/>
        <v>68291856</v>
      </c>
      <c r="N126" s="4">
        <f t="shared" si="120"/>
        <v>366279</v>
      </c>
      <c r="O126" s="12">
        <f t="shared" si="120"/>
        <v>51241734</v>
      </c>
      <c r="P126" s="4">
        <f t="shared" si="120"/>
        <v>0</v>
      </c>
      <c r="Q126" s="12">
        <f t="shared" si="120"/>
        <v>0</v>
      </c>
      <c r="R126" s="4">
        <f>SUM(R113:R125)</f>
        <v>99125</v>
      </c>
      <c r="S126" s="12">
        <f>SUM(S113:S125)</f>
        <v>6513701</v>
      </c>
      <c r="T126" s="4">
        <f t="shared" si="120"/>
        <v>4613595</v>
      </c>
      <c r="U126" s="12">
        <f t="shared" si="120"/>
        <v>682788736</v>
      </c>
      <c r="X126" s="12">
        <f>AVERAGE(X113:X125)</f>
        <v>165907.9316666667</v>
      </c>
      <c r="Y126" s="12">
        <f t="shared" ref="Y126:AA126" si="121">AVERAGE(Y113:Y125)</f>
        <v>0.62545378114302086</v>
      </c>
      <c r="Z126" s="12">
        <f t="shared" si="121"/>
        <v>325561.5395833333</v>
      </c>
      <c r="AA126" s="16">
        <f t="shared" si="121"/>
        <v>7.7605765187370272E-3</v>
      </c>
      <c r="AC126" s="3" t="s">
        <v>12</v>
      </c>
      <c r="AD126" s="3"/>
      <c r="AE126" s="4">
        <f t="shared" ref="AE126:AP126" si="122">SUM(AE113:AE125)</f>
        <v>612193</v>
      </c>
      <c r="AF126" s="12">
        <f t="shared" si="122"/>
        <v>60320511</v>
      </c>
      <c r="AG126" s="4">
        <f t="shared" si="122"/>
        <v>3184381</v>
      </c>
      <c r="AH126" s="12">
        <f t="shared" si="122"/>
        <v>502934635</v>
      </c>
      <c r="AI126" s="4">
        <f t="shared" si="122"/>
        <v>450742</v>
      </c>
      <c r="AJ126" s="12">
        <f t="shared" si="122"/>
        <v>68291856</v>
      </c>
      <c r="AK126" s="4">
        <f t="shared" si="122"/>
        <v>366279</v>
      </c>
      <c r="AL126" s="12">
        <f t="shared" si="122"/>
        <v>51241734</v>
      </c>
      <c r="AM126" s="4">
        <f t="shared" si="122"/>
        <v>0</v>
      </c>
      <c r="AN126" s="12">
        <f t="shared" si="122"/>
        <v>0</v>
      </c>
      <c r="AO126" s="4">
        <f t="shared" si="122"/>
        <v>4613595</v>
      </c>
      <c r="AP126" s="12">
        <f t="shared" si="122"/>
        <v>682788736</v>
      </c>
    </row>
    <row r="127" spans="2:46" x14ac:dyDescent="0.25">
      <c r="J127" s="46" t="str">
        <f>+$B$108</f>
        <v>Aforo e Ingreso - GANA</v>
      </c>
      <c r="K127" s="9" t="s">
        <v>84</v>
      </c>
      <c r="L127" s="15">
        <f>AVERAGE(L113:L124)</f>
        <v>37561.833333333336</v>
      </c>
      <c r="M127" s="28">
        <f>AVERAGE(M113:M124)</f>
        <v>5690988</v>
      </c>
      <c r="R127" s="28"/>
      <c r="S127" s="28"/>
      <c r="T127" s="15">
        <f>AVERAGE(T113:T124)</f>
        <v>384466.25</v>
      </c>
      <c r="U127" s="28">
        <f>AVERAGE(U113:U124)</f>
        <v>56899061.333333336</v>
      </c>
    </row>
    <row r="128" spans="2:46" x14ac:dyDescent="0.25">
      <c r="B128" s="5" t="s">
        <v>14</v>
      </c>
      <c r="J128" s="46" t="str">
        <f>+$B$108</f>
        <v>Aforo e Ingreso - GANA</v>
      </c>
      <c r="K128" s="9" t="s">
        <v>85</v>
      </c>
      <c r="L128" s="44">
        <f>+L127/$L$295</f>
        <v>0.12254054784413164</v>
      </c>
      <c r="M128" s="44">
        <f>+M127/$M$295</f>
        <v>0.14815607330358493</v>
      </c>
      <c r="N128" s="29"/>
      <c r="T128" s="44">
        <f>+L127/T127</f>
        <v>9.7698649317939701E-2</v>
      </c>
      <c r="U128" s="44">
        <f>+M127/U127</f>
        <v>0.1000190137875971</v>
      </c>
    </row>
    <row r="129" spans="1:45" x14ac:dyDescent="0.25">
      <c r="B129" s="5" t="s">
        <v>36</v>
      </c>
      <c r="L129" s="26"/>
      <c r="M129" s="26"/>
    </row>
    <row r="130" spans="1:45" x14ac:dyDescent="0.25">
      <c r="B130" s="5"/>
    </row>
    <row r="131" spans="1:45" x14ac:dyDescent="0.25">
      <c r="D131" s="89" t="s">
        <v>15</v>
      </c>
      <c r="E131" s="90"/>
      <c r="F131" s="89" t="s">
        <v>71</v>
      </c>
      <c r="G131" s="90"/>
      <c r="H131" s="89" t="s">
        <v>16</v>
      </c>
      <c r="I131" s="90"/>
      <c r="J131" s="89" t="s">
        <v>17</v>
      </c>
      <c r="K131" s="93"/>
      <c r="L131" s="89" t="s">
        <v>18</v>
      </c>
      <c r="M131" s="93"/>
      <c r="N131" s="89" t="s">
        <v>13</v>
      </c>
      <c r="O131" s="93"/>
      <c r="P131" s="89" t="s">
        <v>34</v>
      </c>
      <c r="Q131" s="93"/>
      <c r="R131" s="89" t="s">
        <v>12</v>
      </c>
      <c r="S131" s="93"/>
      <c r="AE131" s="89" t="s">
        <v>69</v>
      </c>
      <c r="AF131" s="90"/>
      <c r="AG131" s="89" t="s">
        <v>17</v>
      </c>
      <c r="AH131" s="93"/>
      <c r="AI131" s="89" t="s">
        <v>18</v>
      </c>
      <c r="AJ131" s="93"/>
      <c r="AK131" s="89" t="s">
        <v>13</v>
      </c>
      <c r="AL131" s="93"/>
      <c r="AM131" s="89" t="s">
        <v>34</v>
      </c>
      <c r="AN131" s="93"/>
      <c r="AO131" s="89" t="s">
        <v>12</v>
      </c>
      <c r="AP131" s="93"/>
    </row>
    <row r="132" spans="1:45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AC132" s="7" t="s">
        <v>0</v>
      </c>
      <c r="AD132" s="7" t="s">
        <v>1</v>
      </c>
      <c r="AE132" s="7" t="s">
        <v>2</v>
      </c>
      <c r="AF132" s="10" t="s">
        <v>3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</row>
    <row r="133" spans="1:45" x14ac:dyDescent="0.25">
      <c r="AF133" s="9"/>
      <c r="AH133" s="9"/>
      <c r="AJ133" s="9"/>
      <c r="AL133" s="9"/>
      <c r="AM133" s="9"/>
      <c r="AN133" s="9"/>
      <c r="AP133" s="9"/>
    </row>
    <row r="134" spans="1:45" x14ac:dyDescent="0.25">
      <c r="B134" s="2" t="s">
        <v>5</v>
      </c>
      <c r="C134" s="2">
        <v>2021</v>
      </c>
      <c r="D134" s="1">
        <v>6443</v>
      </c>
      <c r="E134" s="11">
        <v>638445</v>
      </c>
      <c r="F134" s="1">
        <v>2389</v>
      </c>
      <c r="G134" s="11">
        <v>289413</v>
      </c>
      <c r="H134" s="1">
        <v>541</v>
      </c>
      <c r="I134" s="11">
        <v>92345</v>
      </c>
      <c r="J134" s="45">
        <v>0</v>
      </c>
      <c r="K134" s="11">
        <v>0</v>
      </c>
      <c r="L134" s="45">
        <v>0</v>
      </c>
      <c r="M134" s="11">
        <v>0</v>
      </c>
      <c r="N134" s="1">
        <v>5286</v>
      </c>
      <c r="O134" s="11">
        <v>815255</v>
      </c>
      <c r="P134" s="45">
        <v>0</v>
      </c>
      <c r="Q134" s="11">
        <v>0</v>
      </c>
      <c r="R134" s="8">
        <f t="shared" ref="R134:S145" si="123">N134+L134+J134+H134+D134+P134+F134</f>
        <v>14659</v>
      </c>
      <c r="S134" s="11">
        <f t="shared" si="123"/>
        <v>1835458</v>
      </c>
      <c r="T134" s="2" t="s">
        <v>62</v>
      </c>
      <c r="AC134" s="2" t="s">
        <v>5</v>
      </c>
      <c r="AD134" s="2">
        <v>2021</v>
      </c>
      <c r="AE134" s="1">
        <f t="shared" ref="AE134:AE145" si="124">D134+H134+F134</f>
        <v>9373</v>
      </c>
      <c r="AF134" s="11">
        <f t="shared" ref="AF134:AF145" si="125">E134+I134+G134</f>
        <v>1020203</v>
      </c>
      <c r="AG134" s="1">
        <f t="shared" ref="AG134:AG145" si="126">+J134</f>
        <v>0</v>
      </c>
      <c r="AH134" s="11">
        <f t="shared" ref="AH134:AH145" si="127">+K134</f>
        <v>0</v>
      </c>
      <c r="AI134" s="8">
        <f t="shared" ref="AI134:AI145" si="128">+L134</f>
        <v>0</v>
      </c>
      <c r="AJ134" s="11">
        <f t="shared" ref="AJ134:AJ145" si="129">+M134</f>
        <v>0</v>
      </c>
      <c r="AK134" s="8">
        <f t="shared" ref="AK134:AK145" si="130">+N134</f>
        <v>5286</v>
      </c>
      <c r="AL134" s="11">
        <f t="shared" ref="AL134:AL145" si="131">+O134</f>
        <v>815255</v>
      </c>
      <c r="AM134" s="8">
        <f t="shared" ref="AM134:AM145" si="132">+P134</f>
        <v>0</v>
      </c>
      <c r="AN134" s="11">
        <f t="shared" ref="AN134:AN145" si="133">+Q134</f>
        <v>0</v>
      </c>
      <c r="AO134" s="8">
        <f>AM134+AK134+AI134+AG134+AE134</f>
        <v>14659</v>
      </c>
      <c r="AP134" s="11">
        <f t="shared" ref="AP134:AP145" si="134">AN134+AL134+AJ134+AH134+AF134</f>
        <v>1835458</v>
      </c>
      <c r="AQ134" s="2" t="str">
        <f t="shared" ref="AQ134:AQ145" si="135">+T134</f>
        <v>CAMS</v>
      </c>
      <c r="AR134" s="37">
        <f t="shared" ref="AR134:AR145" si="136">+AO134-R134</f>
        <v>0</v>
      </c>
      <c r="AS134" s="37">
        <f t="shared" ref="AS134:AS145" si="137">+AP134-S134</f>
        <v>0</v>
      </c>
    </row>
    <row r="135" spans="1:45" x14ac:dyDescent="0.25">
      <c r="B135" s="2" t="s">
        <v>6</v>
      </c>
      <c r="C135" s="2">
        <v>2021</v>
      </c>
      <c r="D135" s="1">
        <v>6375</v>
      </c>
      <c r="E135" s="11">
        <v>649113</v>
      </c>
      <c r="F135" s="1">
        <v>2208</v>
      </c>
      <c r="G135" s="11">
        <v>284188</v>
      </c>
      <c r="H135" s="1">
        <v>632</v>
      </c>
      <c r="I135" s="11">
        <v>101165</v>
      </c>
      <c r="J135" s="45">
        <v>0</v>
      </c>
      <c r="K135" s="11">
        <v>0</v>
      </c>
      <c r="L135" s="45">
        <v>0</v>
      </c>
      <c r="M135" s="11">
        <v>0</v>
      </c>
      <c r="N135" s="1">
        <v>5056</v>
      </c>
      <c r="O135" s="11">
        <v>825668</v>
      </c>
      <c r="P135" s="45">
        <v>0</v>
      </c>
      <c r="Q135" s="11">
        <v>0</v>
      </c>
      <c r="R135" s="8">
        <f t="shared" si="123"/>
        <v>14271</v>
      </c>
      <c r="S135" s="11">
        <f t="shared" si="123"/>
        <v>1860134</v>
      </c>
      <c r="T135" s="2" t="s">
        <v>62</v>
      </c>
      <c r="AC135" s="2" t="s">
        <v>6</v>
      </c>
      <c r="AD135" s="2">
        <v>2021</v>
      </c>
      <c r="AE135" s="1">
        <f t="shared" si="124"/>
        <v>9215</v>
      </c>
      <c r="AF135" s="11">
        <f t="shared" si="125"/>
        <v>1034466</v>
      </c>
      <c r="AG135" s="1">
        <f t="shared" si="126"/>
        <v>0</v>
      </c>
      <c r="AH135" s="11">
        <f t="shared" si="127"/>
        <v>0</v>
      </c>
      <c r="AI135" s="8">
        <f t="shared" si="128"/>
        <v>0</v>
      </c>
      <c r="AJ135" s="11">
        <f t="shared" si="129"/>
        <v>0</v>
      </c>
      <c r="AK135" s="8">
        <f t="shared" si="130"/>
        <v>5056</v>
      </c>
      <c r="AL135" s="11">
        <f t="shared" si="131"/>
        <v>825668</v>
      </c>
      <c r="AM135" s="8">
        <f t="shared" si="132"/>
        <v>0</v>
      </c>
      <c r="AN135" s="11">
        <f t="shared" si="133"/>
        <v>0</v>
      </c>
      <c r="AO135" s="8">
        <f t="shared" ref="AO135:AO145" si="138">AM135+AK135+AI135+AG135+AE135</f>
        <v>14271</v>
      </c>
      <c r="AP135" s="11">
        <f t="shared" si="134"/>
        <v>1860134</v>
      </c>
      <c r="AQ135" s="2" t="str">
        <f t="shared" si="135"/>
        <v>CAMS</v>
      </c>
      <c r="AR135" s="37">
        <f t="shared" si="136"/>
        <v>0</v>
      </c>
      <c r="AS135" s="37">
        <f t="shared" si="137"/>
        <v>0</v>
      </c>
    </row>
    <row r="136" spans="1:45" x14ac:dyDescent="0.25">
      <c r="B136" s="2" t="s">
        <v>7</v>
      </c>
      <c r="C136" s="2">
        <v>2021</v>
      </c>
      <c r="D136" s="1">
        <v>9430</v>
      </c>
      <c r="E136" s="11">
        <v>972075</v>
      </c>
      <c r="F136" s="1">
        <v>2724</v>
      </c>
      <c r="G136" s="11">
        <v>352174</v>
      </c>
      <c r="H136" s="1">
        <v>1021</v>
      </c>
      <c r="I136" s="11">
        <v>174590</v>
      </c>
      <c r="J136" s="45">
        <v>0</v>
      </c>
      <c r="K136" s="11">
        <v>0</v>
      </c>
      <c r="L136" s="45">
        <v>0</v>
      </c>
      <c r="M136" s="11">
        <v>0</v>
      </c>
      <c r="N136" s="1">
        <v>6248</v>
      </c>
      <c r="O136" s="11">
        <v>1032780</v>
      </c>
      <c r="P136" s="45">
        <v>0</v>
      </c>
      <c r="Q136" s="11">
        <v>0</v>
      </c>
      <c r="R136" s="8">
        <f t="shared" si="123"/>
        <v>19423</v>
      </c>
      <c r="S136" s="11">
        <f t="shared" si="123"/>
        <v>2531619</v>
      </c>
      <c r="T136" s="2" t="s">
        <v>62</v>
      </c>
      <c r="AC136" s="2" t="s">
        <v>7</v>
      </c>
      <c r="AD136" s="2">
        <v>2021</v>
      </c>
      <c r="AE136" s="1">
        <f t="shared" si="124"/>
        <v>13175</v>
      </c>
      <c r="AF136" s="11">
        <f t="shared" si="125"/>
        <v>1498839</v>
      </c>
      <c r="AG136" s="1">
        <f t="shared" si="126"/>
        <v>0</v>
      </c>
      <c r="AH136" s="11">
        <f t="shared" si="127"/>
        <v>0</v>
      </c>
      <c r="AI136" s="8">
        <f t="shared" si="128"/>
        <v>0</v>
      </c>
      <c r="AJ136" s="11">
        <f t="shared" si="129"/>
        <v>0</v>
      </c>
      <c r="AK136" s="8">
        <f t="shared" si="130"/>
        <v>6248</v>
      </c>
      <c r="AL136" s="11">
        <f t="shared" si="131"/>
        <v>1032780</v>
      </c>
      <c r="AM136" s="8">
        <f t="shared" si="132"/>
        <v>0</v>
      </c>
      <c r="AN136" s="11">
        <f t="shared" si="133"/>
        <v>0</v>
      </c>
      <c r="AO136" s="8">
        <f t="shared" si="138"/>
        <v>19423</v>
      </c>
      <c r="AP136" s="11">
        <f t="shared" si="134"/>
        <v>2531619</v>
      </c>
      <c r="AQ136" s="2" t="str">
        <f t="shared" si="135"/>
        <v>CAMS</v>
      </c>
      <c r="AR136" s="37">
        <f t="shared" si="136"/>
        <v>0</v>
      </c>
      <c r="AS136" s="37">
        <f t="shared" si="137"/>
        <v>0</v>
      </c>
    </row>
    <row r="137" spans="1:45" x14ac:dyDescent="0.25">
      <c r="B137" s="2" t="s">
        <v>8</v>
      </c>
      <c r="C137" s="2">
        <v>2021</v>
      </c>
      <c r="D137" s="1">
        <v>9517</v>
      </c>
      <c r="E137" s="11">
        <v>978724</v>
      </c>
      <c r="F137" s="1">
        <v>2755</v>
      </c>
      <c r="G137" s="11">
        <v>336010</v>
      </c>
      <c r="H137" s="1">
        <v>865</v>
      </c>
      <c r="I137" s="11">
        <v>147428</v>
      </c>
      <c r="J137" s="45">
        <v>0</v>
      </c>
      <c r="K137" s="11">
        <v>0</v>
      </c>
      <c r="L137" s="45">
        <v>0</v>
      </c>
      <c r="M137" s="11">
        <v>0</v>
      </c>
      <c r="N137" s="1">
        <v>7036</v>
      </c>
      <c r="O137" s="11">
        <v>1131707</v>
      </c>
      <c r="P137" s="45">
        <v>0</v>
      </c>
      <c r="Q137" s="11">
        <v>0</v>
      </c>
      <c r="R137" s="8">
        <f t="shared" si="123"/>
        <v>20173</v>
      </c>
      <c r="S137" s="11">
        <f t="shared" si="123"/>
        <v>2593869</v>
      </c>
      <c r="T137" s="2" t="s">
        <v>62</v>
      </c>
      <c r="AC137" s="2" t="s">
        <v>8</v>
      </c>
      <c r="AD137" s="2">
        <v>2021</v>
      </c>
      <c r="AE137" s="1">
        <f t="shared" si="124"/>
        <v>13137</v>
      </c>
      <c r="AF137" s="11">
        <f t="shared" si="125"/>
        <v>1462162</v>
      </c>
      <c r="AG137" s="1">
        <f t="shared" si="126"/>
        <v>0</v>
      </c>
      <c r="AH137" s="11">
        <f t="shared" si="127"/>
        <v>0</v>
      </c>
      <c r="AI137" s="8">
        <f t="shared" si="128"/>
        <v>0</v>
      </c>
      <c r="AJ137" s="11">
        <f t="shared" si="129"/>
        <v>0</v>
      </c>
      <c r="AK137" s="8">
        <f t="shared" si="130"/>
        <v>7036</v>
      </c>
      <c r="AL137" s="11">
        <f t="shared" si="131"/>
        <v>1131707</v>
      </c>
      <c r="AM137" s="8">
        <f t="shared" si="132"/>
        <v>0</v>
      </c>
      <c r="AN137" s="11">
        <f t="shared" si="133"/>
        <v>0</v>
      </c>
      <c r="AO137" s="8">
        <f t="shared" si="138"/>
        <v>20173</v>
      </c>
      <c r="AP137" s="11">
        <f t="shared" si="134"/>
        <v>2593869</v>
      </c>
      <c r="AQ137" s="2" t="str">
        <f t="shared" si="135"/>
        <v>CAMS</v>
      </c>
      <c r="AR137" s="37">
        <f t="shared" si="136"/>
        <v>0</v>
      </c>
      <c r="AS137" s="37">
        <f t="shared" si="137"/>
        <v>0</v>
      </c>
    </row>
    <row r="138" spans="1:45" x14ac:dyDescent="0.25">
      <c r="B138" s="2" t="s">
        <v>9</v>
      </c>
      <c r="C138" s="2">
        <v>2021</v>
      </c>
      <c r="D138" s="1">
        <v>10699</v>
      </c>
      <c r="E138" s="11">
        <v>1135878</v>
      </c>
      <c r="F138" s="1">
        <v>3313</v>
      </c>
      <c r="G138" s="11">
        <v>404824</v>
      </c>
      <c r="H138" s="1">
        <v>903</v>
      </c>
      <c r="I138" s="11">
        <v>135045</v>
      </c>
      <c r="J138" s="45">
        <v>0</v>
      </c>
      <c r="K138" s="11">
        <v>0</v>
      </c>
      <c r="L138" s="45">
        <v>0</v>
      </c>
      <c r="M138" s="11">
        <v>0</v>
      </c>
      <c r="N138" s="1">
        <v>7929</v>
      </c>
      <c r="O138" s="11">
        <v>1200489</v>
      </c>
      <c r="P138" s="45">
        <v>0</v>
      </c>
      <c r="Q138" s="11">
        <v>0</v>
      </c>
      <c r="R138" s="8">
        <f t="shared" si="123"/>
        <v>22844</v>
      </c>
      <c r="S138" s="11">
        <f t="shared" si="123"/>
        <v>2876236</v>
      </c>
      <c r="T138" s="2" t="s">
        <v>62</v>
      </c>
      <c r="AC138" s="2" t="s">
        <v>9</v>
      </c>
      <c r="AD138" s="2">
        <v>2021</v>
      </c>
      <c r="AE138" s="1">
        <f t="shared" si="124"/>
        <v>14915</v>
      </c>
      <c r="AF138" s="11">
        <f t="shared" si="125"/>
        <v>1675747</v>
      </c>
      <c r="AG138" s="1">
        <f t="shared" si="126"/>
        <v>0</v>
      </c>
      <c r="AH138" s="11">
        <f t="shared" si="127"/>
        <v>0</v>
      </c>
      <c r="AI138" s="8">
        <f t="shared" si="128"/>
        <v>0</v>
      </c>
      <c r="AJ138" s="11">
        <f t="shared" si="129"/>
        <v>0</v>
      </c>
      <c r="AK138" s="8">
        <f t="shared" si="130"/>
        <v>7929</v>
      </c>
      <c r="AL138" s="11">
        <f t="shared" si="131"/>
        <v>1200489</v>
      </c>
      <c r="AM138" s="8">
        <f t="shared" si="132"/>
        <v>0</v>
      </c>
      <c r="AN138" s="11">
        <f t="shared" si="133"/>
        <v>0</v>
      </c>
      <c r="AO138" s="8">
        <f t="shared" si="138"/>
        <v>22844</v>
      </c>
      <c r="AP138" s="11">
        <f t="shared" si="134"/>
        <v>2876236</v>
      </c>
      <c r="AQ138" s="2" t="str">
        <f t="shared" si="135"/>
        <v>CAMS</v>
      </c>
      <c r="AR138" s="37">
        <f t="shared" si="136"/>
        <v>0</v>
      </c>
      <c r="AS138" s="37">
        <f t="shared" si="137"/>
        <v>0</v>
      </c>
    </row>
    <row r="139" spans="1:45" x14ac:dyDescent="0.25">
      <c r="B139" s="2" t="s">
        <v>10</v>
      </c>
      <c r="C139" s="2">
        <v>2021</v>
      </c>
      <c r="D139" s="1">
        <v>10882</v>
      </c>
      <c r="E139" s="11">
        <v>1146947</v>
      </c>
      <c r="F139" s="1">
        <v>3282</v>
      </c>
      <c r="G139" s="11">
        <v>388470</v>
      </c>
      <c r="H139" s="1">
        <v>1301</v>
      </c>
      <c r="I139" s="11">
        <v>195660</v>
      </c>
      <c r="J139" s="45">
        <v>0</v>
      </c>
      <c r="K139" s="11">
        <v>0</v>
      </c>
      <c r="L139" s="45">
        <v>0</v>
      </c>
      <c r="M139" s="11">
        <v>0</v>
      </c>
      <c r="N139" s="1">
        <v>9948</v>
      </c>
      <c r="O139" s="11">
        <v>1452697</v>
      </c>
      <c r="P139" s="45">
        <v>0</v>
      </c>
      <c r="Q139" s="11">
        <v>0</v>
      </c>
      <c r="R139" s="8">
        <f t="shared" si="123"/>
        <v>25413</v>
      </c>
      <c r="S139" s="11">
        <f t="shared" si="123"/>
        <v>3183774</v>
      </c>
      <c r="T139" s="2" t="s">
        <v>62</v>
      </c>
      <c r="AC139" s="2" t="s">
        <v>10</v>
      </c>
      <c r="AD139" s="2">
        <v>2021</v>
      </c>
      <c r="AE139" s="1">
        <f t="shared" si="124"/>
        <v>15465</v>
      </c>
      <c r="AF139" s="11">
        <f t="shared" si="125"/>
        <v>1731077</v>
      </c>
      <c r="AG139" s="1">
        <f t="shared" si="126"/>
        <v>0</v>
      </c>
      <c r="AH139" s="11">
        <f t="shared" si="127"/>
        <v>0</v>
      </c>
      <c r="AI139" s="8">
        <f t="shared" si="128"/>
        <v>0</v>
      </c>
      <c r="AJ139" s="11">
        <f t="shared" si="129"/>
        <v>0</v>
      </c>
      <c r="AK139" s="8">
        <f t="shared" si="130"/>
        <v>9948</v>
      </c>
      <c r="AL139" s="11">
        <f t="shared" si="131"/>
        <v>1452697</v>
      </c>
      <c r="AM139" s="8">
        <f t="shared" si="132"/>
        <v>0</v>
      </c>
      <c r="AN139" s="11">
        <f t="shared" si="133"/>
        <v>0</v>
      </c>
      <c r="AO139" s="8">
        <f t="shared" si="138"/>
        <v>25413</v>
      </c>
      <c r="AP139" s="11">
        <f t="shared" si="134"/>
        <v>3183774</v>
      </c>
      <c r="AQ139" s="2" t="str">
        <f t="shared" si="135"/>
        <v>CAMS</v>
      </c>
      <c r="AR139" s="37">
        <f t="shared" si="136"/>
        <v>0</v>
      </c>
      <c r="AS139" s="37">
        <f t="shared" si="137"/>
        <v>0</v>
      </c>
    </row>
    <row r="140" spans="1:45" x14ac:dyDescent="0.25">
      <c r="B140" s="2" t="s">
        <v>11</v>
      </c>
      <c r="C140" s="2">
        <v>2021</v>
      </c>
      <c r="D140" s="1">
        <v>12353</v>
      </c>
      <c r="E140" s="11">
        <v>1295411</v>
      </c>
      <c r="F140" s="1">
        <v>3934</v>
      </c>
      <c r="G140" s="11">
        <v>497372</v>
      </c>
      <c r="H140" s="1">
        <v>1447</v>
      </c>
      <c r="I140" s="11">
        <v>226062</v>
      </c>
      <c r="J140" s="45">
        <v>0</v>
      </c>
      <c r="K140" s="11">
        <v>0</v>
      </c>
      <c r="L140" s="45">
        <v>0</v>
      </c>
      <c r="M140" s="11">
        <v>0</v>
      </c>
      <c r="N140" s="1">
        <v>10809</v>
      </c>
      <c r="O140" s="11">
        <v>1603714</v>
      </c>
      <c r="P140" s="45">
        <v>0</v>
      </c>
      <c r="Q140" s="11">
        <v>0</v>
      </c>
      <c r="R140" s="8">
        <f t="shared" si="123"/>
        <v>28543</v>
      </c>
      <c r="S140" s="11">
        <f t="shared" si="123"/>
        <v>3622559</v>
      </c>
      <c r="T140" s="2" t="s">
        <v>62</v>
      </c>
      <c r="AC140" s="2" t="s">
        <v>11</v>
      </c>
      <c r="AD140" s="2">
        <v>2021</v>
      </c>
      <c r="AE140" s="1">
        <f t="shared" si="124"/>
        <v>17734</v>
      </c>
      <c r="AF140" s="11">
        <f t="shared" si="125"/>
        <v>2018845</v>
      </c>
      <c r="AG140" s="1">
        <f t="shared" si="126"/>
        <v>0</v>
      </c>
      <c r="AH140" s="11">
        <f t="shared" si="127"/>
        <v>0</v>
      </c>
      <c r="AI140" s="8">
        <f t="shared" si="128"/>
        <v>0</v>
      </c>
      <c r="AJ140" s="11">
        <f t="shared" si="129"/>
        <v>0</v>
      </c>
      <c r="AK140" s="8">
        <f t="shared" si="130"/>
        <v>10809</v>
      </c>
      <c r="AL140" s="11">
        <f t="shared" si="131"/>
        <v>1603714</v>
      </c>
      <c r="AM140" s="8">
        <f t="shared" si="132"/>
        <v>0</v>
      </c>
      <c r="AN140" s="11">
        <f t="shared" si="133"/>
        <v>0</v>
      </c>
      <c r="AO140" s="8">
        <f t="shared" si="138"/>
        <v>28543</v>
      </c>
      <c r="AP140" s="11">
        <f t="shared" si="134"/>
        <v>3622559</v>
      </c>
      <c r="AQ140" s="2" t="str">
        <f t="shared" si="135"/>
        <v>CAMS</v>
      </c>
      <c r="AR140" s="37">
        <f t="shared" si="136"/>
        <v>0</v>
      </c>
      <c r="AS140" s="37">
        <f t="shared" si="137"/>
        <v>0</v>
      </c>
    </row>
    <row r="141" spans="1:45" x14ac:dyDescent="0.25">
      <c r="B141" s="2" t="s">
        <v>4</v>
      </c>
      <c r="C141" s="2">
        <v>2021</v>
      </c>
      <c r="D141" s="1">
        <v>12204</v>
      </c>
      <c r="E141" s="11">
        <v>1276056</v>
      </c>
      <c r="F141" s="1">
        <v>4124</v>
      </c>
      <c r="G141" s="11">
        <v>529618</v>
      </c>
      <c r="H141" s="1">
        <v>1514</v>
      </c>
      <c r="I141" s="11">
        <v>228796</v>
      </c>
      <c r="J141" s="45">
        <v>0</v>
      </c>
      <c r="K141" s="11">
        <v>0</v>
      </c>
      <c r="L141" s="45">
        <v>0</v>
      </c>
      <c r="M141" s="11">
        <v>0</v>
      </c>
      <c r="N141" s="1">
        <v>10740</v>
      </c>
      <c r="O141" s="11">
        <v>1656264</v>
      </c>
      <c r="P141" s="45">
        <v>0</v>
      </c>
      <c r="Q141" s="11">
        <v>0</v>
      </c>
      <c r="R141" s="47">
        <f t="shared" si="123"/>
        <v>28582</v>
      </c>
      <c r="S141" s="48">
        <f t="shared" si="123"/>
        <v>3690734</v>
      </c>
      <c r="T141" s="2" t="s">
        <v>62</v>
      </c>
      <c r="AC141" s="2" t="s">
        <v>4</v>
      </c>
      <c r="AD141" s="2">
        <v>2021</v>
      </c>
      <c r="AE141" s="1">
        <f t="shared" si="124"/>
        <v>17842</v>
      </c>
      <c r="AF141" s="11">
        <f t="shared" si="125"/>
        <v>2034470</v>
      </c>
      <c r="AG141" s="1">
        <f t="shared" si="126"/>
        <v>0</v>
      </c>
      <c r="AH141" s="11">
        <f t="shared" si="127"/>
        <v>0</v>
      </c>
      <c r="AI141" s="8">
        <f t="shared" si="128"/>
        <v>0</v>
      </c>
      <c r="AJ141" s="11">
        <f t="shared" si="129"/>
        <v>0</v>
      </c>
      <c r="AK141" s="8">
        <f t="shared" si="130"/>
        <v>10740</v>
      </c>
      <c r="AL141" s="11">
        <f t="shared" si="131"/>
        <v>1656264</v>
      </c>
      <c r="AM141" s="8">
        <f t="shared" si="132"/>
        <v>0</v>
      </c>
      <c r="AN141" s="11">
        <f t="shared" si="133"/>
        <v>0</v>
      </c>
      <c r="AO141" s="8">
        <f t="shared" si="138"/>
        <v>28582</v>
      </c>
      <c r="AP141" s="11">
        <f t="shared" si="134"/>
        <v>3690734</v>
      </c>
      <c r="AQ141" s="2" t="str">
        <f t="shared" si="135"/>
        <v>CAMS</v>
      </c>
      <c r="AR141" s="37">
        <f t="shared" si="136"/>
        <v>0</v>
      </c>
      <c r="AS141" s="37">
        <f t="shared" si="137"/>
        <v>0</v>
      </c>
    </row>
    <row r="142" spans="1:45" x14ac:dyDescent="0.25">
      <c r="B142" s="2" t="s">
        <v>28</v>
      </c>
      <c r="C142" s="2">
        <v>2021</v>
      </c>
      <c r="D142" s="1">
        <v>11091</v>
      </c>
      <c r="E142" s="11">
        <v>1165136</v>
      </c>
      <c r="F142" s="1">
        <v>3900</v>
      </c>
      <c r="G142" s="11">
        <v>504644</v>
      </c>
      <c r="H142" s="1">
        <v>1581</v>
      </c>
      <c r="I142" s="11">
        <v>247740</v>
      </c>
      <c r="J142" s="45">
        <v>0</v>
      </c>
      <c r="K142" s="11">
        <v>0</v>
      </c>
      <c r="L142" s="45">
        <v>0</v>
      </c>
      <c r="M142" s="11">
        <v>0</v>
      </c>
      <c r="N142" s="1">
        <v>8727</v>
      </c>
      <c r="O142" s="11">
        <v>1391731</v>
      </c>
      <c r="P142" s="45">
        <v>0</v>
      </c>
      <c r="Q142" s="11">
        <v>0</v>
      </c>
      <c r="R142" s="47">
        <f t="shared" si="123"/>
        <v>25299</v>
      </c>
      <c r="S142" s="48">
        <f t="shared" si="123"/>
        <v>3309251</v>
      </c>
      <c r="T142" s="2" t="s">
        <v>62</v>
      </c>
      <c r="AC142" s="2" t="s">
        <v>28</v>
      </c>
      <c r="AD142" s="2">
        <v>2021</v>
      </c>
      <c r="AE142" s="1">
        <f t="shared" si="124"/>
        <v>16572</v>
      </c>
      <c r="AF142" s="11">
        <f t="shared" si="125"/>
        <v>1917520</v>
      </c>
      <c r="AG142" s="1">
        <f t="shared" si="126"/>
        <v>0</v>
      </c>
      <c r="AH142" s="11">
        <f t="shared" si="127"/>
        <v>0</v>
      </c>
      <c r="AI142" s="8">
        <f t="shared" si="128"/>
        <v>0</v>
      </c>
      <c r="AJ142" s="11">
        <f t="shared" si="129"/>
        <v>0</v>
      </c>
      <c r="AK142" s="8">
        <f t="shared" si="130"/>
        <v>8727</v>
      </c>
      <c r="AL142" s="11">
        <f t="shared" si="131"/>
        <v>1391731</v>
      </c>
      <c r="AM142" s="8">
        <f t="shared" si="132"/>
        <v>0</v>
      </c>
      <c r="AN142" s="11">
        <f t="shared" si="133"/>
        <v>0</v>
      </c>
      <c r="AO142" s="8">
        <f t="shared" si="138"/>
        <v>25299</v>
      </c>
      <c r="AP142" s="11">
        <f t="shared" si="134"/>
        <v>3309251</v>
      </c>
      <c r="AQ142" s="2" t="str">
        <f t="shared" si="135"/>
        <v>CAMS</v>
      </c>
      <c r="AR142" s="37">
        <f t="shared" si="136"/>
        <v>0</v>
      </c>
      <c r="AS142" s="37">
        <f t="shared" si="137"/>
        <v>0</v>
      </c>
    </row>
    <row r="143" spans="1:45" x14ac:dyDescent="0.25">
      <c r="B143" s="2" t="s">
        <v>29</v>
      </c>
      <c r="C143" s="2">
        <v>2021</v>
      </c>
      <c r="D143" s="1">
        <v>12535</v>
      </c>
      <c r="E143" s="11">
        <v>1349083</v>
      </c>
      <c r="F143" s="1">
        <v>4464</v>
      </c>
      <c r="G143" s="11">
        <v>546805</v>
      </c>
      <c r="H143" s="1">
        <v>1703</v>
      </c>
      <c r="I143" s="11">
        <v>267692</v>
      </c>
      <c r="J143" s="45">
        <v>0</v>
      </c>
      <c r="K143" s="11">
        <v>0</v>
      </c>
      <c r="L143" s="45">
        <v>0</v>
      </c>
      <c r="M143" s="11">
        <v>0</v>
      </c>
      <c r="N143" s="1">
        <v>9022</v>
      </c>
      <c r="O143" s="11">
        <v>1408753</v>
      </c>
      <c r="P143" s="45">
        <v>0</v>
      </c>
      <c r="Q143" s="11">
        <v>0</v>
      </c>
      <c r="R143" s="47">
        <f t="shared" si="123"/>
        <v>27724</v>
      </c>
      <c r="S143" s="48">
        <f t="shared" si="123"/>
        <v>3572333</v>
      </c>
      <c r="T143" s="2" t="s">
        <v>62</v>
      </c>
      <c r="AC143" s="2" t="s">
        <v>29</v>
      </c>
      <c r="AD143" s="2">
        <v>2021</v>
      </c>
      <c r="AE143" s="1">
        <f t="shared" si="124"/>
        <v>18702</v>
      </c>
      <c r="AF143" s="11">
        <f t="shared" si="125"/>
        <v>2163580</v>
      </c>
      <c r="AG143" s="1">
        <f t="shared" si="126"/>
        <v>0</v>
      </c>
      <c r="AH143" s="11">
        <f t="shared" si="127"/>
        <v>0</v>
      </c>
      <c r="AI143" s="8">
        <f t="shared" si="128"/>
        <v>0</v>
      </c>
      <c r="AJ143" s="11">
        <f t="shared" si="129"/>
        <v>0</v>
      </c>
      <c r="AK143" s="8">
        <f t="shared" si="130"/>
        <v>9022</v>
      </c>
      <c r="AL143" s="11">
        <f t="shared" si="131"/>
        <v>1408753</v>
      </c>
      <c r="AM143" s="8">
        <f t="shared" si="132"/>
        <v>0</v>
      </c>
      <c r="AN143" s="11">
        <f t="shared" si="133"/>
        <v>0</v>
      </c>
      <c r="AO143" s="8">
        <f t="shared" si="138"/>
        <v>27724</v>
      </c>
      <c r="AP143" s="11">
        <f t="shared" si="134"/>
        <v>3572333</v>
      </c>
      <c r="AQ143" s="2" t="str">
        <f t="shared" si="135"/>
        <v>CAMS</v>
      </c>
      <c r="AR143" s="37">
        <f t="shared" si="136"/>
        <v>0</v>
      </c>
      <c r="AS143" s="37">
        <f t="shared" si="137"/>
        <v>0</v>
      </c>
    </row>
    <row r="144" spans="1:45" x14ac:dyDescent="0.25">
      <c r="B144" s="2" t="s">
        <v>30</v>
      </c>
      <c r="C144" s="2">
        <v>2021</v>
      </c>
      <c r="D144" s="1">
        <v>13002</v>
      </c>
      <c r="E144" s="11">
        <v>1388359</v>
      </c>
      <c r="F144" s="1">
        <v>4535</v>
      </c>
      <c r="G144" s="11">
        <v>565781</v>
      </c>
      <c r="H144" s="1">
        <v>2248</v>
      </c>
      <c r="I144" s="11">
        <v>356975</v>
      </c>
      <c r="J144" s="1">
        <v>0</v>
      </c>
      <c r="K144" s="11">
        <v>0</v>
      </c>
      <c r="L144" s="1">
        <v>0</v>
      </c>
      <c r="M144" s="11">
        <v>0</v>
      </c>
      <c r="N144" s="1">
        <v>10690</v>
      </c>
      <c r="O144" s="11">
        <v>1612922</v>
      </c>
      <c r="P144" s="8">
        <v>0</v>
      </c>
      <c r="Q144" s="11">
        <v>0</v>
      </c>
      <c r="R144" s="47">
        <f t="shared" si="123"/>
        <v>30475</v>
      </c>
      <c r="S144" s="48">
        <f t="shared" si="123"/>
        <v>3924037</v>
      </c>
      <c r="T144" s="2" t="s">
        <v>62</v>
      </c>
      <c r="AC144" s="2" t="s">
        <v>30</v>
      </c>
      <c r="AD144" s="2">
        <v>2021</v>
      </c>
      <c r="AE144" s="1">
        <f t="shared" si="124"/>
        <v>19785</v>
      </c>
      <c r="AF144" s="11">
        <f t="shared" si="125"/>
        <v>2311115</v>
      </c>
      <c r="AG144" s="1">
        <f t="shared" si="126"/>
        <v>0</v>
      </c>
      <c r="AH144" s="11">
        <f t="shared" si="127"/>
        <v>0</v>
      </c>
      <c r="AI144" s="8">
        <f t="shared" si="128"/>
        <v>0</v>
      </c>
      <c r="AJ144" s="11">
        <f t="shared" si="129"/>
        <v>0</v>
      </c>
      <c r="AK144" s="8">
        <f t="shared" si="130"/>
        <v>10690</v>
      </c>
      <c r="AL144" s="11">
        <f t="shared" si="131"/>
        <v>1612922</v>
      </c>
      <c r="AM144" s="8">
        <f t="shared" si="132"/>
        <v>0</v>
      </c>
      <c r="AN144" s="11">
        <f t="shared" si="133"/>
        <v>0</v>
      </c>
      <c r="AO144" s="8">
        <f t="shared" si="138"/>
        <v>30475</v>
      </c>
      <c r="AP144" s="11">
        <f t="shared" si="134"/>
        <v>3924037</v>
      </c>
      <c r="AQ144" s="2" t="str">
        <f t="shared" si="135"/>
        <v>CAMS</v>
      </c>
      <c r="AR144" s="37">
        <f t="shared" si="136"/>
        <v>0</v>
      </c>
      <c r="AS144" s="37">
        <f t="shared" si="137"/>
        <v>0</v>
      </c>
    </row>
    <row r="145" spans="1:45" x14ac:dyDescent="0.25">
      <c r="B145" s="2" t="s">
        <v>31</v>
      </c>
      <c r="C145" s="2">
        <v>2021</v>
      </c>
      <c r="D145" s="1">
        <v>15137</v>
      </c>
      <c r="E145" s="11">
        <v>1569586</v>
      </c>
      <c r="F145" s="1">
        <v>4694</v>
      </c>
      <c r="G145" s="11">
        <v>578856</v>
      </c>
      <c r="H145" s="1">
        <v>3551</v>
      </c>
      <c r="I145" s="11">
        <v>552596</v>
      </c>
      <c r="J145" s="1">
        <v>0</v>
      </c>
      <c r="K145" s="11">
        <v>0</v>
      </c>
      <c r="L145" s="1">
        <v>0</v>
      </c>
      <c r="M145" s="11">
        <v>0</v>
      </c>
      <c r="N145" s="1">
        <v>11247</v>
      </c>
      <c r="O145" s="11">
        <v>1617503</v>
      </c>
      <c r="P145" s="8">
        <v>0</v>
      </c>
      <c r="Q145" s="11">
        <v>0</v>
      </c>
      <c r="R145" s="50">
        <f t="shared" si="123"/>
        <v>34629</v>
      </c>
      <c r="S145" s="51">
        <f t="shared" si="123"/>
        <v>4318541</v>
      </c>
      <c r="T145" s="2" t="s">
        <v>62</v>
      </c>
      <c r="AC145" s="2" t="s">
        <v>31</v>
      </c>
      <c r="AD145" s="2">
        <v>2021</v>
      </c>
      <c r="AE145" s="1">
        <f t="shared" si="124"/>
        <v>23382</v>
      </c>
      <c r="AF145" s="11">
        <f t="shared" si="125"/>
        <v>2701038</v>
      </c>
      <c r="AG145" s="1">
        <f t="shared" si="126"/>
        <v>0</v>
      </c>
      <c r="AH145" s="11">
        <f t="shared" si="127"/>
        <v>0</v>
      </c>
      <c r="AI145" s="8">
        <f t="shared" si="128"/>
        <v>0</v>
      </c>
      <c r="AJ145" s="11">
        <f t="shared" si="129"/>
        <v>0</v>
      </c>
      <c r="AK145" s="8">
        <f t="shared" si="130"/>
        <v>11247</v>
      </c>
      <c r="AL145" s="11">
        <f t="shared" si="131"/>
        <v>1617503</v>
      </c>
      <c r="AM145" s="8">
        <f t="shared" si="132"/>
        <v>0</v>
      </c>
      <c r="AN145" s="11">
        <f t="shared" si="133"/>
        <v>0</v>
      </c>
      <c r="AO145" s="8">
        <f t="shared" si="138"/>
        <v>34629</v>
      </c>
      <c r="AP145" s="11">
        <f t="shared" si="134"/>
        <v>4318541</v>
      </c>
      <c r="AQ145" s="2" t="str">
        <f t="shared" si="135"/>
        <v>CAMS</v>
      </c>
      <c r="AR145" s="37">
        <f t="shared" si="136"/>
        <v>0</v>
      </c>
      <c r="AS145" s="37">
        <f t="shared" si="137"/>
        <v>0</v>
      </c>
    </row>
    <row r="146" spans="1:45" x14ac:dyDescent="0.25">
      <c r="AF146" s="9"/>
      <c r="AH146" s="9"/>
      <c r="AJ146" s="9"/>
      <c r="AL146" s="9"/>
      <c r="AM146" s="9"/>
      <c r="AN146" s="9"/>
      <c r="AP146" s="9"/>
    </row>
    <row r="147" spans="1:45" x14ac:dyDescent="0.25">
      <c r="B147" s="3" t="s">
        <v>12</v>
      </c>
      <c r="C147" s="3"/>
      <c r="D147" s="4">
        <f t="shared" ref="D147:S147" si="139">SUM(D134:D146)</f>
        <v>129668</v>
      </c>
      <c r="E147" s="12">
        <f t="shared" si="139"/>
        <v>13564813</v>
      </c>
      <c r="F147" s="4">
        <f t="shared" ref="F147:G147" si="140">SUM(F134:F146)</f>
        <v>42322</v>
      </c>
      <c r="G147" s="12">
        <f t="shared" si="140"/>
        <v>5278155</v>
      </c>
      <c r="H147" s="4">
        <f t="shared" si="139"/>
        <v>17307</v>
      </c>
      <c r="I147" s="12">
        <f t="shared" si="139"/>
        <v>2726094</v>
      </c>
      <c r="J147" s="4">
        <f t="shared" si="139"/>
        <v>0</v>
      </c>
      <c r="K147" s="12">
        <f t="shared" si="139"/>
        <v>0</v>
      </c>
      <c r="L147" s="4">
        <f t="shared" si="139"/>
        <v>0</v>
      </c>
      <c r="M147" s="12">
        <f t="shared" si="139"/>
        <v>0</v>
      </c>
      <c r="N147" s="4">
        <f t="shared" si="139"/>
        <v>102738</v>
      </c>
      <c r="O147" s="12">
        <f t="shared" si="139"/>
        <v>15749483</v>
      </c>
      <c r="P147" s="4">
        <f t="shared" si="139"/>
        <v>0</v>
      </c>
      <c r="Q147" s="12">
        <f t="shared" si="139"/>
        <v>0</v>
      </c>
      <c r="R147" s="4">
        <f t="shared" si="139"/>
        <v>292035</v>
      </c>
      <c r="S147" s="12">
        <f t="shared" si="139"/>
        <v>37318545</v>
      </c>
      <c r="AC147" s="3" t="s">
        <v>12</v>
      </c>
      <c r="AD147" s="3"/>
      <c r="AE147" s="4">
        <f t="shared" ref="AE147:AP147" si="141">SUM(AE134:AE146)</f>
        <v>189297</v>
      </c>
      <c r="AF147" s="12">
        <f t="shared" si="141"/>
        <v>21569062</v>
      </c>
      <c r="AG147" s="4">
        <f t="shared" si="141"/>
        <v>0</v>
      </c>
      <c r="AH147" s="12">
        <f t="shared" si="141"/>
        <v>0</v>
      </c>
      <c r="AI147" s="4">
        <f t="shared" si="141"/>
        <v>0</v>
      </c>
      <c r="AJ147" s="12">
        <f t="shared" si="141"/>
        <v>0</v>
      </c>
      <c r="AK147" s="4">
        <f t="shared" si="141"/>
        <v>102738</v>
      </c>
      <c r="AL147" s="12">
        <f t="shared" si="141"/>
        <v>15749483</v>
      </c>
      <c r="AM147" s="4">
        <f t="shared" si="141"/>
        <v>0</v>
      </c>
      <c r="AN147" s="12">
        <f t="shared" si="141"/>
        <v>0</v>
      </c>
      <c r="AO147" s="4">
        <f t="shared" si="141"/>
        <v>292035</v>
      </c>
      <c r="AP147" s="12">
        <f t="shared" si="141"/>
        <v>37318545</v>
      </c>
    </row>
    <row r="148" spans="1:45" x14ac:dyDescent="0.25">
      <c r="J148" s="46" t="str">
        <f>+$B$129</f>
        <v>Aforo e Ingreso - CAMS</v>
      </c>
      <c r="K148" s="9" t="s">
        <v>84</v>
      </c>
      <c r="L148" s="15">
        <f>AVERAGE(L134:L145)</f>
        <v>0</v>
      </c>
      <c r="M148" s="28">
        <f>AVERAGE(M134:M145)</f>
        <v>0</v>
      </c>
      <c r="R148" s="15">
        <f>AVERAGE(R134:R145)</f>
        <v>24336.25</v>
      </c>
      <c r="S148" s="28">
        <f>AVERAGE(S134:S145)</f>
        <v>3109878.75</v>
      </c>
    </row>
    <row r="149" spans="1:45" x14ac:dyDescent="0.25">
      <c r="B149" s="5" t="s">
        <v>14</v>
      </c>
      <c r="J149" s="46" t="str">
        <f>+$B$129</f>
        <v>Aforo e Ingreso - CAMS</v>
      </c>
      <c r="K149" s="9" t="s">
        <v>85</v>
      </c>
      <c r="L149" s="44">
        <f>+L148/$L$295</f>
        <v>0</v>
      </c>
      <c r="M149" s="44">
        <f>+M148/$M$295</f>
        <v>0</v>
      </c>
      <c r="R149" s="44">
        <f>+L148/R148</f>
        <v>0</v>
      </c>
      <c r="S149" s="44">
        <f>+M148/S148</f>
        <v>0</v>
      </c>
    </row>
    <row r="150" spans="1:45" x14ac:dyDescent="0.25">
      <c r="B150" s="5" t="s">
        <v>49</v>
      </c>
    </row>
    <row r="151" spans="1:45" x14ac:dyDescent="0.25">
      <c r="B151" s="5"/>
    </row>
    <row r="152" spans="1:45" x14ac:dyDescent="0.25">
      <c r="D152" s="89" t="s">
        <v>15</v>
      </c>
      <c r="E152" s="90"/>
      <c r="F152" s="89" t="s">
        <v>71</v>
      </c>
      <c r="G152" s="90"/>
      <c r="H152" s="89" t="s">
        <v>16</v>
      </c>
      <c r="I152" s="90"/>
      <c r="J152" s="89" t="s">
        <v>17</v>
      </c>
      <c r="K152" s="93"/>
      <c r="L152" s="89" t="s">
        <v>18</v>
      </c>
      <c r="M152" s="93"/>
      <c r="N152" s="89" t="s">
        <v>13</v>
      </c>
      <c r="O152" s="93"/>
      <c r="P152" s="89" t="s">
        <v>34</v>
      </c>
      <c r="Q152" s="93"/>
      <c r="R152" s="89" t="s">
        <v>12</v>
      </c>
      <c r="S152" s="93"/>
      <c r="AE152" s="89" t="s">
        <v>69</v>
      </c>
      <c r="AF152" s="90"/>
      <c r="AG152" s="89" t="s">
        <v>17</v>
      </c>
      <c r="AH152" s="93"/>
      <c r="AI152" s="89" t="s">
        <v>18</v>
      </c>
      <c r="AJ152" s="93"/>
      <c r="AK152" s="89" t="s">
        <v>13</v>
      </c>
      <c r="AL152" s="93"/>
      <c r="AM152" s="89" t="s">
        <v>34</v>
      </c>
      <c r="AN152" s="93"/>
      <c r="AO152" s="89" t="s">
        <v>12</v>
      </c>
      <c r="AP152" s="93"/>
    </row>
    <row r="153" spans="1:45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X153" s="33">
        <v>2020</v>
      </c>
      <c r="Y153" s="34">
        <v>0.65250185354794532</v>
      </c>
      <c r="Z153" s="33">
        <v>2020</v>
      </c>
      <c r="AA153" s="35">
        <v>7.2647988089660498E-3</v>
      </c>
      <c r="AC153" s="7" t="s">
        <v>0</v>
      </c>
      <c r="AD153" s="7" t="s">
        <v>1</v>
      </c>
      <c r="AE153" s="7" t="s">
        <v>2</v>
      </c>
      <c r="AF153" s="10" t="s">
        <v>3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</row>
    <row r="154" spans="1:45" x14ac:dyDescent="0.25">
      <c r="AF154" s="9"/>
      <c r="AH154" s="9"/>
      <c r="AJ154" s="9"/>
      <c r="AL154" s="9"/>
      <c r="AM154" s="9"/>
      <c r="AN154" s="9"/>
      <c r="AP154" s="9"/>
    </row>
    <row r="155" spans="1:45" x14ac:dyDescent="0.25">
      <c r="B155" s="2" t="s">
        <v>5</v>
      </c>
      <c r="C155" s="2">
        <v>2021</v>
      </c>
      <c r="D155" s="1">
        <v>172</v>
      </c>
      <c r="E155" s="11">
        <v>54508</v>
      </c>
      <c r="F155" s="8">
        <v>248</v>
      </c>
      <c r="G155" s="11">
        <v>100191</v>
      </c>
      <c r="H155" s="1">
        <v>49</v>
      </c>
      <c r="I155" s="11">
        <v>15771</v>
      </c>
      <c r="J155" s="1">
        <v>24346</v>
      </c>
      <c r="K155" s="11">
        <v>8963420</v>
      </c>
      <c r="L155" s="1">
        <v>3717</v>
      </c>
      <c r="M155" s="11">
        <v>1371793</v>
      </c>
      <c r="N155" s="1">
        <v>617</v>
      </c>
      <c r="O155" s="11">
        <v>216364</v>
      </c>
      <c r="P155" s="8">
        <v>0</v>
      </c>
      <c r="Q155" s="11">
        <v>0</v>
      </c>
      <c r="R155" s="8">
        <f t="shared" ref="R155:S166" si="142">N155+L155+J155+H155+D155+P155+F155</f>
        <v>29149</v>
      </c>
      <c r="S155" s="11">
        <f t="shared" si="142"/>
        <v>10722047</v>
      </c>
      <c r="T155" s="2" t="s">
        <v>63</v>
      </c>
      <c r="X155" s="30">
        <v>16241.25</v>
      </c>
      <c r="Y155" s="30">
        <f>+X155/J155</f>
        <v>0.66710137188860597</v>
      </c>
      <c r="Z155" s="31">
        <v>61916.25</v>
      </c>
      <c r="AA155" s="32">
        <f>+Z155/K155</f>
        <v>6.9076591301088204E-3</v>
      </c>
      <c r="AC155" s="2" t="s">
        <v>5</v>
      </c>
      <c r="AD155" s="2">
        <v>2021</v>
      </c>
      <c r="AE155" s="1">
        <f t="shared" ref="AE155:AE166" si="143">D155+H155+F155</f>
        <v>469</v>
      </c>
      <c r="AF155" s="11">
        <f t="shared" ref="AF155:AF166" si="144">E155+I155+G155</f>
        <v>170470</v>
      </c>
      <c r="AG155" s="1">
        <f t="shared" ref="AG155:AG166" si="145">+J155</f>
        <v>24346</v>
      </c>
      <c r="AH155" s="11">
        <f t="shared" ref="AH155:AH166" si="146">+K155</f>
        <v>8963420</v>
      </c>
      <c r="AI155" s="8">
        <f t="shared" ref="AI155:AI166" si="147">+L155</f>
        <v>3717</v>
      </c>
      <c r="AJ155" s="11">
        <f t="shared" ref="AJ155:AJ166" si="148">+M155</f>
        <v>1371793</v>
      </c>
      <c r="AK155" s="8">
        <f t="shared" ref="AK155:AK166" si="149">+N155</f>
        <v>617</v>
      </c>
      <c r="AL155" s="11">
        <f t="shared" ref="AL155:AL166" si="150">+O155</f>
        <v>216364</v>
      </c>
      <c r="AM155" s="8">
        <f t="shared" ref="AM155:AM166" si="151">+P155</f>
        <v>0</v>
      </c>
      <c r="AN155" s="11">
        <f t="shared" ref="AN155:AN166" si="152">+Q155</f>
        <v>0</v>
      </c>
      <c r="AO155" s="8">
        <f>AM155+AK155+AI155+AG155+AE155</f>
        <v>29149</v>
      </c>
      <c r="AP155" s="11">
        <f t="shared" ref="AP155:AP166" si="153">AN155+AL155+AJ155+AH155+AF155</f>
        <v>10722047</v>
      </c>
      <c r="AQ155" s="2" t="str">
        <f t="shared" ref="AQ155:AQ166" si="154">+T155</f>
        <v>CALH</v>
      </c>
      <c r="AR155" s="37">
        <f t="shared" ref="AR155:AR166" si="155">+AO155-R155</f>
        <v>0</v>
      </c>
      <c r="AS155" s="37">
        <f t="shared" ref="AS155:AS166" si="156">+AP155-S155</f>
        <v>0</v>
      </c>
    </row>
    <row r="156" spans="1:45" x14ac:dyDescent="0.25">
      <c r="B156" s="2" t="s">
        <v>6</v>
      </c>
      <c r="C156" s="2">
        <v>2021</v>
      </c>
      <c r="D156" s="1">
        <v>164</v>
      </c>
      <c r="E156" s="11">
        <v>53884</v>
      </c>
      <c r="F156" s="8">
        <v>206</v>
      </c>
      <c r="G156" s="11">
        <v>85057</v>
      </c>
      <c r="H156" s="1">
        <v>42</v>
      </c>
      <c r="I156" s="11">
        <v>15993</v>
      </c>
      <c r="J156" s="1">
        <v>23087</v>
      </c>
      <c r="K156" s="11">
        <v>8887328</v>
      </c>
      <c r="L156" s="1">
        <v>3628</v>
      </c>
      <c r="M156" s="11">
        <v>1386968</v>
      </c>
      <c r="N156" s="1">
        <v>603</v>
      </c>
      <c r="O156" s="11">
        <v>225627</v>
      </c>
      <c r="P156" s="8">
        <v>0</v>
      </c>
      <c r="Q156" s="11">
        <v>0</v>
      </c>
      <c r="R156" s="8">
        <f t="shared" si="142"/>
        <v>27730</v>
      </c>
      <c r="S156" s="11">
        <f t="shared" si="142"/>
        <v>10654857</v>
      </c>
      <c r="T156" s="2" t="s">
        <v>63</v>
      </c>
      <c r="X156" s="30">
        <v>15224.75</v>
      </c>
      <c r="Y156" s="30">
        <f t="shared" ref="Y156:Y166" si="157">+X156/J156</f>
        <v>0.6594512063065795</v>
      </c>
      <c r="Z156" s="31">
        <v>63167.855000000003</v>
      </c>
      <c r="AA156" s="32">
        <f t="shared" ref="AA156:AA166" si="158">+Z156/K156</f>
        <v>7.1076317876419106E-3</v>
      </c>
      <c r="AC156" s="2" t="s">
        <v>6</v>
      </c>
      <c r="AD156" s="2">
        <v>2021</v>
      </c>
      <c r="AE156" s="1">
        <f t="shared" si="143"/>
        <v>412</v>
      </c>
      <c r="AF156" s="11">
        <f t="shared" si="144"/>
        <v>154934</v>
      </c>
      <c r="AG156" s="1">
        <f t="shared" si="145"/>
        <v>23087</v>
      </c>
      <c r="AH156" s="11">
        <f t="shared" si="146"/>
        <v>8887328</v>
      </c>
      <c r="AI156" s="8">
        <f t="shared" si="147"/>
        <v>3628</v>
      </c>
      <c r="AJ156" s="11">
        <f t="shared" si="148"/>
        <v>1386968</v>
      </c>
      <c r="AK156" s="8">
        <f t="shared" si="149"/>
        <v>603</v>
      </c>
      <c r="AL156" s="11">
        <f t="shared" si="150"/>
        <v>225627</v>
      </c>
      <c r="AM156" s="8">
        <f t="shared" si="151"/>
        <v>0</v>
      </c>
      <c r="AN156" s="11">
        <f t="shared" si="152"/>
        <v>0</v>
      </c>
      <c r="AO156" s="8">
        <f t="shared" ref="AO156:AO166" si="159">AM156+AK156+AI156+AG156+AE156</f>
        <v>27730</v>
      </c>
      <c r="AP156" s="11">
        <f t="shared" si="153"/>
        <v>10654857</v>
      </c>
      <c r="AQ156" s="2" t="str">
        <f t="shared" si="154"/>
        <v>CALH</v>
      </c>
      <c r="AR156" s="37">
        <f t="shared" si="155"/>
        <v>0</v>
      </c>
      <c r="AS156" s="37">
        <f t="shared" si="156"/>
        <v>0</v>
      </c>
    </row>
    <row r="157" spans="1:45" x14ac:dyDescent="0.25">
      <c r="B157" s="2" t="s">
        <v>7</v>
      </c>
      <c r="C157" s="2">
        <v>2021</v>
      </c>
      <c r="D157" s="1">
        <v>174</v>
      </c>
      <c r="E157" s="11">
        <v>57746</v>
      </c>
      <c r="F157" s="8">
        <v>271</v>
      </c>
      <c r="G157" s="11">
        <v>108992</v>
      </c>
      <c r="H157" s="1">
        <v>51</v>
      </c>
      <c r="I157" s="11">
        <v>19359</v>
      </c>
      <c r="J157" s="1">
        <v>26073</v>
      </c>
      <c r="K157" s="11">
        <v>10120750</v>
      </c>
      <c r="L157" s="1">
        <v>3894</v>
      </c>
      <c r="M157" s="11">
        <v>1504394</v>
      </c>
      <c r="N157" s="1">
        <v>609</v>
      </c>
      <c r="O157" s="11">
        <v>227949</v>
      </c>
      <c r="P157" s="8">
        <v>0</v>
      </c>
      <c r="Q157" s="11">
        <v>0</v>
      </c>
      <c r="R157" s="8">
        <f t="shared" si="142"/>
        <v>31072</v>
      </c>
      <c r="S157" s="11">
        <f t="shared" si="142"/>
        <v>12039190</v>
      </c>
      <c r="T157" s="2" t="s">
        <v>63</v>
      </c>
      <c r="X157" s="30">
        <v>17249.25</v>
      </c>
      <c r="Y157" s="30">
        <f t="shared" si="157"/>
        <v>0.6615751927281095</v>
      </c>
      <c r="Z157" s="31">
        <v>71482.255000000005</v>
      </c>
      <c r="AA157" s="32">
        <f t="shared" si="158"/>
        <v>7.0629404935404986E-3</v>
      </c>
      <c r="AC157" s="2" t="s">
        <v>7</v>
      </c>
      <c r="AD157" s="2">
        <v>2021</v>
      </c>
      <c r="AE157" s="1">
        <f t="shared" si="143"/>
        <v>496</v>
      </c>
      <c r="AF157" s="11">
        <f t="shared" si="144"/>
        <v>186097</v>
      </c>
      <c r="AG157" s="1">
        <f t="shared" si="145"/>
        <v>26073</v>
      </c>
      <c r="AH157" s="11">
        <f t="shared" si="146"/>
        <v>10120750</v>
      </c>
      <c r="AI157" s="8">
        <f t="shared" si="147"/>
        <v>3894</v>
      </c>
      <c r="AJ157" s="11">
        <f t="shared" si="148"/>
        <v>1504394</v>
      </c>
      <c r="AK157" s="8">
        <f t="shared" si="149"/>
        <v>609</v>
      </c>
      <c r="AL157" s="11">
        <f t="shared" si="150"/>
        <v>227949</v>
      </c>
      <c r="AM157" s="8">
        <f t="shared" si="151"/>
        <v>0</v>
      </c>
      <c r="AN157" s="11">
        <f t="shared" si="152"/>
        <v>0</v>
      </c>
      <c r="AO157" s="8">
        <f t="shared" si="159"/>
        <v>31072</v>
      </c>
      <c r="AP157" s="11">
        <f t="shared" si="153"/>
        <v>12039190</v>
      </c>
      <c r="AQ157" s="2" t="str">
        <f t="shared" si="154"/>
        <v>CALH</v>
      </c>
      <c r="AR157" s="37">
        <f t="shared" si="155"/>
        <v>0</v>
      </c>
      <c r="AS157" s="37">
        <f t="shared" si="156"/>
        <v>0</v>
      </c>
    </row>
    <row r="158" spans="1:45" x14ac:dyDescent="0.25">
      <c r="B158" s="2" t="s">
        <v>8</v>
      </c>
      <c r="C158" s="2">
        <v>2021</v>
      </c>
      <c r="D158" s="1">
        <v>206</v>
      </c>
      <c r="E158" s="11">
        <v>68442</v>
      </c>
      <c r="F158" s="8">
        <v>306</v>
      </c>
      <c r="G158" s="11">
        <v>125483</v>
      </c>
      <c r="H158" s="1">
        <v>46</v>
      </c>
      <c r="I158" s="11">
        <v>17252</v>
      </c>
      <c r="J158" s="1">
        <v>25134</v>
      </c>
      <c r="K158" s="11">
        <v>9746911</v>
      </c>
      <c r="L158" s="1">
        <v>2006</v>
      </c>
      <c r="M158" s="11">
        <v>767598</v>
      </c>
      <c r="N158" s="1">
        <v>673</v>
      </c>
      <c r="O158" s="11">
        <v>252114</v>
      </c>
      <c r="P158" s="8">
        <v>0</v>
      </c>
      <c r="Q158" s="11">
        <v>0</v>
      </c>
      <c r="R158" s="8">
        <f t="shared" si="142"/>
        <v>28371</v>
      </c>
      <c r="S158" s="11">
        <f t="shared" si="142"/>
        <v>10977800</v>
      </c>
      <c r="T158" s="2" t="s">
        <v>63</v>
      </c>
      <c r="X158" s="30">
        <v>16537.25</v>
      </c>
      <c r="Y158" s="30">
        <f t="shared" si="157"/>
        <v>0.6579633166229012</v>
      </c>
      <c r="Z158" s="31">
        <v>69502.33249999999</v>
      </c>
      <c r="AA158" s="32">
        <f t="shared" si="158"/>
        <v>7.1307035121178381E-3</v>
      </c>
      <c r="AC158" s="2" t="s">
        <v>8</v>
      </c>
      <c r="AD158" s="2">
        <v>2021</v>
      </c>
      <c r="AE158" s="1">
        <f t="shared" si="143"/>
        <v>558</v>
      </c>
      <c r="AF158" s="11">
        <f t="shared" si="144"/>
        <v>211177</v>
      </c>
      <c r="AG158" s="1">
        <f t="shared" si="145"/>
        <v>25134</v>
      </c>
      <c r="AH158" s="11">
        <f t="shared" si="146"/>
        <v>9746911</v>
      </c>
      <c r="AI158" s="8">
        <f t="shared" si="147"/>
        <v>2006</v>
      </c>
      <c r="AJ158" s="11">
        <f t="shared" si="148"/>
        <v>767598</v>
      </c>
      <c r="AK158" s="8">
        <f t="shared" si="149"/>
        <v>673</v>
      </c>
      <c r="AL158" s="11">
        <f t="shared" si="150"/>
        <v>252114</v>
      </c>
      <c r="AM158" s="8">
        <f t="shared" si="151"/>
        <v>0</v>
      </c>
      <c r="AN158" s="11">
        <f t="shared" si="152"/>
        <v>0</v>
      </c>
      <c r="AO158" s="8">
        <f t="shared" si="159"/>
        <v>28371</v>
      </c>
      <c r="AP158" s="11">
        <f t="shared" si="153"/>
        <v>10977800</v>
      </c>
      <c r="AQ158" s="2" t="str">
        <f t="shared" si="154"/>
        <v>CALH</v>
      </c>
      <c r="AR158" s="37">
        <f t="shared" si="155"/>
        <v>0</v>
      </c>
      <c r="AS158" s="37">
        <f t="shared" si="156"/>
        <v>0</v>
      </c>
    </row>
    <row r="159" spans="1:45" x14ac:dyDescent="0.25">
      <c r="B159" s="2" t="s">
        <v>9</v>
      </c>
      <c r="C159" s="2">
        <v>2021</v>
      </c>
      <c r="D159" s="1">
        <v>228</v>
      </c>
      <c r="E159" s="11">
        <v>72663</v>
      </c>
      <c r="F159" s="8">
        <v>460</v>
      </c>
      <c r="G159" s="11">
        <v>195370</v>
      </c>
      <c r="H159" s="1">
        <v>62</v>
      </c>
      <c r="I159" s="11">
        <v>23568</v>
      </c>
      <c r="J159" s="1">
        <v>23985</v>
      </c>
      <c r="K159" s="11">
        <v>9170816</v>
      </c>
      <c r="L159" s="1">
        <v>1747</v>
      </c>
      <c r="M159" s="11">
        <v>661945</v>
      </c>
      <c r="N159" s="1">
        <v>765</v>
      </c>
      <c r="O159" s="11">
        <v>285105</v>
      </c>
      <c r="P159" s="8">
        <v>0</v>
      </c>
      <c r="Q159" s="11">
        <v>0</v>
      </c>
      <c r="R159" s="8">
        <f t="shared" si="142"/>
        <v>27247</v>
      </c>
      <c r="S159" s="11">
        <f t="shared" si="142"/>
        <v>10409467</v>
      </c>
      <c r="T159" s="2" t="s">
        <v>63</v>
      </c>
      <c r="X159" s="30">
        <v>15478.56</v>
      </c>
      <c r="Y159" s="30">
        <f t="shared" si="157"/>
        <v>0.64534333958724199</v>
      </c>
      <c r="Z159" s="31">
        <v>66612.907500000001</v>
      </c>
      <c r="AA159" s="32">
        <f t="shared" si="158"/>
        <v>7.2635747462385025E-3</v>
      </c>
      <c r="AC159" s="2" t="s">
        <v>9</v>
      </c>
      <c r="AD159" s="2">
        <v>2021</v>
      </c>
      <c r="AE159" s="1">
        <f t="shared" si="143"/>
        <v>750</v>
      </c>
      <c r="AF159" s="11">
        <f t="shared" si="144"/>
        <v>291601</v>
      </c>
      <c r="AG159" s="1">
        <f t="shared" si="145"/>
        <v>23985</v>
      </c>
      <c r="AH159" s="11">
        <f t="shared" si="146"/>
        <v>9170816</v>
      </c>
      <c r="AI159" s="8">
        <f t="shared" si="147"/>
        <v>1747</v>
      </c>
      <c r="AJ159" s="11">
        <f t="shared" si="148"/>
        <v>661945</v>
      </c>
      <c r="AK159" s="8">
        <f t="shared" si="149"/>
        <v>765</v>
      </c>
      <c r="AL159" s="11">
        <f t="shared" si="150"/>
        <v>285105</v>
      </c>
      <c r="AM159" s="8">
        <f t="shared" si="151"/>
        <v>0</v>
      </c>
      <c r="AN159" s="11">
        <f t="shared" si="152"/>
        <v>0</v>
      </c>
      <c r="AO159" s="8">
        <f t="shared" si="159"/>
        <v>27247</v>
      </c>
      <c r="AP159" s="11">
        <f t="shared" si="153"/>
        <v>10409467</v>
      </c>
      <c r="AQ159" s="2" t="str">
        <f t="shared" si="154"/>
        <v>CALH</v>
      </c>
      <c r="AR159" s="37">
        <f t="shared" si="155"/>
        <v>0</v>
      </c>
      <c r="AS159" s="37">
        <f t="shared" si="156"/>
        <v>0</v>
      </c>
    </row>
    <row r="160" spans="1:45" x14ac:dyDescent="0.25">
      <c r="B160" s="2" t="s">
        <v>10</v>
      </c>
      <c r="C160" s="2">
        <v>2021</v>
      </c>
      <c r="D160" s="1">
        <v>237</v>
      </c>
      <c r="E160" s="11">
        <v>73849</v>
      </c>
      <c r="F160" s="8">
        <v>559</v>
      </c>
      <c r="G160" s="11">
        <v>238550</v>
      </c>
      <c r="H160" s="1">
        <v>63</v>
      </c>
      <c r="I160" s="11">
        <v>22361</v>
      </c>
      <c r="J160" s="1">
        <v>24537</v>
      </c>
      <c r="K160" s="11">
        <v>9035536</v>
      </c>
      <c r="L160" s="1">
        <v>1499</v>
      </c>
      <c r="M160" s="11">
        <v>566589</v>
      </c>
      <c r="N160" s="1">
        <v>730</v>
      </c>
      <c r="O160" s="11">
        <v>264016</v>
      </c>
      <c r="P160" s="8">
        <v>0</v>
      </c>
      <c r="Q160" s="11">
        <v>0</v>
      </c>
      <c r="R160" s="8">
        <f t="shared" si="142"/>
        <v>27625</v>
      </c>
      <c r="S160" s="11">
        <f t="shared" si="142"/>
        <v>10200901</v>
      </c>
      <c r="T160" s="2" t="s">
        <v>63</v>
      </c>
      <c r="X160" s="30">
        <v>15501.48</v>
      </c>
      <c r="Y160" s="30">
        <f t="shared" si="157"/>
        <v>0.6317593837877491</v>
      </c>
      <c r="Z160" s="31">
        <v>66978.377500000002</v>
      </c>
      <c r="AA160" s="32">
        <f t="shared" si="158"/>
        <v>7.4127730219878491E-3</v>
      </c>
      <c r="AC160" s="2" t="s">
        <v>10</v>
      </c>
      <c r="AD160" s="2">
        <v>2021</v>
      </c>
      <c r="AE160" s="1">
        <f t="shared" si="143"/>
        <v>859</v>
      </c>
      <c r="AF160" s="11">
        <f t="shared" si="144"/>
        <v>334760</v>
      </c>
      <c r="AG160" s="1">
        <f t="shared" si="145"/>
        <v>24537</v>
      </c>
      <c r="AH160" s="11">
        <f t="shared" si="146"/>
        <v>9035536</v>
      </c>
      <c r="AI160" s="8">
        <f t="shared" si="147"/>
        <v>1499</v>
      </c>
      <c r="AJ160" s="11">
        <f t="shared" si="148"/>
        <v>566589</v>
      </c>
      <c r="AK160" s="8">
        <f t="shared" si="149"/>
        <v>730</v>
      </c>
      <c r="AL160" s="11">
        <f t="shared" si="150"/>
        <v>264016</v>
      </c>
      <c r="AM160" s="8">
        <f t="shared" si="151"/>
        <v>0</v>
      </c>
      <c r="AN160" s="11">
        <f t="shared" si="152"/>
        <v>0</v>
      </c>
      <c r="AO160" s="8">
        <f t="shared" si="159"/>
        <v>27625</v>
      </c>
      <c r="AP160" s="11">
        <f t="shared" si="153"/>
        <v>10200901</v>
      </c>
      <c r="AQ160" s="2" t="str">
        <f t="shared" si="154"/>
        <v>CALH</v>
      </c>
      <c r="AR160" s="37">
        <f t="shared" si="155"/>
        <v>0</v>
      </c>
      <c r="AS160" s="37">
        <f t="shared" si="156"/>
        <v>0</v>
      </c>
    </row>
    <row r="161" spans="1:45" x14ac:dyDescent="0.25">
      <c r="B161" s="2" t="s">
        <v>11</v>
      </c>
      <c r="C161" s="2">
        <v>2021</v>
      </c>
      <c r="D161" s="1">
        <v>273</v>
      </c>
      <c r="E161" s="11">
        <v>79476</v>
      </c>
      <c r="F161" s="8">
        <v>595</v>
      </c>
      <c r="G161" s="11">
        <v>256504</v>
      </c>
      <c r="H161" s="1">
        <v>61</v>
      </c>
      <c r="I161" s="11">
        <v>22273</v>
      </c>
      <c r="J161" s="1">
        <v>25348</v>
      </c>
      <c r="K161" s="11">
        <v>9204174</v>
      </c>
      <c r="L161" s="1">
        <v>1386</v>
      </c>
      <c r="M161" s="11">
        <v>524793</v>
      </c>
      <c r="N161" s="1">
        <v>794</v>
      </c>
      <c r="O161" s="11">
        <v>272081</v>
      </c>
      <c r="P161" s="8">
        <v>0</v>
      </c>
      <c r="Q161" s="11">
        <v>0</v>
      </c>
      <c r="R161" s="8">
        <f t="shared" si="142"/>
        <v>28457</v>
      </c>
      <c r="S161" s="11">
        <f t="shared" si="142"/>
        <v>10359301</v>
      </c>
      <c r="T161" s="2" t="s">
        <v>63</v>
      </c>
      <c r="X161" s="30">
        <v>16001.5</v>
      </c>
      <c r="Y161" s="30">
        <f t="shared" si="157"/>
        <v>0.63127268423544269</v>
      </c>
      <c r="Z161" s="31">
        <v>67976.764999999999</v>
      </c>
      <c r="AA161" s="32">
        <f t="shared" si="158"/>
        <v>7.3854280677440477E-3</v>
      </c>
      <c r="AC161" s="2" t="s">
        <v>11</v>
      </c>
      <c r="AD161" s="2">
        <v>2021</v>
      </c>
      <c r="AE161" s="1">
        <f t="shared" si="143"/>
        <v>929</v>
      </c>
      <c r="AF161" s="11">
        <f t="shared" si="144"/>
        <v>358253</v>
      </c>
      <c r="AG161" s="1">
        <f t="shared" si="145"/>
        <v>25348</v>
      </c>
      <c r="AH161" s="11">
        <f t="shared" si="146"/>
        <v>9204174</v>
      </c>
      <c r="AI161" s="8">
        <f t="shared" si="147"/>
        <v>1386</v>
      </c>
      <c r="AJ161" s="11">
        <f t="shared" si="148"/>
        <v>524793</v>
      </c>
      <c r="AK161" s="8">
        <f t="shared" si="149"/>
        <v>794</v>
      </c>
      <c r="AL161" s="11">
        <f t="shared" si="150"/>
        <v>272081</v>
      </c>
      <c r="AM161" s="8">
        <f t="shared" si="151"/>
        <v>0</v>
      </c>
      <c r="AN161" s="11">
        <f t="shared" si="152"/>
        <v>0</v>
      </c>
      <c r="AO161" s="8">
        <f t="shared" si="159"/>
        <v>28457</v>
      </c>
      <c r="AP161" s="11">
        <f t="shared" si="153"/>
        <v>10359301</v>
      </c>
      <c r="AQ161" s="2" t="str">
        <f t="shared" si="154"/>
        <v>CALH</v>
      </c>
      <c r="AR161" s="37">
        <f t="shared" si="155"/>
        <v>0</v>
      </c>
      <c r="AS161" s="37">
        <f t="shared" si="156"/>
        <v>0</v>
      </c>
    </row>
    <row r="162" spans="1:45" x14ac:dyDescent="0.25">
      <c r="B162" s="2" t="s">
        <v>4</v>
      </c>
      <c r="C162" s="2">
        <v>2021</v>
      </c>
      <c r="D162" s="1">
        <v>227</v>
      </c>
      <c r="E162" s="11">
        <v>68021</v>
      </c>
      <c r="F162" s="8">
        <v>545</v>
      </c>
      <c r="G162" s="11">
        <v>237327</v>
      </c>
      <c r="H162" s="1">
        <v>54</v>
      </c>
      <c r="I162" s="11">
        <v>19514</v>
      </c>
      <c r="J162" s="1">
        <v>24445</v>
      </c>
      <c r="K162" s="11">
        <v>9089583</v>
      </c>
      <c r="L162" s="1">
        <v>1348</v>
      </c>
      <c r="M162" s="11">
        <v>517804</v>
      </c>
      <c r="N162" s="1">
        <v>812</v>
      </c>
      <c r="O162" s="11">
        <v>281455</v>
      </c>
      <c r="P162" s="8">
        <v>0</v>
      </c>
      <c r="Q162" s="11">
        <v>0</v>
      </c>
      <c r="R162" s="47">
        <f t="shared" si="142"/>
        <v>27431</v>
      </c>
      <c r="S162" s="48">
        <f t="shared" si="142"/>
        <v>10213704</v>
      </c>
      <c r="T162" s="2" t="s">
        <v>63</v>
      </c>
      <c r="X162" s="30">
        <v>15417.5</v>
      </c>
      <c r="Y162" s="30">
        <f t="shared" si="157"/>
        <v>0.63070157496420531</v>
      </c>
      <c r="Z162" s="31">
        <v>68357.36</v>
      </c>
      <c r="AA162" s="32">
        <f t="shared" si="158"/>
        <v>7.5204066017109912E-3</v>
      </c>
      <c r="AC162" s="2" t="s">
        <v>4</v>
      </c>
      <c r="AD162" s="2">
        <v>2021</v>
      </c>
      <c r="AE162" s="1">
        <f t="shared" si="143"/>
        <v>826</v>
      </c>
      <c r="AF162" s="11">
        <f t="shared" si="144"/>
        <v>324862</v>
      </c>
      <c r="AG162" s="1">
        <f t="shared" si="145"/>
        <v>24445</v>
      </c>
      <c r="AH162" s="11">
        <f t="shared" si="146"/>
        <v>9089583</v>
      </c>
      <c r="AI162" s="8">
        <f t="shared" si="147"/>
        <v>1348</v>
      </c>
      <c r="AJ162" s="11">
        <f t="shared" si="148"/>
        <v>517804</v>
      </c>
      <c r="AK162" s="8">
        <f t="shared" si="149"/>
        <v>812</v>
      </c>
      <c r="AL162" s="11">
        <f t="shared" si="150"/>
        <v>281455</v>
      </c>
      <c r="AM162" s="8">
        <f t="shared" si="151"/>
        <v>0</v>
      </c>
      <c r="AN162" s="11">
        <f t="shared" si="152"/>
        <v>0</v>
      </c>
      <c r="AO162" s="8">
        <f t="shared" si="159"/>
        <v>27431</v>
      </c>
      <c r="AP162" s="11">
        <f t="shared" si="153"/>
        <v>10213704</v>
      </c>
      <c r="AQ162" s="2" t="str">
        <f t="shared" si="154"/>
        <v>CALH</v>
      </c>
      <c r="AR162" s="37">
        <f t="shared" si="155"/>
        <v>0</v>
      </c>
      <c r="AS162" s="37">
        <f t="shared" si="156"/>
        <v>0</v>
      </c>
    </row>
    <row r="163" spans="1:45" x14ac:dyDescent="0.25">
      <c r="B163" s="2" t="s">
        <v>28</v>
      </c>
      <c r="C163" s="2">
        <v>2021</v>
      </c>
      <c r="D163" s="1">
        <v>234</v>
      </c>
      <c r="E163" s="11">
        <v>73973</v>
      </c>
      <c r="F163" s="8">
        <v>423</v>
      </c>
      <c r="G163" s="11">
        <v>185192</v>
      </c>
      <c r="H163" s="1">
        <v>61</v>
      </c>
      <c r="I163" s="11">
        <v>20937</v>
      </c>
      <c r="J163" s="1">
        <v>24236</v>
      </c>
      <c r="K163" s="11">
        <v>8967886</v>
      </c>
      <c r="L163" s="1">
        <v>1313</v>
      </c>
      <c r="M163" s="11">
        <v>502170</v>
      </c>
      <c r="N163" s="1">
        <v>866</v>
      </c>
      <c r="O163" s="11">
        <v>306804</v>
      </c>
      <c r="P163" s="8">
        <v>0</v>
      </c>
      <c r="Q163" s="11">
        <v>0</v>
      </c>
      <c r="R163" s="47">
        <f t="shared" si="142"/>
        <v>27133</v>
      </c>
      <c r="S163" s="48">
        <f t="shared" si="142"/>
        <v>10056962</v>
      </c>
      <c r="T163" s="2" t="s">
        <v>63</v>
      </c>
      <c r="X163" s="30">
        <v>15155</v>
      </c>
      <c r="Y163" s="30">
        <f t="shared" si="157"/>
        <v>0.62530945700610663</v>
      </c>
      <c r="Z163" s="31">
        <v>69087.122499999998</v>
      </c>
      <c r="AA163" s="32">
        <f t="shared" si="158"/>
        <v>7.7038359430527991E-3</v>
      </c>
      <c r="AC163" s="2" t="s">
        <v>28</v>
      </c>
      <c r="AD163" s="2">
        <v>2021</v>
      </c>
      <c r="AE163" s="1">
        <f t="shared" si="143"/>
        <v>718</v>
      </c>
      <c r="AF163" s="11">
        <f t="shared" si="144"/>
        <v>280102</v>
      </c>
      <c r="AG163" s="1">
        <f t="shared" si="145"/>
        <v>24236</v>
      </c>
      <c r="AH163" s="11">
        <f t="shared" si="146"/>
        <v>8967886</v>
      </c>
      <c r="AI163" s="8">
        <f t="shared" si="147"/>
        <v>1313</v>
      </c>
      <c r="AJ163" s="11">
        <f t="shared" si="148"/>
        <v>502170</v>
      </c>
      <c r="AK163" s="8">
        <f t="shared" si="149"/>
        <v>866</v>
      </c>
      <c r="AL163" s="11">
        <f t="shared" si="150"/>
        <v>306804</v>
      </c>
      <c r="AM163" s="8">
        <f t="shared" si="151"/>
        <v>0</v>
      </c>
      <c r="AN163" s="11">
        <f t="shared" si="152"/>
        <v>0</v>
      </c>
      <c r="AO163" s="8">
        <f t="shared" si="159"/>
        <v>27133</v>
      </c>
      <c r="AP163" s="11">
        <f t="shared" si="153"/>
        <v>10056962</v>
      </c>
      <c r="AQ163" s="2" t="str">
        <f t="shared" si="154"/>
        <v>CALH</v>
      </c>
      <c r="AR163" s="37">
        <f t="shared" si="155"/>
        <v>0</v>
      </c>
      <c r="AS163" s="37">
        <f t="shared" si="156"/>
        <v>0</v>
      </c>
    </row>
    <row r="164" spans="1:45" x14ac:dyDescent="0.25">
      <c r="B164" s="2" t="s">
        <v>29</v>
      </c>
      <c r="C164" s="2">
        <v>2021</v>
      </c>
      <c r="D164" s="1">
        <v>282</v>
      </c>
      <c r="E164" s="11">
        <v>88368</v>
      </c>
      <c r="F164" s="8">
        <v>489</v>
      </c>
      <c r="G164" s="11">
        <v>205950</v>
      </c>
      <c r="H164" s="1">
        <v>55</v>
      </c>
      <c r="I164" s="11">
        <v>18367</v>
      </c>
      <c r="J164" s="1">
        <v>27981</v>
      </c>
      <c r="K164" s="11">
        <v>10180617</v>
      </c>
      <c r="L164" s="1">
        <v>1403</v>
      </c>
      <c r="M164" s="11">
        <v>538308</v>
      </c>
      <c r="N164" s="1">
        <v>923</v>
      </c>
      <c r="O164" s="11">
        <v>326560</v>
      </c>
      <c r="P164" s="8">
        <v>0</v>
      </c>
      <c r="Q164" s="11">
        <v>0</v>
      </c>
      <c r="R164" s="47">
        <f t="shared" si="142"/>
        <v>31133</v>
      </c>
      <c r="S164" s="48">
        <f t="shared" si="142"/>
        <v>11358170</v>
      </c>
      <c r="T164" s="2" t="s">
        <v>63</v>
      </c>
      <c r="X164" s="30">
        <v>16979.849999999999</v>
      </c>
      <c r="Y164" s="30">
        <f t="shared" si="157"/>
        <v>0.60683499517529749</v>
      </c>
      <c r="Z164" s="31">
        <v>80874.192500000005</v>
      </c>
      <c r="AA164" s="32">
        <f t="shared" si="158"/>
        <v>7.9439382210331651E-3</v>
      </c>
      <c r="AC164" s="2" t="s">
        <v>29</v>
      </c>
      <c r="AD164" s="2">
        <v>2021</v>
      </c>
      <c r="AE164" s="1">
        <f t="shared" si="143"/>
        <v>826</v>
      </c>
      <c r="AF164" s="11">
        <f t="shared" si="144"/>
        <v>312685</v>
      </c>
      <c r="AG164" s="1">
        <f t="shared" si="145"/>
        <v>27981</v>
      </c>
      <c r="AH164" s="11">
        <f t="shared" si="146"/>
        <v>10180617</v>
      </c>
      <c r="AI164" s="8">
        <f t="shared" si="147"/>
        <v>1403</v>
      </c>
      <c r="AJ164" s="11">
        <f t="shared" si="148"/>
        <v>538308</v>
      </c>
      <c r="AK164" s="8">
        <f t="shared" si="149"/>
        <v>923</v>
      </c>
      <c r="AL164" s="11">
        <f t="shared" si="150"/>
        <v>326560</v>
      </c>
      <c r="AM164" s="8">
        <f t="shared" si="151"/>
        <v>0</v>
      </c>
      <c r="AN164" s="11">
        <f t="shared" si="152"/>
        <v>0</v>
      </c>
      <c r="AO164" s="8">
        <f t="shared" si="159"/>
        <v>31133</v>
      </c>
      <c r="AP164" s="11">
        <f t="shared" si="153"/>
        <v>11358170</v>
      </c>
      <c r="AQ164" s="2" t="str">
        <f t="shared" si="154"/>
        <v>CALH</v>
      </c>
      <c r="AR164" s="37">
        <f t="shared" si="155"/>
        <v>0</v>
      </c>
      <c r="AS164" s="37">
        <f t="shared" si="156"/>
        <v>0</v>
      </c>
    </row>
    <row r="165" spans="1:45" x14ac:dyDescent="0.25">
      <c r="B165" s="2" t="s">
        <v>30</v>
      </c>
      <c r="C165" s="2">
        <v>2021</v>
      </c>
      <c r="D165" s="1">
        <v>301</v>
      </c>
      <c r="E165" s="11">
        <v>94957</v>
      </c>
      <c r="F165" s="8">
        <v>451</v>
      </c>
      <c r="G165" s="11">
        <v>188772</v>
      </c>
      <c r="H165" s="1">
        <v>65</v>
      </c>
      <c r="I165" s="11">
        <v>22875</v>
      </c>
      <c r="J165" s="1">
        <v>29488</v>
      </c>
      <c r="K165" s="11">
        <v>10733343</v>
      </c>
      <c r="L165" s="1">
        <v>1572</v>
      </c>
      <c r="M165" s="11">
        <v>597000</v>
      </c>
      <c r="N165" s="1">
        <v>948</v>
      </c>
      <c r="O165" s="11">
        <v>338274</v>
      </c>
      <c r="P165" s="8">
        <v>0</v>
      </c>
      <c r="Q165" s="11">
        <v>0</v>
      </c>
      <c r="R165" s="47">
        <f t="shared" si="142"/>
        <v>32825</v>
      </c>
      <c r="S165" s="48">
        <f t="shared" si="142"/>
        <v>11975221</v>
      </c>
      <c r="T165" s="2" t="s">
        <v>63</v>
      </c>
      <c r="X165" s="30">
        <v>18027</v>
      </c>
      <c r="Y165" s="30">
        <f t="shared" si="157"/>
        <v>0.61133342376559952</v>
      </c>
      <c r="Z165" s="31">
        <v>84620.19249999999</v>
      </c>
      <c r="AA165" s="32">
        <f t="shared" si="158"/>
        <v>7.8838617660872291E-3</v>
      </c>
      <c r="AC165" s="2" t="s">
        <v>30</v>
      </c>
      <c r="AD165" s="2">
        <v>2021</v>
      </c>
      <c r="AE165" s="1">
        <f t="shared" si="143"/>
        <v>817</v>
      </c>
      <c r="AF165" s="11">
        <f t="shared" si="144"/>
        <v>306604</v>
      </c>
      <c r="AG165" s="1">
        <f t="shared" si="145"/>
        <v>29488</v>
      </c>
      <c r="AH165" s="11">
        <f t="shared" si="146"/>
        <v>10733343</v>
      </c>
      <c r="AI165" s="8">
        <f t="shared" si="147"/>
        <v>1572</v>
      </c>
      <c r="AJ165" s="11">
        <f t="shared" si="148"/>
        <v>597000</v>
      </c>
      <c r="AK165" s="8">
        <f t="shared" si="149"/>
        <v>948</v>
      </c>
      <c r="AL165" s="11">
        <f t="shared" si="150"/>
        <v>338274</v>
      </c>
      <c r="AM165" s="8">
        <f t="shared" si="151"/>
        <v>0</v>
      </c>
      <c r="AN165" s="11">
        <f t="shared" si="152"/>
        <v>0</v>
      </c>
      <c r="AO165" s="8">
        <f t="shared" si="159"/>
        <v>32825</v>
      </c>
      <c r="AP165" s="11">
        <f t="shared" si="153"/>
        <v>11975221</v>
      </c>
      <c r="AQ165" s="2" t="str">
        <f t="shared" si="154"/>
        <v>CALH</v>
      </c>
      <c r="AR165" s="37">
        <f t="shared" si="155"/>
        <v>0</v>
      </c>
      <c r="AS165" s="37">
        <f t="shared" si="156"/>
        <v>0</v>
      </c>
    </row>
    <row r="166" spans="1:45" x14ac:dyDescent="0.25">
      <c r="B166" s="2" t="s">
        <v>31</v>
      </c>
      <c r="C166" s="2">
        <v>2021</v>
      </c>
      <c r="D166" s="1">
        <v>401</v>
      </c>
      <c r="E166" s="11">
        <v>114770</v>
      </c>
      <c r="F166" s="8">
        <v>440</v>
      </c>
      <c r="G166" s="11">
        <v>177563</v>
      </c>
      <c r="H166" s="1">
        <v>84</v>
      </c>
      <c r="I166" s="11">
        <v>28784</v>
      </c>
      <c r="J166" s="1">
        <v>31925</v>
      </c>
      <c r="K166" s="11">
        <v>11549843</v>
      </c>
      <c r="L166" s="1">
        <v>1706</v>
      </c>
      <c r="M166" s="11">
        <v>630946</v>
      </c>
      <c r="N166" s="1">
        <v>1149</v>
      </c>
      <c r="O166" s="11">
        <v>399899</v>
      </c>
      <c r="P166" s="8">
        <v>0</v>
      </c>
      <c r="Q166" s="11">
        <v>0</v>
      </c>
      <c r="R166" s="50">
        <f t="shared" si="142"/>
        <v>35705</v>
      </c>
      <c r="S166" s="51">
        <f t="shared" si="142"/>
        <v>12901805</v>
      </c>
      <c r="T166" s="2" t="s">
        <v>63</v>
      </c>
      <c r="X166" s="30">
        <v>20157.7</v>
      </c>
      <c r="Y166" s="30">
        <f t="shared" si="157"/>
        <v>0.63140798747063431</v>
      </c>
      <c r="Z166" s="31">
        <v>85426.8125</v>
      </c>
      <c r="AA166" s="32">
        <f t="shared" si="158"/>
        <v>7.3963613617951344E-3</v>
      </c>
      <c r="AC166" s="2" t="s">
        <v>31</v>
      </c>
      <c r="AD166" s="2">
        <v>2021</v>
      </c>
      <c r="AE166" s="1">
        <f t="shared" si="143"/>
        <v>925</v>
      </c>
      <c r="AF166" s="11">
        <f t="shared" si="144"/>
        <v>321117</v>
      </c>
      <c r="AG166" s="1">
        <f t="shared" si="145"/>
        <v>31925</v>
      </c>
      <c r="AH166" s="11">
        <f t="shared" si="146"/>
        <v>11549843</v>
      </c>
      <c r="AI166" s="8">
        <f t="shared" si="147"/>
        <v>1706</v>
      </c>
      <c r="AJ166" s="11">
        <f t="shared" si="148"/>
        <v>630946</v>
      </c>
      <c r="AK166" s="8">
        <f t="shared" si="149"/>
        <v>1149</v>
      </c>
      <c r="AL166" s="11">
        <f t="shared" si="150"/>
        <v>399899</v>
      </c>
      <c r="AM166" s="8">
        <f t="shared" si="151"/>
        <v>0</v>
      </c>
      <c r="AN166" s="11">
        <f t="shared" si="152"/>
        <v>0</v>
      </c>
      <c r="AO166" s="8">
        <f t="shared" si="159"/>
        <v>35705</v>
      </c>
      <c r="AP166" s="11">
        <f t="shared" si="153"/>
        <v>12901805</v>
      </c>
      <c r="AQ166" s="2" t="str">
        <f t="shared" si="154"/>
        <v>CALH</v>
      </c>
      <c r="AR166" s="37">
        <f t="shared" si="155"/>
        <v>0</v>
      </c>
      <c r="AS166" s="37">
        <f t="shared" si="156"/>
        <v>0</v>
      </c>
    </row>
    <row r="167" spans="1:45" x14ac:dyDescent="0.25">
      <c r="AF167" s="9"/>
      <c r="AH167" s="9"/>
      <c r="AJ167" s="9"/>
      <c r="AL167" s="9"/>
      <c r="AM167" s="9"/>
      <c r="AN167" s="9"/>
      <c r="AP167" s="9"/>
    </row>
    <row r="168" spans="1:45" x14ac:dyDescent="0.25">
      <c r="B168" s="3" t="s">
        <v>12</v>
      </c>
      <c r="C168" s="3"/>
      <c r="D168" s="4">
        <f t="shared" ref="D168:S168" si="160">SUM(D155:D167)</f>
        <v>2899</v>
      </c>
      <c r="E168" s="12">
        <f t="shared" si="160"/>
        <v>900657</v>
      </c>
      <c r="F168" s="4">
        <f t="shared" si="160"/>
        <v>4993</v>
      </c>
      <c r="G168" s="12">
        <f t="shared" si="160"/>
        <v>2104951</v>
      </c>
      <c r="H168" s="4">
        <f t="shared" si="160"/>
        <v>693</v>
      </c>
      <c r="I168" s="12">
        <f t="shared" si="160"/>
        <v>247054</v>
      </c>
      <c r="J168" s="4">
        <f t="shared" si="160"/>
        <v>310585</v>
      </c>
      <c r="K168" s="12">
        <f t="shared" si="160"/>
        <v>115650207</v>
      </c>
      <c r="L168" s="4">
        <f t="shared" si="160"/>
        <v>25219</v>
      </c>
      <c r="M168" s="12">
        <f t="shared" si="160"/>
        <v>9570308</v>
      </c>
      <c r="N168" s="4">
        <f t="shared" si="160"/>
        <v>9489</v>
      </c>
      <c r="O168" s="12">
        <f t="shared" si="160"/>
        <v>3396248</v>
      </c>
      <c r="P168" s="4">
        <f t="shared" si="160"/>
        <v>0</v>
      </c>
      <c r="Q168" s="12">
        <f t="shared" si="160"/>
        <v>0</v>
      </c>
      <c r="R168" s="4">
        <f t="shared" si="160"/>
        <v>353878</v>
      </c>
      <c r="S168" s="12">
        <f t="shared" si="160"/>
        <v>131869425</v>
      </c>
      <c r="X168" s="12">
        <f>AVERAGE(X155:X167)</f>
        <v>16497.590833333332</v>
      </c>
      <c r="Y168" s="12">
        <f>AVERAGE(Y155:Y167)</f>
        <v>0.6383378277948728</v>
      </c>
      <c r="Z168" s="12">
        <f t="shared" ref="Z168:AA168" si="161">AVERAGE(Z155:Z167)</f>
        <v>71333.535208333342</v>
      </c>
      <c r="AA168" s="16">
        <f t="shared" si="161"/>
        <v>7.3932595544215661E-3</v>
      </c>
      <c r="AC168" s="3" t="s">
        <v>12</v>
      </c>
      <c r="AD168" s="3"/>
      <c r="AE168" s="4">
        <f t="shared" ref="AE168:AP168" si="162">SUM(AE155:AE167)</f>
        <v>8585</v>
      </c>
      <c r="AF168" s="12">
        <f t="shared" si="162"/>
        <v>3252662</v>
      </c>
      <c r="AG168" s="4">
        <f t="shared" si="162"/>
        <v>310585</v>
      </c>
      <c r="AH168" s="12">
        <f t="shared" si="162"/>
        <v>115650207</v>
      </c>
      <c r="AI168" s="4">
        <f t="shared" si="162"/>
        <v>25219</v>
      </c>
      <c r="AJ168" s="12">
        <f t="shared" si="162"/>
        <v>9570308</v>
      </c>
      <c r="AK168" s="4">
        <f t="shared" si="162"/>
        <v>9489</v>
      </c>
      <c r="AL168" s="12">
        <f t="shared" si="162"/>
        <v>3396248</v>
      </c>
      <c r="AM168" s="4">
        <f t="shared" si="162"/>
        <v>0</v>
      </c>
      <c r="AN168" s="12">
        <f t="shared" si="162"/>
        <v>0</v>
      </c>
      <c r="AO168" s="4">
        <f t="shared" si="162"/>
        <v>353878</v>
      </c>
      <c r="AP168" s="12">
        <f t="shared" si="162"/>
        <v>131869425</v>
      </c>
    </row>
    <row r="169" spans="1:45" x14ac:dyDescent="0.25">
      <c r="J169" s="46" t="str">
        <f>+$B$150</f>
        <v>Aforo e Ingreso - CALH</v>
      </c>
      <c r="K169" s="9" t="s">
        <v>84</v>
      </c>
      <c r="L169" s="15">
        <f>AVERAGE(L155:L166)</f>
        <v>2101.5833333333335</v>
      </c>
      <c r="M169" s="28">
        <f>AVERAGE(M155:M166)</f>
        <v>797525.66666666663</v>
      </c>
      <c r="R169" s="15">
        <f>AVERAGE(R155:R166)</f>
        <v>29489.833333333332</v>
      </c>
      <c r="S169" s="28">
        <f>AVERAGE(S155:S166)</f>
        <v>10989118.75</v>
      </c>
    </row>
    <row r="170" spans="1:45" x14ac:dyDescent="0.25">
      <c r="B170" s="5" t="s">
        <v>14</v>
      </c>
      <c r="J170" s="46" t="str">
        <f>+$B$150</f>
        <v>Aforo e Ingreso - CALH</v>
      </c>
      <c r="K170" s="9" t="s">
        <v>85</v>
      </c>
      <c r="L170" s="44">
        <f>+L169/$L$295</f>
        <v>6.8561396011047474E-3</v>
      </c>
      <c r="M170" s="44">
        <f>+M169/$M$295</f>
        <v>2.076234761559102E-2</v>
      </c>
      <c r="R170" s="44">
        <f>+L169/R169</f>
        <v>7.126467313593951E-2</v>
      </c>
      <c r="S170" s="44">
        <f>+M169/S169</f>
        <v>7.2574123986663325E-2</v>
      </c>
    </row>
    <row r="171" spans="1:45" x14ac:dyDescent="0.25">
      <c r="B171" s="5" t="s">
        <v>50</v>
      </c>
      <c r="L171" s="26"/>
      <c r="M171" s="26"/>
    </row>
    <row r="172" spans="1:45" x14ac:dyDescent="0.25">
      <c r="B172" s="5"/>
    </row>
    <row r="173" spans="1:45" x14ac:dyDescent="0.25">
      <c r="D173" s="89" t="s">
        <v>15</v>
      </c>
      <c r="E173" s="90"/>
      <c r="F173" s="89" t="s">
        <v>71</v>
      </c>
      <c r="G173" s="90"/>
      <c r="H173" s="89" t="s">
        <v>16</v>
      </c>
      <c r="I173" s="90"/>
      <c r="J173" s="89" t="s">
        <v>17</v>
      </c>
      <c r="K173" s="93"/>
      <c r="L173" s="89" t="s">
        <v>18</v>
      </c>
      <c r="M173" s="93"/>
      <c r="N173" s="89" t="s">
        <v>13</v>
      </c>
      <c r="O173" s="93"/>
      <c r="P173" s="89" t="s">
        <v>34</v>
      </c>
      <c r="Q173" s="93"/>
      <c r="R173" s="89" t="s">
        <v>12</v>
      </c>
      <c r="S173" s="93"/>
      <c r="AE173" s="89" t="s">
        <v>69</v>
      </c>
      <c r="AF173" s="90"/>
      <c r="AG173" s="89" t="s">
        <v>17</v>
      </c>
      <c r="AH173" s="93"/>
      <c r="AI173" s="89" t="s">
        <v>18</v>
      </c>
      <c r="AJ173" s="93"/>
      <c r="AK173" s="89" t="s">
        <v>13</v>
      </c>
      <c r="AL173" s="93"/>
      <c r="AM173" s="89" t="s">
        <v>34</v>
      </c>
      <c r="AN173" s="93"/>
      <c r="AO173" s="89" t="s">
        <v>12</v>
      </c>
      <c r="AP173" s="93"/>
    </row>
    <row r="174" spans="1:45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X174" s="33">
        <v>2020</v>
      </c>
      <c r="Y174" s="34">
        <v>0.59672093529681525</v>
      </c>
      <c r="Z174" s="33">
        <v>2020</v>
      </c>
      <c r="AA174" s="35">
        <v>5.5983984041002126E-3</v>
      </c>
      <c r="AC174" s="7" t="s">
        <v>0</v>
      </c>
      <c r="AD174" s="7" t="s">
        <v>1</v>
      </c>
      <c r="AE174" s="7" t="s">
        <v>2</v>
      </c>
      <c r="AF174" s="10" t="s">
        <v>3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</row>
    <row r="175" spans="1:45" x14ac:dyDescent="0.25">
      <c r="AF175" s="9"/>
      <c r="AH175" s="9"/>
      <c r="AJ175" s="9"/>
      <c r="AL175" s="9"/>
      <c r="AM175" s="9"/>
      <c r="AN175" s="9"/>
      <c r="AP175" s="9"/>
    </row>
    <row r="176" spans="1:45" x14ac:dyDescent="0.25">
      <c r="B176" s="2" t="s">
        <v>5</v>
      </c>
      <c r="C176" s="2">
        <v>2021</v>
      </c>
      <c r="D176" s="1">
        <v>4684</v>
      </c>
      <c r="E176" s="11">
        <v>174036</v>
      </c>
      <c r="F176" s="1">
        <v>2447</v>
      </c>
      <c r="G176" s="11">
        <v>117822</v>
      </c>
      <c r="H176" s="1">
        <v>945</v>
      </c>
      <c r="I176" s="11">
        <v>36788</v>
      </c>
      <c r="J176" s="1">
        <v>129768</v>
      </c>
      <c r="K176" s="11">
        <v>6764047</v>
      </c>
      <c r="L176" s="1">
        <v>17957</v>
      </c>
      <c r="M176" s="11">
        <v>976981</v>
      </c>
      <c r="N176" s="1">
        <v>2506</v>
      </c>
      <c r="O176" s="11">
        <v>139502</v>
      </c>
      <c r="P176" s="45">
        <v>0</v>
      </c>
      <c r="Q176" s="11">
        <v>0</v>
      </c>
      <c r="R176" s="8">
        <f t="shared" ref="R176:S187" si="163">N176+L176+J176+H176+D176+P176+F176</f>
        <v>158307</v>
      </c>
      <c r="S176" s="11">
        <f t="shared" si="163"/>
        <v>8209176</v>
      </c>
      <c r="T176" s="2" t="s">
        <v>64</v>
      </c>
      <c r="X176" s="30">
        <v>79282.28</v>
      </c>
      <c r="Y176" s="30">
        <f t="shared" ref="Y176:Y187" si="164">+X176/J176</f>
        <v>0.6109540102336477</v>
      </c>
      <c r="Z176" s="31">
        <v>37279.162499999999</v>
      </c>
      <c r="AA176" s="32">
        <f t="shared" ref="AA176:AA187" si="165">+Z176/K176</f>
        <v>5.5113695247830177E-3</v>
      </c>
      <c r="AC176" s="2" t="s">
        <v>5</v>
      </c>
      <c r="AD176" s="2">
        <v>2021</v>
      </c>
      <c r="AE176" s="1">
        <f t="shared" ref="AE176:AE187" si="166">D176+H176+F176</f>
        <v>8076</v>
      </c>
      <c r="AF176" s="11">
        <f t="shared" ref="AF176:AF187" si="167">E176+I176+G176</f>
        <v>328646</v>
      </c>
      <c r="AG176" s="1">
        <f t="shared" ref="AG176:AG187" si="168">+J176</f>
        <v>129768</v>
      </c>
      <c r="AH176" s="11">
        <f t="shared" ref="AH176:AH187" si="169">+K176</f>
        <v>6764047</v>
      </c>
      <c r="AI176" s="8">
        <f t="shared" ref="AI176:AI187" si="170">+L176</f>
        <v>17957</v>
      </c>
      <c r="AJ176" s="11">
        <f t="shared" ref="AJ176:AJ187" si="171">+M176</f>
        <v>976981</v>
      </c>
      <c r="AK176" s="8">
        <f t="shared" ref="AK176:AK187" si="172">+N176</f>
        <v>2506</v>
      </c>
      <c r="AL176" s="11">
        <f t="shared" ref="AL176:AL187" si="173">+O176</f>
        <v>139502</v>
      </c>
      <c r="AM176" s="8">
        <f t="shared" ref="AM176:AM187" si="174">+P176</f>
        <v>0</v>
      </c>
      <c r="AN176" s="11">
        <f t="shared" ref="AN176:AN187" si="175">+Q176</f>
        <v>0</v>
      </c>
      <c r="AO176" s="8">
        <f>AM176+AK176+AI176+AG176+AE176</f>
        <v>158307</v>
      </c>
      <c r="AP176" s="11">
        <f t="shared" ref="AP176:AP187" si="176">AN176+AL176+AJ176+AH176+AF176</f>
        <v>8209176</v>
      </c>
      <c r="AQ176" s="2" t="str">
        <f t="shared" ref="AQ176:AQ187" si="177">+T176</f>
        <v>COBI</v>
      </c>
      <c r="AR176" s="37">
        <f t="shared" ref="AR176:AR187" si="178">+AO176-R176</f>
        <v>0</v>
      </c>
      <c r="AS176" s="37">
        <f t="shared" ref="AS176:AS187" si="179">+AP176-S176</f>
        <v>0</v>
      </c>
    </row>
    <row r="177" spans="2:45" x14ac:dyDescent="0.25">
      <c r="B177" s="2" t="s">
        <v>6</v>
      </c>
      <c r="C177" s="2">
        <v>2021</v>
      </c>
      <c r="D177" s="1">
        <v>4684</v>
      </c>
      <c r="E177" s="11">
        <v>177359</v>
      </c>
      <c r="F177" s="1">
        <v>2490</v>
      </c>
      <c r="G177" s="11">
        <v>117484</v>
      </c>
      <c r="H177" s="1">
        <v>923</v>
      </c>
      <c r="I177" s="11">
        <v>36730</v>
      </c>
      <c r="J177" s="1">
        <v>123883</v>
      </c>
      <c r="K177" s="11">
        <v>6469518</v>
      </c>
      <c r="L177" s="1">
        <v>16475</v>
      </c>
      <c r="M177" s="11">
        <v>900437</v>
      </c>
      <c r="N177" s="1">
        <v>2772</v>
      </c>
      <c r="O177" s="11">
        <v>170037</v>
      </c>
      <c r="P177" s="45">
        <v>0</v>
      </c>
      <c r="Q177" s="11">
        <v>0</v>
      </c>
      <c r="R177" s="8">
        <f t="shared" si="163"/>
        <v>151227</v>
      </c>
      <c r="S177" s="11">
        <f t="shared" si="163"/>
        <v>7871565</v>
      </c>
      <c r="T177" s="2" t="s">
        <v>64</v>
      </c>
      <c r="X177" s="30">
        <v>75661.2</v>
      </c>
      <c r="Y177" s="30">
        <f t="shared" si="164"/>
        <v>0.61074723731262559</v>
      </c>
      <c r="Z177" s="31">
        <v>35513.162499999999</v>
      </c>
      <c r="AA177" s="32">
        <f t="shared" si="165"/>
        <v>5.4893057720837935E-3</v>
      </c>
      <c r="AC177" s="2" t="s">
        <v>6</v>
      </c>
      <c r="AD177" s="2">
        <v>2021</v>
      </c>
      <c r="AE177" s="1">
        <f t="shared" si="166"/>
        <v>8097</v>
      </c>
      <c r="AF177" s="11">
        <f t="shared" si="167"/>
        <v>331573</v>
      </c>
      <c r="AG177" s="1">
        <f t="shared" si="168"/>
        <v>123883</v>
      </c>
      <c r="AH177" s="11">
        <f t="shared" si="169"/>
        <v>6469518</v>
      </c>
      <c r="AI177" s="8">
        <f t="shared" si="170"/>
        <v>16475</v>
      </c>
      <c r="AJ177" s="11">
        <f t="shared" si="171"/>
        <v>900437</v>
      </c>
      <c r="AK177" s="8">
        <f t="shared" si="172"/>
        <v>2772</v>
      </c>
      <c r="AL177" s="11">
        <f t="shared" si="173"/>
        <v>170037</v>
      </c>
      <c r="AM177" s="8">
        <f t="shared" si="174"/>
        <v>0</v>
      </c>
      <c r="AN177" s="11">
        <f t="shared" si="175"/>
        <v>0</v>
      </c>
      <c r="AO177" s="8">
        <f t="shared" ref="AO177:AO187" si="180">AM177+AK177+AI177+AG177+AE177</f>
        <v>151227</v>
      </c>
      <c r="AP177" s="11">
        <f t="shared" si="176"/>
        <v>7871565</v>
      </c>
      <c r="AQ177" s="2" t="str">
        <f t="shared" si="177"/>
        <v>COBI</v>
      </c>
      <c r="AR177" s="37">
        <f t="shared" si="178"/>
        <v>0</v>
      </c>
      <c r="AS177" s="37">
        <f t="shared" si="179"/>
        <v>0</v>
      </c>
    </row>
    <row r="178" spans="2:45" x14ac:dyDescent="0.25">
      <c r="B178" s="2" t="s">
        <v>7</v>
      </c>
      <c r="C178" s="2">
        <v>2021</v>
      </c>
      <c r="D178" s="1">
        <v>6122</v>
      </c>
      <c r="E178" s="11">
        <v>239387</v>
      </c>
      <c r="F178" s="1">
        <v>2891</v>
      </c>
      <c r="G178" s="11">
        <v>136703</v>
      </c>
      <c r="H178" s="1">
        <v>906</v>
      </c>
      <c r="I178" s="11">
        <v>35469</v>
      </c>
      <c r="J178" s="1">
        <v>143007</v>
      </c>
      <c r="K178" s="11">
        <v>7433310</v>
      </c>
      <c r="L178" s="1">
        <v>17430</v>
      </c>
      <c r="M178" s="11">
        <v>945193</v>
      </c>
      <c r="N178" s="1">
        <v>3356</v>
      </c>
      <c r="O178" s="11">
        <v>208927</v>
      </c>
      <c r="P178" s="45">
        <v>0</v>
      </c>
      <c r="Q178" s="11">
        <v>0</v>
      </c>
      <c r="R178" s="8">
        <f t="shared" si="163"/>
        <v>173712</v>
      </c>
      <c r="S178" s="11">
        <f t="shared" si="163"/>
        <v>8998989</v>
      </c>
      <c r="T178" s="2" t="s">
        <v>64</v>
      </c>
      <c r="X178" s="30">
        <v>86865.87</v>
      </c>
      <c r="Y178" s="30">
        <f t="shared" si="164"/>
        <v>0.60742390232645949</v>
      </c>
      <c r="Z178" s="31">
        <v>40865.044999999998</v>
      </c>
      <c r="AA178" s="32">
        <f t="shared" si="165"/>
        <v>5.4975569430038571E-3</v>
      </c>
      <c r="AC178" s="2" t="s">
        <v>7</v>
      </c>
      <c r="AD178" s="2">
        <v>2021</v>
      </c>
      <c r="AE178" s="1">
        <f t="shared" si="166"/>
        <v>9919</v>
      </c>
      <c r="AF178" s="11">
        <f t="shared" si="167"/>
        <v>411559</v>
      </c>
      <c r="AG178" s="1">
        <f t="shared" si="168"/>
        <v>143007</v>
      </c>
      <c r="AH178" s="11">
        <f t="shared" si="169"/>
        <v>7433310</v>
      </c>
      <c r="AI178" s="8">
        <f t="shared" si="170"/>
        <v>17430</v>
      </c>
      <c r="AJ178" s="11">
        <f t="shared" si="171"/>
        <v>945193</v>
      </c>
      <c r="AK178" s="8">
        <f t="shared" si="172"/>
        <v>3356</v>
      </c>
      <c r="AL178" s="11">
        <f t="shared" si="173"/>
        <v>208927</v>
      </c>
      <c r="AM178" s="8">
        <f t="shared" si="174"/>
        <v>0</v>
      </c>
      <c r="AN178" s="11">
        <f t="shared" si="175"/>
        <v>0</v>
      </c>
      <c r="AO178" s="8">
        <f t="shared" si="180"/>
        <v>173712</v>
      </c>
      <c r="AP178" s="11">
        <f t="shared" si="176"/>
        <v>8998989</v>
      </c>
      <c r="AQ178" s="2" t="str">
        <f t="shared" si="177"/>
        <v>COBI</v>
      </c>
      <c r="AR178" s="37">
        <f t="shared" si="178"/>
        <v>0</v>
      </c>
      <c r="AS178" s="37">
        <f t="shared" si="179"/>
        <v>0</v>
      </c>
    </row>
    <row r="179" spans="2:45" x14ac:dyDescent="0.25">
      <c r="B179" s="2" t="s">
        <v>8</v>
      </c>
      <c r="C179" s="2">
        <v>2021</v>
      </c>
      <c r="D179" s="1">
        <v>5567</v>
      </c>
      <c r="E179" s="11">
        <v>216786</v>
      </c>
      <c r="F179" s="1">
        <v>2735</v>
      </c>
      <c r="G179" s="11">
        <v>124425</v>
      </c>
      <c r="H179" s="1">
        <v>1020</v>
      </c>
      <c r="I179" s="11">
        <v>39057</v>
      </c>
      <c r="J179" s="1">
        <v>134183</v>
      </c>
      <c r="K179" s="11">
        <v>6993385</v>
      </c>
      <c r="L179" s="1">
        <v>8032</v>
      </c>
      <c r="M179" s="11">
        <v>435375</v>
      </c>
      <c r="N179" s="1">
        <v>5404</v>
      </c>
      <c r="O179" s="11">
        <v>326903</v>
      </c>
      <c r="P179" s="45">
        <v>0</v>
      </c>
      <c r="Q179" s="11">
        <v>0</v>
      </c>
      <c r="R179" s="8">
        <f t="shared" si="163"/>
        <v>156941</v>
      </c>
      <c r="S179" s="11">
        <f t="shared" si="163"/>
        <v>8135931</v>
      </c>
      <c r="T179" s="2" t="s">
        <v>64</v>
      </c>
      <c r="X179" s="30">
        <v>81175.540000000008</v>
      </c>
      <c r="Y179" s="30">
        <f t="shared" si="164"/>
        <v>0.6049614332665092</v>
      </c>
      <c r="Z179" s="31">
        <v>39077.287499999999</v>
      </c>
      <c r="AA179" s="32">
        <f t="shared" si="165"/>
        <v>5.5877500666701458E-3</v>
      </c>
      <c r="AC179" s="2" t="s">
        <v>8</v>
      </c>
      <c r="AD179" s="2">
        <v>2021</v>
      </c>
      <c r="AE179" s="1">
        <f t="shared" si="166"/>
        <v>9322</v>
      </c>
      <c r="AF179" s="11">
        <f t="shared" si="167"/>
        <v>380268</v>
      </c>
      <c r="AG179" s="1">
        <f t="shared" si="168"/>
        <v>134183</v>
      </c>
      <c r="AH179" s="11">
        <f t="shared" si="169"/>
        <v>6993385</v>
      </c>
      <c r="AI179" s="8">
        <f t="shared" si="170"/>
        <v>8032</v>
      </c>
      <c r="AJ179" s="11">
        <f t="shared" si="171"/>
        <v>435375</v>
      </c>
      <c r="AK179" s="8">
        <f t="shared" si="172"/>
        <v>5404</v>
      </c>
      <c r="AL179" s="11">
        <f t="shared" si="173"/>
        <v>326903</v>
      </c>
      <c r="AM179" s="8">
        <f t="shared" si="174"/>
        <v>0</v>
      </c>
      <c r="AN179" s="11">
        <f t="shared" si="175"/>
        <v>0</v>
      </c>
      <c r="AO179" s="8">
        <f t="shared" si="180"/>
        <v>156941</v>
      </c>
      <c r="AP179" s="11">
        <f t="shared" si="176"/>
        <v>8135931</v>
      </c>
      <c r="AQ179" s="2" t="str">
        <f t="shared" si="177"/>
        <v>COBI</v>
      </c>
      <c r="AR179" s="37">
        <f t="shared" si="178"/>
        <v>0</v>
      </c>
      <c r="AS179" s="37">
        <f t="shared" si="179"/>
        <v>0</v>
      </c>
    </row>
    <row r="180" spans="2:45" x14ac:dyDescent="0.25">
      <c r="B180" s="2" t="s">
        <v>9</v>
      </c>
      <c r="C180" s="2">
        <v>2021</v>
      </c>
      <c r="D180" s="1">
        <v>5671</v>
      </c>
      <c r="E180" s="11">
        <v>223827</v>
      </c>
      <c r="F180" s="1">
        <v>2956</v>
      </c>
      <c r="G180" s="11">
        <v>137865</v>
      </c>
      <c r="H180" s="1">
        <v>1177</v>
      </c>
      <c r="I180" s="11">
        <v>42897</v>
      </c>
      <c r="J180" s="1">
        <v>137582</v>
      </c>
      <c r="K180" s="11">
        <v>7187757</v>
      </c>
      <c r="L180" s="1">
        <v>8346</v>
      </c>
      <c r="M180" s="11">
        <v>451649</v>
      </c>
      <c r="N180" s="1">
        <v>5505</v>
      </c>
      <c r="O180" s="11">
        <v>330413</v>
      </c>
      <c r="P180" s="8">
        <v>0</v>
      </c>
      <c r="Q180" s="11">
        <v>0</v>
      </c>
      <c r="R180" s="8">
        <f t="shared" si="163"/>
        <v>161237</v>
      </c>
      <c r="S180" s="11">
        <f t="shared" si="163"/>
        <v>8374408</v>
      </c>
      <c r="T180" s="2" t="s">
        <v>64</v>
      </c>
      <c r="X180" s="30">
        <v>82532.45</v>
      </c>
      <c r="Y180" s="30">
        <f t="shared" si="164"/>
        <v>0.59987825442281695</v>
      </c>
      <c r="Z180" s="31">
        <v>40367.574999999997</v>
      </c>
      <c r="AA180" s="32">
        <f t="shared" si="165"/>
        <v>5.6161574466137348E-3</v>
      </c>
      <c r="AC180" s="2" t="s">
        <v>9</v>
      </c>
      <c r="AD180" s="2">
        <v>2021</v>
      </c>
      <c r="AE180" s="1">
        <f t="shared" si="166"/>
        <v>9804</v>
      </c>
      <c r="AF180" s="11">
        <f t="shared" si="167"/>
        <v>404589</v>
      </c>
      <c r="AG180" s="1">
        <f t="shared" si="168"/>
        <v>137582</v>
      </c>
      <c r="AH180" s="11">
        <f t="shared" si="169"/>
        <v>7187757</v>
      </c>
      <c r="AI180" s="8">
        <f t="shared" si="170"/>
        <v>8346</v>
      </c>
      <c r="AJ180" s="11">
        <f t="shared" si="171"/>
        <v>451649</v>
      </c>
      <c r="AK180" s="8">
        <f t="shared" si="172"/>
        <v>5505</v>
      </c>
      <c r="AL180" s="11">
        <f t="shared" si="173"/>
        <v>330413</v>
      </c>
      <c r="AM180" s="8">
        <f t="shared" si="174"/>
        <v>0</v>
      </c>
      <c r="AN180" s="11">
        <f t="shared" si="175"/>
        <v>0</v>
      </c>
      <c r="AO180" s="8">
        <f t="shared" si="180"/>
        <v>161237</v>
      </c>
      <c r="AP180" s="11">
        <f t="shared" si="176"/>
        <v>8374408</v>
      </c>
      <c r="AQ180" s="2" t="str">
        <f t="shared" si="177"/>
        <v>COBI</v>
      </c>
      <c r="AR180" s="37">
        <f t="shared" si="178"/>
        <v>0</v>
      </c>
      <c r="AS180" s="37">
        <f t="shared" si="179"/>
        <v>0</v>
      </c>
    </row>
    <row r="181" spans="2:45" x14ac:dyDescent="0.25">
      <c r="B181" s="2" t="s">
        <v>10</v>
      </c>
      <c r="C181" s="2">
        <v>2021</v>
      </c>
      <c r="D181" s="1">
        <v>6123</v>
      </c>
      <c r="E181" s="11">
        <v>244765</v>
      </c>
      <c r="F181" s="1">
        <v>3131</v>
      </c>
      <c r="G181" s="11">
        <v>142347</v>
      </c>
      <c r="H181" s="1">
        <v>1041</v>
      </c>
      <c r="I181" s="11">
        <v>37769</v>
      </c>
      <c r="J181" s="1">
        <v>142410</v>
      </c>
      <c r="K181" s="11">
        <v>8010270</v>
      </c>
      <c r="L181" s="1">
        <v>7557</v>
      </c>
      <c r="M181" s="11">
        <v>442571</v>
      </c>
      <c r="N181" s="1">
        <v>6857</v>
      </c>
      <c r="O181" s="11">
        <v>409991</v>
      </c>
      <c r="P181" s="8">
        <v>0</v>
      </c>
      <c r="Q181" s="11">
        <v>0</v>
      </c>
      <c r="R181" s="8">
        <f t="shared" si="163"/>
        <v>167119</v>
      </c>
      <c r="S181" s="11">
        <f t="shared" si="163"/>
        <v>9287713</v>
      </c>
      <c r="T181" s="2" t="s">
        <v>64</v>
      </c>
      <c r="X181" s="30">
        <v>85119.16</v>
      </c>
      <c r="Y181" s="30">
        <f t="shared" si="164"/>
        <v>0.59770493645109191</v>
      </c>
      <c r="Z181" s="31">
        <v>51806.854999999996</v>
      </c>
      <c r="AA181" s="32">
        <f t="shared" si="165"/>
        <v>6.4675541523569113E-3</v>
      </c>
      <c r="AC181" s="2" t="s">
        <v>10</v>
      </c>
      <c r="AD181" s="2">
        <v>2021</v>
      </c>
      <c r="AE181" s="1">
        <f t="shared" si="166"/>
        <v>10295</v>
      </c>
      <c r="AF181" s="11">
        <f t="shared" si="167"/>
        <v>424881</v>
      </c>
      <c r="AG181" s="1">
        <f t="shared" si="168"/>
        <v>142410</v>
      </c>
      <c r="AH181" s="11">
        <f t="shared" si="169"/>
        <v>8010270</v>
      </c>
      <c r="AI181" s="8">
        <f t="shared" si="170"/>
        <v>7557</v>
      </c>
      <c r="AJ181" s="11">
        <f t="shared" si="171"/>
        <v>442571</v>
      </c>
      <c r="AK181" s="8">
        <f t="shared" si="172"/>
        <v>6857</v>
      </c>
      <c r="AL181" s="11">
        <f t="shared" si="173"/>
        <v>409991</v>
      </c>
      <c r="AM181" s="8">
        <f t="shared" si="174"/>
        <v>0</v>
      </c>
      <c r="AN181" s="11">
        <f t="shared" si="175"/>
        <v>0</v>
      </c>
      <c r="AO181" s="8">
        <f t="shared" si="180"/>
        <v>167119</v>
      </c>
      <c r="AP181" s="11">
        <f t="shared" si="176"/>
        <v>9287713</v>
      </c>
      <c r="AQ181" s="2" t="str">
        <f t="shared" si="177"/>
        <v>COBI</v>
      </c>
      <c r="AR181" s="37">
        <f t="shared" si="178"/>
        <v>0</v>
      </c>
      <c r="AS181" s="37">
        <f t="shared" si="179"/>
        <v>0</v>
      </c>
    </row>
    <row r="182" spans="2:45" x14ac:dyDescent="0.25">
      <c r="B182" s="2" t="s">
        <v>11</v>
      </c>
      <c r="C182" s="2">
        <v>2021</v>
      </c>
      <c r="D182" s="1">
        <v>6113</v>
      </c>
      <c r="E182" s="11">
        <v>240638</v>
      </c>
      <c r="F182" s="1">
        <v>2842</v>
      </c>
      <c r="G182" s="11">
        <v>123907</v>
      </c>
      <c r="H182" s="1">
        <v>1251</v>
      </c>
      <c r="I182" s="11">
        <v>47890</v>
      </c>
      <c r="J182" s="1">
        <v>141943</v>
      </c>
      <c r="K182" s="11">
        <v>7606005</v>
      </c>
      <c r="L182" s="1">
        <v>7859</v>
      </c>
      <c r="M182" s="11">
        <v>450379</v>
      </c>
      <c r="N182" s="1">
        <v>6195</v>
      </c>
      <c r="O182" s="11">
        <v>363070</v>
      </c>
      <c r="P182" s="8">
        <v>0</v>
      </c>
      <c r="Q182" s="11">
        <v>0</v>
      </c>
      <c r="R182" s="8">
        <f t="shared" si="163"/>
        <v>166203</v>
      </c>
      <c r="S182" s="11">
        <f t="shared" si="163"/>
        <v>8831889</v>
      </c>
      <c r="T182" s="2" t="s">
        <v>64</v>
      </c>
      <c r="X182" s="30">
        <v>84897.3</v>
      </c>
      <c r="Y182" s="30">
        <f t="shared" si="164"/>
        <v>0.59810839562359541</v>
      </c>
      <c r="Z182" s="31">
        <v>45472.999999999993</v>
      </c>
      <c r="AA182" s="32">
        <f t="shared" si="165"/>
        <v>5.9785656201908873E-3</v>
      </c>
      <c r="AB182" s="49"/>
      <c r="AC182" s="2" t="s">
        <v>11</v>
      </c>
      <c r="AD182" s="2">
        <v>2021</v>
      </c>
      <c r="AE182" s="1">
        <f t="shared" si="166"/>
        <v>10206</v>
      </c>
      <c r="AF182" s="11">
        <f t="shared" si="167"/>
        <v>412435</v>
      </c>
      <c r="AG182" s="1">
        <f t="shared" si="168"/>
        <v>141943</v>
      </c>
      <c r="AH182" s="11">
        <f t="shared" si="169"/>
        <v>7606005</v>
      </c>
      <c r="AI182" s="8">
        <f t="shared" si="170"/>
        <v>7859</v>
      </c>
      <c r="AJ182" s="11">
        <f t="shared" si="171"/>
        <v>450379</v>
      </c>
      <c r="AK182" s="8">
        <f t="shared" si="172"/>
        <v>6195</v>
      </c>
      <c r="AL182" s="11">
        <f t="shared" si="173"/>
        <v>363070</v>
      </c>
      <c r="AM182" s="8">
        <f t="shared" si="174"/>
        <v>0</v>
      </c>
      <c r="AN182" s="11">
        <f t="shared" si="175"/>
        <v>0</v>
      </c>
      <c r="AO182" s="8">
        <f t="shared" si="180"/>
        <v>166203</v>
      </c>
      <c r="AP182" s="11">
        <f t="shared" si="176"/>
        <v>8831889</v>
      </c>
      <c r="AQ182" s="2" t="str">
        <f t="shared" si="177"/>
        <v>COBI</v>
      </c>
      <c r="AR182" s="37">
        <f t="shared" si="178"/>
        <v>0</v>
      </c>
      <c r="AS182" s="37">
        <f t="shared" si="179"/>
        <v>0</v>
      </c>
    </row>
    <row r="183" spans="2:45" x14ac:dyDescent="0.25">
      <c r="B183" s="2" t="s">
        <v>4</v>
      </c>
      <c r="C183" s="2">
        <v>2021</v>
      </c>
      <c r="D183" s="1">
        <v>6486</v>
      </c>
      <c r="E183" s="11">
        <v>254041</v>
      </c>
      <c r="F183" s="1">
        <v>2895</v>
      </c>
      <c r="G183" s="11">
        <v>126855</v>
      </c>
      <c r="H183" s="1">
        <v>1038</v>
      </c>
      <c r="I183" s="11">
        <v>36316</v>
      </c>
      <c r="J183" s="1">
        <v>150003</v>
      </c>
      <c r="K183" s="11">
        <v>7751596</v>
      </c>
      <c r="L183" s="1">
        <v>8424</v>
      </c>
      <c r="M183" s="11">
        <v>468120</v>
      </c>
      <c r="N183" s="1">
        <v>7279</v>
      </c>
      <c r="O183" s="11">
        <v>412375</v>
      </c>
      <c r="P183" s="8">
        <v>0</v>
      </c>
      <c r="Q183" s="11">
        <v>0</v>
      </c>
      <c r="R183" s="47">
        <v>176125</v>
      </c>
      <c r="S183" s="48">
        <v>9049303</v>
      </c>
      <c r="T183" s="2" t="s">
        <v>64</v>
      </c>
      <c r="X183" s="30">
        <v>88517</v>
      </c>
      <c r="Y183" s="30">
        <f t="shared" si="164"/>
        <v>0.59010153130270726</v>
      </c>
      <c r="Z183" s="31">
        <v>44229.682499999995</v>
      </c>
      <c r="AA183" s="32">
        <f t="shared" si="165"/>
        <v>5.7058807631357455E-3</v>
      </c>
      <c r="AC183" s="2" t="s">
        <v>4</v>
      </c>
      <c r="AD183" s="2">
        <v>2021</v>
      </c>
      <c r="AE183" s="1">
        <f t="shared" si="166"/>
        <v>10419</v>
      </c>
      <c r="AF183" s="11">
        <f t="shared" si="167"/>
        <v>417212</v>
      </c>
      <c r="AG183" s="1">
        <f t="shared" si="168"/>
        <v>150003</v>
      </c>
      <c r="AH183" s="11">
        <f t="shared" si="169"/>
        <v>7751596</v>
      </c>
      <c r="AI183" s="8">
        <f t="shared" si="170"/>
        <v>8424</v>
      </c>
      <c r="AJ183" s="11">
        <f t="shared" si="171"/>
        <v>468120</v>
      </c>
      <c r="AK183" s="8">
        <f t="shared" si="172"/>
        <v>7279</v>
      </c>
      <c r="AL183" s="11">
        <f t="shared" si="173"/>
        <v>412375</v>
      </c>
      <c r="AM183" s="8">
        <f t="shared" si="174"/>
        <v>0</v>
      </c>
      <c r="AN183" s="11">
        <f t="shared" si="175"/>
        <v>0</v>
      </c>
      <c r="AO183" s="8">
        <f t="shared" si="180"/>
        <v>176125</v>
      </c>
      <c r="AP183" s="11">
        <f t="shared" si="176"/>
        <v>9049303</v>
      </c>
      <c r="AQ183" s="2" t="str">
        <f t="shared" si="177"/>
        <v>COBI</v>
      </c>
      <c r="AR183" s="37">
        <f t="shared" si="178"/>
        <v>0</v>
      </c>
      <c r="AS183" s="37">
        <f t="shared" si="179"/>
        <v>0</v>
      </c>
    </row>
    <row r="184" spans="2:45" x14ac:dyDescent="0.25">
      <c r="B184" s="2" t="s">
        <v>28</v>
      </c>
      <c r="C184" s="2">
        <v>2021</v>
      </c>
      <c r="D184" s="1">
        <v>5989</v>
      </c>
      <c r="E184" s="11">
        <v>234665</v>
      </c>
      <c r="F184" s="1">
        <v>2879</v>
      </c>
      <c r="G184" s="11">
        <v>129395</v>
      </c>
      <c r="H184" s="1">
        <v>1056</v>
      </c>
      <c r="I184" s="11">
        <v>39790</v>
      </c>
      <c r="J184" s="1">
        <v>139107</v>
      </c>
      <c r="K184" s="11">
        <v>7026526</v>
      </c>
      <c r="L184" s="1">
        <v>7806</v>
      </c>
      <c r="M184" s="11">
        <v>419876</v>
      </c>
      <c r="N184" s="1">
        <v>6918</v>
      </c>
      <c r="O184" s="11">
        <v>382473</v>
      </c>
      <c r="P184" s="8">
        <v>0</v>
      </c>
      <c r="Q184" s="11">
        <v>0</v>
      </c>
      <c r="R184" s="47">
        <f t="shared" si="163"/>
        <v>163755</v>
      </c>
      <c r="S184" s="48">
        <f t="shared" si="163"/>
        <v>8232725</v>
      </c>
      <c r="T184" s="2" t="s">
        <v>64</v>
      </c>
      <c r="X184" s="30">
        <v>82849.210000000006</v>
      </c>
      <c r="Y184" s="30">
        <f t="shared" si="164"/>
        <v>0.59557901471529118</v>
      </c>
      <c r="Z184" s="31">
        <v>38575.597499999996</v>
      </c>
      <c r="AA184" s="32">
        <f t="shared" si="165"/>
        <v>5.4899956963085309E-3</v>
      </c>
      <c r="AC184" s="2" t="s">
        <v>28</v>
      </c>
      <c r="AD184" s="2">
        <v>2021</v>
      </c>
      <c r="AE184" s="1">
        <f t="shared" si="166"/>
        <v>9924</v>
      </c>
      <c r="AF184" s="11">
        <f t="shared" si="167"/>
        <v>403850</v>
      </c>
      <c r="AG184" s="1">
        <f t="shared" si="168"/>
        <v>139107</v>
      </c>
      <c r="AH184" s="11">
        <f t="shared" si="169"/>
        <v>7026526</v>
      </c>
      <c r="AI184" s="8">
        <f t="shared" si="170"/>
        <v>7806</v>
      </c>
      <c r="AJ184" s="11">
        <f t="shared" si="171"/>
        <v>419876</v>
      </c>
      <c r="AK184" s="8">
        <f t="shared" si="172"/>
        <v>6918</v>
      </c>
      <c r="AL184" s="11">
        <f t="shared" si="173"/>
        <v>382473</v>
      </c>
      <c r="AM184" s="8">
        <f t="shared" si="174"/>
        <v>0</v>
      </c>
      <c r="AN184" s="11">
        <f t="shared" si="175"/>
        <v>0</v>
      </c>
      <c r="AO184" s="8">
        <f t="shared" si="180"/>
        <v>163755</v>
      </c>
      <c r="AP184" s="11">
        <f t="shared" si="176"/>
        <v>8232725</v>
      </c>
      <c r="AQ184" s="2" t="str">
        <f t="shared" si="177"/>
        <v>COBI</v>
      </c>
      <c r="AR184" s="37">
        <f t="shared" si="178"/>
        <v>0</v>
      </c>
      <c r="AS184" s="37">
        <f t="shared" si="179"/>
        <v>0</v>
      </c>
    </row>
    <row r="185" spans="2:45" x14ac:dyDescent="0.25">
      <c r="B185" s="2" t="s">
        <v>29</v>
      </c>
      <c r="C185" s="2">
        <v>2021</v>
      </c>
      <c r="D185" s="1">
        <v>6432</v>
      </c>
      <c r="E185" s="11">
        <v>266971</v>
      </c>
      <c r="F185" s="1">
        <v>3220</v>
      </c>
      <c r="G185" s="11">
        <v>147396</v>
      </c>
      <c r="H185" s="1">
        <v>1094</v>
      </c>
      <c r="I185" s="11">
        <v>40252</v>
      </c>
      <c r="J185" s="1">
        <v>148823</v>
      </c>
      <c r="K185" s="11">
        <v>7526258</v>
      </c>
      <c r="L185" s="1">
        <v>7920</v>
      </c>
      <c r="M185" s="11">
        <v>432398</v>
      </c>
      <c r="N185" s="1">
        <v>5578</v>
      </c>
      <c r="O185" s="11">
        <v>303682</v>
      </c>
      <c r="P185" s="8">
        <v>0</v>
      </c>
      <c r="Q185" s="11">
        <v>0</v>
      </c>
      <c r="R185" s="47">
        <f t="shared" si="163"/>
        <v>173067</v>
      </c>
      <c r="S185" s="48">
        <f t="shared" si="163"/>
        <v>8716957</v>
      </c>
      <c r="T185" s="2" t="s">
        <v>64</v>
      </c>
      <c r="X185" s="30">
        <v>88068.890000000014</v>
      </c>
      <c r="Y185" s="30">
        <f t="shared" si="164"/>
        <v>0.59176935016764887</v>
      </c>
      <c r="Z185" s="31">
        <v>41835.945</v>
      </c>
      <c r="AA185" s="32">
        <f t="shared" si="165"/>
        <v>5.5586647441530704E-3</v>
      </c>
      <c r="AC185" s="2" t="s">
        <v>29</v>
      </c>
      <c r="AD185" s="2">
        <v>2021</v>
      </c>
      <c r="AE185" s="1">
        <f t="shared" si="166"/>
        <v>10746</v>
      </c>
      <c r="AF185" s="11">
        <f t="shared" si="167"/>
        <v>454619</v>
      </c>
      <c r="AG185" s="1">
        <f t="shared" si="168"/>
        <v>148823</v>
      </c>
      <c r="AH185" s="11">
        <f t="shared" si="169"/>
        <v>7526258</v>
      </c>
      <c r="AI185" s="8">
        <f t="shared" si="170"/>
        <v>7920</v>
      </c>
      <c r="AJ185" s="11">
        <f t="shared" si="171"/>
        <v>432398</v>
      </c>
      <c r="AK185" s="8">
        <f t="shared" si="172"/>
        <v>5578</v>
      </c>
      <c r="AL185" s="11">
        <f t="shared" si="173"/>
        <v>303682</v>
      </c>
      <c r="AM185" s="8">
        <f t="shared" si="174"/>
        <v>0</v>
      </c>
      <c r="AN185" s="11">
        <f t="shared" si="175"/>
        <v>0</v>
      </c>
      <c r="AO185" s="8">
        <f t="shared" si="180"/>
        <v>173067</v>
      </c>
      <c r="AP185" s="11">
        <f t="shared" si="176"/>
        <v>8716957</v>
      </c>
      <c r="AQ185" s="2" t="str">
        <f t="shared" si="177"/>
        <v>COBI</v>
      </c>
      <c r="AR185" s="37">
        <f t="shared" si="178"/>
        <v>0</v>
      </c>
      <c r="AS185" s="37">
        <f t="shared" si="179"/>
        <v>0</v>
      </c>
    </row>
    <row r="186" spans="2:45" x14ac:dyDescent="0.25">
      <c r="B186" s="2" t="s">
        <v>30</v>
      </c>
      <c r="C186" s="2">
        <v>2021</v>
      </c>
      <c r="D186" s="1">
        <v>6399</v>
      </c>
      <c r="E186" s="11">
        <v>258424</v>
      </c>
      <c r="F186" s="1">
        <v>3069</v>
      </c>
      <c r="G186" s="11">
        <v>140419</v>
      </c>
      <c r="H186" s="1">
        <v>1019</v>
      </c>
      <c r="I186" s="11">
        <v>37804</v>
      </c>
      <c r="J186" s="1">
        <v>143504</v>
      </c>
      <c r="K186" s="11">
        <v>7219793</v>
      </c>
      <c r="L186" s="1">
        <v>7650</v>
      </c>
      <c r="M186" s="11">
        <v>413503</v>
      </c>
      <c r="N186" s="8">
        <v>3634</v>
      </c>
      <c r="O186" s="11">
        <v>188431</v>
      </c>
      <c r="P186" s="8">
        <v>0</v>
      </c>
      <c r="Q186" s="11">
        <v>0</v>
      </c>
      <c r="R186" s="47">
        <f t="shared" si="163"/>
        <v>165275</v>
      </c>
      <c r="S186" s="48">
        <f t="shared" si="163"/>
        <v>8258374</v>
      </c>
      <c r="T186" s="2" t="s">
        <v>64</v>
      </c>
      <c r="X186" s="30">
        <v>85516.39</v>
      </c>
      <c r="Y186" s="30">
        <f t="shared" si="164"/>
        <v>0.59591642044821047</v>
      </c>
      <c r="Z186" s="31">
        <v>40143.737500000003</v>
      </c>
      <c r="AA186" s="32">
        <f t="shared" si="165"/>
        <v>5.5602338598904431E-3</v>
      </c>
      <c r="AC186" s="2" t="s">
        <v>30</v>
      </c>
      <c r="AD186" s="2">
        <v>2021</v>
      </c>
      <c r="AE186" s="1">
        <f t="shared" si="166"/>
        <v>10487</v>
      </c>
      <c r="AF186" s="11">
        <f t="shared" si="167"/>
        <v>436647</v>
      </c>
      <c r="AG186" s="1">
        <f t="shared" si="168"/>
        <v>143504</v>
      </c>
      <c r="AH186" s="11">
        <f t="shared" si="169"/>
        <v>7219793</v>
      </c>
      <c r="AI186" s="8">
        <f t="shared" si="170"/>
        <v>7650</v>
      </c>
      <c r="AJ186" s="11">
        <f t="shared" si="171"/>
        <v>413503</v>
      </c>
      <c r="AK186" s="8">
        <f t="shared" si="172"/>
        <v>3634</v>
      </c>
      <c r="AL186" s="11">
        <f t="shared" si="173"/>
        <v>188431</v>
      </c>
      <c r="AM186" s="8">
        <f t="shared" si="174"/>
        <v>0</v>
      </c>
      <c r="AN186" s="11">
        <f t="shared" si="175"/>
        <v>0</v>
      </c>
      <c r="AO186" s="8">
        <f t="shared" si="180"/>
        <v>165275</v>
      </c>
      <c r="AP186" s="11">
        <f t="shared" si="176"/>
        <v>8258374</v>
      </c>
      <c r="AQ186" s="2" t="str">
        <f t="shared" si="177"/>
        <v>COBI</v>
      </c>
      <c r="AR186" s="37">
        <f t="shared" si="178"/>
        <v>0</v>
      </c>
      <c r="AS186" s="37">
        <f t="shared" si="179"/>
        <v>0</v>
      </c>
    </row>
    <row r="187" spans="2:45" x14ac:dyDescent="0.25">
      <c r="B187" s="2" t="s">
        <v>31</v>
      </c>
      <c r="C187" s="2">
        <v>2021</v>
      </c>
      <c r="D187" s="1">
        <v>6635</v>
      </c>
      <c r="E187" s="11">
        <v>275720</v>
      </c>
      <c r="F187" s="1">
        <v>3077</v>
      </c>
      <c r="G187" s="11">
        <v>136260</v>
      </c>
      <c r="H187" s="1">
        <v>1203</v>
      </c>
      <c r="I187" s="11">
        <v>44560</v>
      </c>
      <c r="J187" s="1">
        <v>140353</v>
      </c>
      <c r="K187" s="11">
        <v>6965153</v>
      </c>
      <c r="L187" s="1">
        <v>7320</v>
      </c>
      <c r="M187" s="11">
        <v>392580</v>
      </c>
      <c r="N187" s="8">
        <v>4640</v>
      </c>
      <c r="O187" s="11">
        <v>243795</v>
      </c>
      <c r="P187" s="8">
        <v>0</v>
      </c>
      <c r="Q187" s="11">
        <v>0</v>
      </c>
      <c r="R187" s="50">
        <f t="shared" si="163"/>
        <v>163228</v>
      </c>
      <c r="S187" s="51">
        <f t="shared" si="163"/>
        <v>8058068</v>
      </c>
      <c r="T187" s="2" t="s">
        <v>64</v>
      </c>
      <c r="X187" s="30">
        <v>82992.509999999995</v>
      </c>
      <c r="Y187" s="30">
        <f t="shared" si="164"/>
        <v>0.59131269014556154</v>
      </c>
      <c r="Z187" s="31">
        <v>38365.154999999999</v>
      </c>
      <c r="AA187" s="32">
        <f t="shared" si="165"/>
        <v>5.5081568201014392E-3</v>
      </c>
      <c r="AC187" s="2" t="s">
        <v>31</v>
      </c>
      <c r="AD187" s="2">
        <v>2021</v>
      </c>
      <c r="AE187" s="1">
        <f t="shared" si="166"/>
        <v>10915</v>
      </c>
      <c r="AF187" s="11">
        <f t="shared" si="167"/>
        <v>456540</v>
      </c>
      <c r="AG187" s="1">
        <f t="shared" si="168"/>
        <v>140353</v>
      </c>
      <c r="AH187" s="11">
        <f t="shared" si="169"/>
        <v>6965153</v>
      </c>
      <c r="AI187" s="8">
        <f t="shared" si="170"/>
        <v>7320</v>
      </c>
      <c r="AJ187" s="11">
        <f t="shared" si="171"/>
        <v>392580</v>
      </c>
      <c r="AK187" s="8">
        <f t="shared" si="172"/>
        <v>4640</v>
      </c>
      <c r="AL187" s="11">
        <f t="shared" si="173"/>
        <v>243795</v>
      </c>
      <c r="AM187" s="8">
        <f t="shared" si="174"/>
        <v>0</v>
      </c>
      <c r="AN187" s="11">
        <f t="shared" si="175"/>
        <v>0</v>
      </c>
      <c r="AO187" s="8">
        <f t="shared" si="180"/>
        <v>163228</v>
      </c>
      <c r="AP187" s="11">
        <f t="shared" si="176"/>
        <v>8058068</v>
      </c>
      <c r="AQ187" s="2" t="str">
        <f t="shared" si="177"/>
        <v>COBI</v>
      </c>
      <c r="AR187" s="37">
        <f t="shared" si="178"/>
        <v>0</v>
      </c>
      <c r="AS187" s="37">
        <f t="shared" si="179"/>
        <v>0</v>
      </c>
    </row>
    <row r="188" spans="2:45" x14ac:dyDescent="0.25">
      <c r="AF188" s="9"/>
      <c r="AH188" s="9"/>
      <c r="AJ188" s="9"/>
      <c r="AL188" s="9"/>
      <c r="AM188" s="9"/>
      <c r="AN188" s="9"/>
      <c r="AP188" s="9"/>
    </row>
    <row r="189" spans="2:45" x14ac:dyDescent="0.25">
      <c r="B189" s="3" t="s">
        <v>12</v>
      </c>
      <c r="C189" s="3"/>
      <c r="D189" s="4">
        <f t="shared" ref="D189:S189" si="181">SUM(D176:D188)</f>
        <v>70905</v>
      </c>
      <c r="E189" s="12">
        <f t="shared" si="181"/>
        <v>2806619</v>
      </c>
      <c r="F189" s="4">
        <f t="shared" ref="F189:G189" si="182">SUM(F176:F188)</f>
        <v>34632</v>
      </c>
      <c r="G189" s="12">
        <f t="shared" si="182"/>
        <v>1580878</v>
      </c>
      <c r="H189" s="4">
        <f t="shared" si="181"/>
        <v>12673</v>
      </c>
      <c r="I189" s="12">
        <f t="shared" si="181"/>
        <v>475322</v>
      </c>
      <c r="J189" s="4">
        <f t="shared" si="181"/>
        <v>1674566</v>
      </c>
      <c r="K189" s="12">
        <f t="shared" si="181"/>
        <v>86953618</v>
      </c>
      <c r="L189" s="4">
        <f t="shared" si="181"/>
        <v>122776</v>
      </c>
      <c r="M189" s="12">
        <f t="shared" si="181"/>
        <v>6729062</v>
      </c>
      <c r="N189" s="4">
        <f t="shared" si="181"/>
        <v>60644</v>
      </c>
      <c r="O189" s="12">
        <f t="shared" si="181"/>
        <v>3479599</v>
      </c>
      <c r="P189" s="4">
        <f t="shared" si="181"/>
        <v>0</v>
      </c>
      <c r="Q189" s="12">
        <f t="shared" si="181"/>
        <v>0</v>
      </c>
      <c r="R189" s="4">
        <f t="shared" si="181"/>
        <v>1976196</v>
      </c>
      <c r="S189" s="12">
        <f t="shared" si="181"/>
        <v>102025098</v>
      </c>
      <c r="X189" s="12">
        <f t="shared" ref="X189:AA189" si="183">AVERAGE(X176:X188)</f>
        <v>83623.150000000009</v>
      </c>
      <c r="Y189" s="12">
        <f t="shared" si="183"/>
        <v>0.59953809803468039</v>
      </c>
      <c r="Z189" s="12">
        <f t="shared" si="183"/>
        <v>41127.683749999997</v>
      </c>
      <c r="AA189" s="16">
        <f t="shared" si="183"/>
        <v>5.6642659507742978E-3</v>
      </c>
      <c r="AC189" s="3" t="s">
        <v>12</v>
      </c>
      <c r="AD189" s="3"/>
      <c r="AE189" s="4">
        <f t="shared" ref="AE189:AP189" si="184">SUM(AE176:AE188)</f>
        <v>118210</v>
      </c>
      <c r="AF189" s="12">
        <f t="shared" si="184"/>
        <v>4862819</v>
      </c>
      <c r="AG189" s="4">
        <f t="shared" si="184"/>
        <v>1674566</v>
      </c>
      <c r="AH189" s="12">
        <f t="shared" si="184"/>
        <v>86953618</v>
      </c>
      <c r="AI189" s="4">
        <f t="shared" si="184"/>
        <v>122776</v>
      </c>
      <c r="AJ189" s="12">
        <f t="shared" si="184"/>
        <v>6729062</v>
      </c>
      <c r="AK189" s="4">
        <f t="shared" si="184"/>
        <v>60644</v>
      </c>
      <c r="AL189" s="12">
        <f t="shared" si="184"/>
        <v>3479599</v>
      </c>
      <c r="AM189" s="4">
        <f t="shared" si="184"/>
        <v>0</v>
      </c>
      <c r="AN189" s="12">
        <f t="shared" si="184"/>
        <v>0</v>
      </c>
      <c r="AO189" s="4">
        <f t="shared" si="184"/>
        <v>1976196</v>
      </c>
      <c r="AP189" s="12">
        <f t="shared" si="184"/>
        <v>102025098</v>
      </c>
    </row>
    <row r="190" spans="2:45" x14ac:dyDescent="0.25">
      <c r="J190" s="46" t="str">
        <f>+$B$171</f>
        <v>Aforo e Ingreso - COBI</v>
      </c>
      <c r="K190" s="9" t="s">
        <v>84</v>
      </c>
      <c r="L190" s="15">
        <f>AVERAGE(L176:L187)</f>
        <v>10231.333333333334</v>
      </c>
      <c r="M190" s="28">
        <f>AVERAGE(M176:M187)</f>
        <v>560755.16666666663</v>
      </c>
      <c r="R190" s="15">
        <f>AVERAGE(R176:R187)</f>
        <v>164683</v>
      </c>
      <c r="S190" s="28">
        <f>AVERAGE(S176:S187)</f>
        <v>8502091.5</v>
      </c>
    </row>
    <row r="191" spans="2:45" x14ac:dyDescent="0.25">
      <c r="B191" s="5" t="s">
        <v>14</v>
      </c>
      <c r="J191" s="46" t="str">
        <f>+$B$171</f>
        <v>Aforo e Ingreso - COBI</v>
      </c>
      <c r="K191" s="9" t="s">
        <v>85</v>
      </c>
      <c r="L191" s="44">
        <f>+L190/$L$295</f>
        <v>3.337838120723409E-2</v>
      </c>
      <c r="M191" s="44">
        <f>+M190/$M$295</f>
        <v>1.4598393737261553E-2</v>
      </c>
      <c r="R191" s="44">
        <f>+L190/R190</f>
        <v>6.2127440800406442E-2</v>
      </c>
      <c r="S191" s="44">
        <f>+M190/S190</f>
        <v>6.5954967276777327E-2</v>
      </c>
    </row>
    <row r="192" spans="2:45" x14ac:dyDescent="0.25">
      <c r="B192" s="5" t="s">
        <v>51</v>
      </c>
      <c r="L192" s="26"/>
      <c r="M192" s="26"/>
    </row>
    <row r="193" spans="1:45" x14ac:dyDescent="0.25">
      <c r="B193" s="5"/>
    </row>
    <row r="194" spans="1:45" x14ac:dyDescent="0.25">
      <c r="D194" s="89" t="s">
        <v>15</v>
      </c>
      <c r="E194" s="90"/>
      <c r="F194" s="89" t="s">
        <v>71</v>
      </c>
      <c r="G194" s="90"/>
      <c r="H194" s="89" t="s">
        <v>16</v>
      </c>
      <c r="I194" s="90"/>
      <c r="J194" s="89" t="s">
        <v>17</v>
      </c>
      <c r="K194" s="93"/>
      <c r="L194" s="89" t="s">
        <v>18</v>
      </c>
      <c r="M194" s="93"/>
      <c r="N194" s="89" t="s">
        <v>13</v>
      </c>
      <c r="O194" s="93"/>
      <c r="P194" s="89" t="s">
        <v>34</v>
      </c>
      <c r="Q194" s="93"/>
      <c r="R194" s="89" t="s">
        <v>12</v>
      </c>
      <c r="S194" s="93"/>
      <c r="AE194" s="89" t="s">
        <v>69</v>
      </c>
      <c r="AF194" s="90"/>
      <c r="AG194" s="89" t="s">
        <v>17</v>
      </c>
      <c r="AH194" s="93"/>
      <c r="AI194" s="89" t="s">
        <v>18</v>
      </c>
      <c r="AJ194" s="93"/>
      <c r="AK194" s="89" t="s">
        <v>13</v>
      </c>
      <c r="AL194" s="93"/>
      <c r="AM194" s="89" t="s">
        <v>34</v>
      </c>
      <c r="AN194" s="93"/>
      <c r="AO194" s="89" t="s">
        <v>12</v>
      </c>
      <c r="AP194" s="93"/>
    </row>
    <row r="195" spans="1:45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X195" s="33">
        <v>2020</v>
      </c>
      <c r="Y195" s="34">
        <v>0.67964054700475041</v>
      </c>
      <c r="Z195" s="33">
        <v>2020</v>
      </c>
      <c r="AA195" s="35">
        <v>6.9912509067338912E-3</v>
      </c>
      <c r="AC195" s="7" t="s">
        <v>0</v>
      </c>
      <c r="AD195" s="7" t="s">
        <v>1</v>
      </c>
      <c r="AE195" s="7" t="s">
        <v>2</v>
      </c>
      <c r="AF195" s="10" t="s">
        <v>3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</row>
    <row r="196" spans="1:45" x14ac:dyDescent="0.25">
      <c r="AF196" s="9"/>
      <c r="AH196" s="9"/>
      <c r="AJ196" s="9"/>
      <c r="AL196" s="9"/>
      <c r="AM196" s="9"/>
      <c r="AN196" s="9"/>
      <c r="AP196" s="9"/>
    </row>
    <row r="197" spans="1:45" x14ac:dyDescent="0.25">
      <c r="B197" s="2" t="s">
        <v>5</v>
      </c>
      <c r="C197" s="2">
        <v>2021</v>
      </c>
      <c r="D197" s="1">
        <v>10739</v>
      </c>
      <c r="E197" s="11">
        <v>957065</v>
      </c>
      <c r="F197" s="8">
        <v>3727</v>
      </c>
      <c r="G197" s="11">
        <v>511124</v>
      </c>
      <c r="H197" s="1">
        <v>473</v>
      </c>
      <c r="I197" s="11">
        <v>57048</v>
      </c>
      <c r="J197" s="1">
        <v>187296</v>
      </c>
      <c r="K197" s="11">
        <v>26982772</v>
      </c>
      <c r="L197" s="1">
        <v>39935</v>
      </c>
      <c r="M197" s="11">
        <v>5175686</v>
      </c>
      <c r="N197" s="1">
        <v>8786</v>
      </c>
      <c r="O197" s="11">
        <v>1640152</v>
      </c>
      <c r="P197" s="8">
        <v>0</v>
      </c>
      <c r="Q197" s="11">
        <v>0</v>
      </c>
      <c r="R197" s="8">
        <f t="shared" ref="R197:S208" si="185">N197+L197+J197+H197+D197+P197+F197</f>
        <v>250956</v>
      </c>
      <c r="S197" s="11">
        <f t="shared" si="185"/>
        <v>35323847</v>
      </c>
      <c r="T197" s="2" t="s">
        <v>65</v>
      </c>
      <c r="X197" s="30">
        <v>130096.71</v>
      </c>
      <c r="Y197" s="30">
        <f>+X197/J197</f>
        <v>0.69460485007688366</v>
      </c>
      <c r="Z197" s="31">
        <v>178413.98249999998</v>
      </c>
      <c r="AA197" s="32">
        <f>+Z197/K197</f>
        <v>6.6121443156396233E-3</v>
      </c>
      <c r="AC197" s="2" t="s">
        <v>5</v>
      </c>
      <c r="AD197" s="2">
        <v>2021</v>
      </c>
      <c r="AE197" s="1">
        <f t="shared" ref="AE197:AE208" si="186">D197+H197+F197</f>
        <v>14939</v>
      </c>
      <c r="AF197" s="11">
        <f t="shared" ref="AF197:AF208" si="187">E197+I197+G197</f>
        <v>1525237</v>
      </c>
      <c r="AG197" s="1">
        <f t="shared" ref="AG197:AG208" si="188">+J197</f>
        <v>187296</v>
      </c>
      <c r="AH197" s="11">
        <f t="shared" ref="AH197:AH208" si="189">+K197</f>
        <v>26982772</v>
      </c>
      <c r="AI197" s="8">
        <f t="shared" ref="AI197:AI208" si="190">+L197</f>
        <v>39935</v>
      </c>
      <c r="AJ197" s="11">
        <f t="shared" ref="AJ197:AJ208" si="191">+M197</f>
        <v>5175686</v>
      </c>
      <c r="AK197" s="8">
        <f t="shared" ref="AK197:AK208" si="192">+N197</f>
        <v>8786</v>
      </c>
      <c r="AL197" s="11">
        <f t="shared" ref="AL197:AL208" si="193">+O197</f>
        <v>1640152</v>
      </c>
      <c r="AM197" s="8">
        <f t="shared" ref="AM197:AM208" si="194">+P197</f>
        <v>0</v>
      </c>
      <c r="AN197" s="11">
        <f t="shared" ref="AN197:AN208" si="195">+Q197</f>
        <v>0</v>
      </c>
      <c r="AO197" s="8">
        <f>AM197+AK197+AI197+AG197+AE197</f>
        <v>250956</v>
      </c>
      <c r="AP197" s="11">
        <f t="shared" ref="AP197:AP208" si="196">AN197+AL197+AJ197+AH197+AF197</f>
        <v>35323847</v>
      </c>
      <c r="AQ197" s="2" t="str">
        <f t="shared" ref="AQ197:AQ208" si="197">+T197</f>
        <v>ACCSA</v>
      </c>
      <c r="AR197" s="37">
        <f t="shared" ref="AR197:AR208" si="198">+AO197-R197</f>
        <v>0</v>
      </c>
      <c r="AS197" s="37">
        <f t="shared" ref="AS197:AS208" si="199">+AP197-S197</f>
        <v>0</v>
      </c>
    </row>
    <row r="198" spans="1:45" x14ac:dyDescent="0.25">
      <c r="B198" s="2" t="s">
        <v>6</v>
      </c>
      <c r="C198" s="2">
        <v>2021</v>
      </c>
      <c r="D198" s="1">
        <v>9647</v>
      </c>
      <c r="E198" s="11">
        <v>858192</v>
      </c>
      <c r="F198" s="8">
        <v>3637</v>
      </c>
      <c r="G198" s="11">
        <v>524395</v>
      </c>
      <c r="H198" s="1">
        <v>432</v>
      </c>
      <c r="I198" s="11">
        <v>48333</v>
      </c>
      <c r="J198" s="1">
        <v>179422</v>
      </c>
      <c r="K198" s="11">
        <v>26855288</v>
      </c>
      <c r="L198" s="1">
        <v>33884</v>
      </c>
      <c r="M198" s="11">
        <v>4635553</v>
      </c>
      <c r="N198" s="1">
        <v>8134</v>
      </c>
      <c r="O198" s="11">
        <v>1582210</v>
      </c>
      <c r="P198" s="8">
        <v>0</v>
      </c>
      <c r="Q198" s="11">
        <v>0</v>
      </c>
      <c r="R198" s="8">
        <f t="shared" si="185"/>
        <v>235156</v>
      </c>
      <c r="S198" s="11">
        <f t="shared" si="185"/>
        <v>34503971</v>
      </c>
      <c r="T198" s="2" t="s">
        <v>65</v>
      </c>
      <c r="X198" s="30">
        <v>113950.49</v>
      </c>
      <c r="Y198" s="30">
        <f>+X198/J198</f>
        <v>0.63509764688834147</v>
      </c>
      <c r="Z198" s="31">
        <v>190873.89249999999</v>
      </c>
      <c r="AA198" s="32">
        <f>+Z198/K198</f>
        <v>7.1074975066363092E-3</v>
      </c>
      <c r="AC198" s="2" t="s">
        <v>6</v>
      </c>
      <c r="AD198" s="2">
        <v>2021</v>
      </c>
      <c r="AE198" s="1">
        <f t="shared" si="186"/>
        <v>13716</v>
      </c>
      <c r="AF198" s="11">
        <f t="shared" si="187"/>
        <v>1430920</v>
      </c>
      <c r="AG198" s="1">
        <f t="shared" si="188"/>
        <v>179422</v>
      </c>
      <c r="AH198" s="11">
        <f t="shared" si="189"/>
        <v>26855288</v>
      </c>
      <c r="AI198" s="8">
        <f t="shared" si="190"/>
        <v>33884</v>
      </c>
      <c r="AJ198" s="11">
        <f t="shared" si="191"/>
        <v>4635553</v>
      </c>
      <c r="AK198" s="8">
        <f t="shared" si="192"/>
        <v>8134</v>
      </c>
      <c r="AL198" s="11">
        <f t="shared" si="193"/>
        <v>1582210</v>
      </c>
      <c r="AM198" s="8">
        <f t="shared" si="194"/>
        <v>0</v>
      </c>
      <c r="AN198" s="11">
        <f t="shared" si="195"/>
        <v>0</v>
      </c>
      <c r="AO198" s="8">
        <f t="shared" ref="AO198:AO208" si="200">AM198+AK198+AI198+AG198+AE198</f>
        <v>235156</v>
      </c>
      <c r="AP198" s="11">
        <f t="shared" si="196"/>
        <v>34503971</v>
      </c>
      <c r="AQ198" s="2" t="str">
        <f t="shared" si="197"/>
        <v>ACCSA</v>
      </c>
      <c r="AR198" s="37">
        <f t="shared" si="198"/>
        <v>0</v>
      </c>
      <c r="AS198" s="37">
        <f t="shared" si="199"/>
        <v>0</v>
      </c>
    </row>
    <row r="199" spans="1:45" x14ac:dyDescent="0.25">
      <c r="B199" s="2" t="s">
        <v>7</v>
      </c>
      <c r="C199" s="2">
        <v>2021</v>
      </c>
      <c r="D199" s="1">
        <v>11723</v>
      </c>
      <c r="E199" s="11">
        <v>985537</v>
      </c>
      <c r="F199" s="8">
        <v>3917</v>
      </c>
      <c r="G199" s="11">
        <v>502081</v>
      </c>
      <c r="H199" s="1">
        <v>438</v>
      </c>
      <c r="I199" s="11">
        <v>40252</v>
      </c>
      <c r="J199" s="1">
        <v>218035</v>
      </c>
      <c r="K199" s="11">
        <v>32242420</v>
      </c>
      <c r="L199" s="1">
        <v>39664</v>
      </c>
      <c r="M199" s="11">
        <v>5292221</v>
      </c>
      <c r="N199" s="1">
        <v>9425</v>
      </c>
      <c r="O199" s="11">
        <v>1778042</v>
      </c>
      <c r="P199" s="8">
        <v>0</v>
      </c>
      <c r="Q199" s="11">
        <v>0</v>
      </c>
      <c r="R199" s="8">
        <f t="shared" si="185"/>
        <v>283202</v>
      </c>
      <c r="S199" s="11">
        <f t="shared" si="185"/>
        <v>40840553</v>
      </c>
      <c r="T199" s="2" t="s">
        <v>65</v>
      </c>
      <c r="X199" s="30">
        <v>138060.53</v>
      </c>
      <c r="Y199" s="30">
        <f>+X199/J199</f>
        <v>0.63320352237026167</v>
      </c>
      <c r="Z199" s="31">
        <v>228424.215</v>
      </c>
      <c r="AA199" s="32">
        <f>+Z199/K199</f>
        <v>7.0845865477839444E-3</v>
      </c>
      <c r="AC199" s="2" t="s">
        <v>7</v>
      </c>
      <c r="AD199" s="2">
        <v>2021</v>
      </c>
      <c r="AE199" s="1">
        <f t="shared" si="186"/>
        <v>16078</v>
      </c>
      <c r="AF199" s="11">
        <f t="shared" si="187"/>
        <v>1527870</v>
      </c>
      <c r="AG199" s="1">
        <f t="shared" si="188"/>
        <v>218035</v>
      </c>
      <c r="AH199" s="11">
        <f t="shared" si="189"/>
        <v>32242420</v>
      </c>
      <c r="AI199" s="8">
        <f t="shared" si="190"/>
        <v>39664</v>
      </c>
      <c r="AJ199" s="11">
        <f t="shared" si="191"/>
        <v>5292221</v>
      </c>
      <c r="AK199" s="8">
        <f t="shared" si="192"/>
        <v>9425</v>
      </c>
      <c r="AL199" s="11">
        <f t="shared" si="193"/>
        <v>1778042</v>
      </c>
      <c r="AM199" s="8">
        <f t="shared" si="194"/>
        <v>0</v>
      </c>
      <c r="AN199" s="11">
        <f t="shared" si="195"/>
        <v>0</v>
      </c>
      <c r="AO199" s="8">
        <f t="shared" si="200"/>
        <v>283202</v>
      </c>
      <c r="AP199" s="11">
        <f t="shared" si="196"/>
        <v>40840553</v>
      </c>
      <c r="AQ199" s="2" t="str">
        <f t="shared" si="197"/>
        <v>ACCSA</v>
      </c>
      <c r="AR199" s="37">
        <f t="shared" si="198"/>
        <v>0</v>
      </c>
      <c r="AS199" s="37">
        <f t="shared" si="199"/>
        <v>0</v>
      </c>
    </row>
    <row r="200" spans="1:45" x14ac:dyDescent="0.25">
      <c r="B200" s="2" t="s">
        <v>8</v>
      </c>
      <c r="C200" s="2">
        <v>2021</v>
      </c>
      <c r="D200" s="1">
        <v>11328</v>
      </c>
      <c r="E200" s="11">
        <v>1013696</v>
      </c>
      <c r="F200" s="8">
        <v>3874</v>
      </c>
      <c r="G200" s="11">
        <v>501510</v>
      </c>
      <c r="H200" s="1">
        <v>931</v>
      </c>
      <c r="I200" s="11">
        <v>100383</v>
      </c>
      <c r="J200" s="1">
        <v>207320</v>
      </c>
      <c r="K200" s="11">
        <v>30349045</v>
      </c>
      <c r="L200" s="1">
        <v>30140</v>
      </c>
      <c r="M200" s="11">
        <v>3692717</v>
      </c>
      <c r="N200" s="1">
        <v>9843</v>
      </c>
      <c r="O200" s="11">
        <v>1872559</v>
      </c>
      <c r="P200" s="8">
        <v>0</v>
      </c>
      <c r="Q200" s="11">
        <v>0</v>
      </c>
      <c r="R200" s="8">
        <f t="shared" si="185"/>
        <v>263436</v>
      </c>
      <c r="S200" s="11">
        <f t="shared" si="185"/>
        <v>37529910</v>
      </c>
      <c r="T200" s="2" t="s">
        <v>65</v>
      </c>
      <c r="X200" s="30">
        <v>130219.41</v>
      </c>
      <c r="Y200" s="30">
        <f>+X200/J200</f>
        <v>0.62810828670654062</v>
      </c>
      <c r="Z200" s="31">
        <v>219218.67750000002</v>
      </c>
      <c r="AA200" s="32">
        <f>+Z200/K200</f>
        <v>7.2232479638156656E-3</v>
      </c>
      <c r="AC200" s="2" t="s">
        <v>8</v>
      </c>
      <c r="AD200" s="2">
        <v>2021</v>
      </c>
      <c r="AE200" s="1">
        <f t="shared" si="186"/>
        <v>16133</v>
      </c>
      <c r="AF200" s="11">
        <f t="shared" si="187"/>
        <v>1615589</v>
      </c>
      <c r="AG200" s="1">
        <f t="shared" si="188"/>
        <v>207320</v>
      </c>
      <c r="AH200" s="11">
        <f t="shared" si="189"/>
        <v>30349045</v>
      </c>
      <c r="AI200" s="8">
        <f t="shared" si="190"/>
        <v>30140</v>
      </c>
      <c r="AJ200" s="11">
        <f t="shared" si="191"/>
        <v>3692717</v>
      </c>
      <c r="AK200" s="8">
        <f t="shared" si="192"/>
        <v>9843</v>
      </c>
      <c r="AL200" s="11">
        <f t="shared" si="193"/>
        <v>1872559</v>
      </c>
      <c r="AM200" s="8">
        <f t="shared" si="194"/>
        <v>0</v>
      </c>
      <c r="AN200" s="11">
        <f t="shared" si="195"/>
        <v>0</v>
      </c>
      <c r="AO200" s="8">
        <f t="shared" si="200"/>
        <v>263436</v>
      </c>
      <c r="AP200" s="11">
        <f t="shared" si="196"/>
        <v>37529910</v>
      </c>
      <c r="AQ200" s="2" t="str">
        <f t="shared" si="197"/>
        <v>ACCSA</v>
      </c>
      <c r="AR200" s="37">
        <f t="shared" si="198"/>
        <v>0</v>
      </c>
      <c r="AS200" s="37">
        <f t="shared" si="199"/>
        <v>0</v>
      </c>
    </row>
    <row r="201" spans="1:45" x14ac:dyDescent="0.25">
      <c r="B201" s="2" t="s">
        <v>9</v>
      </c>
      <c r="C201" s="2">
        <v>2021</v>
      </c>
      <c r="D201" s="1">
        <v>12260</v>
      </c>
      <c r="E201" s="11">
        <v>1099460</v>
      </c>
      <c r="F201" s="8">
        <v>4209</v>
      </c>
      <c r="G201" s="11">
        <v>576251</v>
      </c>
      <c r="H201" s="1">
        <v>1471</v>
      </c>
      <c r="I201" s="11">
        <v>153983</v>
      </c>
      <c r="J201" s="1">
        <v>218483</v>
      </c>
      <c r="K201" s="11">
        <v>32147699</v>
      </c>
      <c r="L201" s="1">
        <v>33610</v>
      </c>
      <c r="M201" s="11">
        <v>4252298</v>
      </c>
      <c r="N201" s="1">
        <v>10725</v>
      </c>
      <c r="O201" s="11">
        <v>2062745</v>
      </c>
      <c r="P201" s="8">
        <v>0</v>
      </c>
      <c r="Q201" s="11">
        <v>0</v>
      </c>
      <c r="R201" s="8">
        <f t="shared" si="185"/>
        <v>280758</v>
      </c>
      <c r="S201" s="11">
        <f t="shared" si="185"/>
        <v>40292436</v>
      </c>
      <c r="T201" s="2" t="s">
        <v>65</v>
      </c>
      <c r="X201" s="30">
        <v>136971.76999999999</v>
      </c>
      <c r="Y201" s="30">
        <f t="shared" ref="Y201:Y208" si="201">+X201/J201</f>
        <v>0.62692186577445375</v>
      </c>
      <c r="Z201" s="31">
        <v>237396.14749999999</v>
      </c>
      <c r="AA201" s="32">
        <f t="shared" ref="AA201:AA208" si="202">+Z201/K201</f>
        <v>7.3845455471012091E-3</v>
      </c>
      <c r="AC201" s="2" t="s">
        <v>9</v>
      </c>
      <c r="AD201" s="2">
        <v>2021</v>
      </c>
      <c r="AE201" s="1">
        <f t="shared" si="186"/>
        <v>17940</v>
      </c>
      <c r="AF201" s="11">
        <f t="shared" si="187"/>
        <v>1829694</v>
      </c>
      <c r="AG201" s="1">
        <f t="shared" si="188"/>
        <v>218483</v>
      </c>
      <c r="AH201" s="11">
        <f t="shared" si="189"/>
        <v>32147699</v>
      </c>
      <c r="AI201" s="8">
        <f t="shared" si="190"/>
        <v>33610</v>
      </c>
      <c r="AJ201" s="11">
        <f t="shared" si="191"/>
        <v>4252298</v>
      </c>
      <c r="AK201" s="8">
        <f t="shared" si="192"/>
        <v>10725</v>
      </c>
      <c r="AL201" s="11">
        <f t="shared" si="193"/>
        <v>2062745</v>
      </c>
      <c r="AM201" s="8">
        <f t="shared" si="194"/>
        <v>0</v>
      </c>
      <c r="AN201" s="11">
        <f t="shared" si="195"/>
        <v>0</v>
      </c>
      <c r="AO201" s="8">
        <f t="shared" si="200"/>
        <v>280758</v>
      </c>
      <c r="AP201" s="11">
        <f t="shared" si="196"/>
        <v>40292436</v>
      </c>
      <c r="AQ201" s="2" t="str">
        <f t="shared" si="197"/>
        <v>ACCSA</v>
      </c>
      <c r="AR201" s="37">
        <f t="shared" si="198"/>
        <v>0</v>
      </c>
      <c r="AS201" s="37">
        <f t="shared" si="199"/>
        <v>0</v>
      </c>
    </row>
    <row r="202" spans="1:45" x14ac:dyDescent="0.25">
      <c r="B202" s="2" t="s">
        <v>10</v>
      </c>
      <c r="C202" s="2">
        <v>2021</v>
      </c>
      <c r="D202" s="1">
        <v>12022</v>
      </c>
      <c r="E202" s="11">
        <v>1114091</v>
      </c>
      <c r="F202" s="8">
        <v>4425</v>
      </c>
      <c r="G202" s="11">
        <v>598691</v>
      </c>
      <c r="H202" s="1">
        <v>1726</v>
      </c>
      <c r="I202" s="11">
        <v>168422</v>
      </c>
      <c r="J202" s="1">
        <v>216241</v>
      </c>
      <c r="K202" s="11">
        <v>31553885</v>
      </c>
      <c r="L202" s="1">
        <v>34467</v>
      </c>
      <c r="M202" s="11">
        <v>4425298</v>
      </c>
      <c r="N202" s="1">
        <v>11866</v>
      </c>
      <c r="O202" s="11">
        <v>2254893</v>
      </c>
      <c r="P202" s="8">
        <v>0</v>
      </c>
      <c r="Q202" s="11">
        <v>0</v>
      </c>
      <c r="R202" s="8">
        <f t="shared" si="185"/>
        <v>280747</v>
      </c>
      <c r="S202" s="11">
        <f t="shared" si="185"/>
        <v>40115280</v>
      </c>
      <c r="T202" s="2" t="s">
        <v>65</v>
      </c>
      <c r="X202" s="30">
        <v>135581.01999999999</v>
      </c>
      <c r="Y202" s="30">
        <f t="shared" si="201"/>
        <v>0.62699034873127668</v>
      </c>
      <c r="Z202" s="31">
        <v>234138.01749999999</v>
      </c>
      <c r="AA202" s="32">
        <f t="shared" si="202"/>
        <v>7.4202595813479067E-3</v>
      </c>
      <c r="AC202" s="2" t="s">
        <v>10</v>
      </c>
      <c r="AD202" s="2">
        <v>2021</v>
      </c>
      <c r="AE202" s="1">
        <f t="shared" si="186"/>
        <v>18173</v>
      </c>
      <c r="AF202" s="11">
        <f t="shared" si="187"/>
        <v>1881204</v>
      </c>
      <c r="AG202" s="1">
        <f t="shared" si="188"/>
        <v>216241</v>
      </c>
      <c r="AH202" s="11">
        <f t="shared" si="189"/>
        <v>31553885</v>
      </c>
      <c r="AI202" s="8">
        <f t="shared" si="190"/>
        <v>34467</v>
      </c>
      <c r="AJ202" s="11">
        <f t="shared" si="191"/>
        <v>4425298</v>
      </c>
      <c r="AK202" s="8">
        <f t="shared" si="192"/>
        <v>11866</v>
      </c>
      <c r="AL202" s="11">
        <f t="shared" si="193"/>
        <v>2254893</v>
      </c>
      <c r="AM202" s="8">
        <f t="shared" si="194"/>
        <v>0</v>
      </c>
      <c r="AN202" s="11">
        <f t="shared" si="195"/>
        <v>0</v>
      </c>
      <c r="AO202" s="8">
        <f t="shared" si="200"/>
        <v>280747</v>
      </c>
      <c r="AP202" s="11">
        <f t="shared" si="196"/>
        <v>40115280</v>
      </c>
      <c r="AQ202" s="2" t="str">
        <f t="shared" si="197"/>
        <v>ACCSA</v>
      </c>
      <c r="AR202" s="37">
        <f t="shared" si="198"/>
        <v>0</v>
      </c>
      <c r="AS202" s="37">
        <f t="shared" si="199"/>
        <v>0</v>
      </c>
    </row>
    <row r="203" spans="1:45" x14ac:dyDescent="0.25">
      <c r="B203" s="2" t="s">
        <v>11</v>
      </c>
      <c r="C203" s="2">
        <v>2021</v>
      </c>
      <c r="D203" s="1">
        <v>13423</v>
      </c>
      <c r="E203" s="11">
        <v>1255469</v>
      </c>
      <c r="F203" s="8">
        <v>4774</v>
      </c>
      <c r="G203" s="11">
        <v>661928</v>
      </c>
      <c r="H203" s="1">
        <v>1682</v>
      </c>
      <c r="I203" s="11">
        <v>165081</v>
      </c>
      <c r="J203" s="1">
        <v>229021</v>
      </c>
      <c r="K203" s="11">
        <v>32645117</v>
      </c>
      <c r="L203" s="1">
        <v>35121</v>
      </c>
      <c r="M203" s="11">
        <v>4454117</v>
      </c>
      <c r="N203" s="1">
        <v>12000</v>
      </c>
      <c r="O203" s="11">
        <v>2190331</v>
      </c>
      <c r="P203" s="8">
        <v>0</v>
      </c>
      <c r="Q203" s="11">
        <v>0</v>
      </c>
      <c r="R203" s="8">
        <f t="shared" si="185"/>
        <v>296021</v>
      </c>
      <c r="S203" s="11">
        <f t="shared" si="185"/>
        <v>41372043</v>
      </c>
      <c r="T203" s="2" t="s">
        <v>65</v>
      </c>
      <c r="X203" s="30">
        <v>143175.66</v>
      </c>
      <c r="Y203" s="30">
        <f t="shared" si="201"/>
        <v>0.6251638932674296</v>
      </c>
      <c r="Z203" s="31">
        <v>243812.22249999997</v>
      </c>
      <c r="AA203" s="32">
        <f t="shared" si="202"/>
        <v>7.4685663555747088E-3</v>
      </c>
      <c r="AC203" s="2" t="s">
        <v>11</v>
      </c>
      <c r="AD203" s="2">
        <v>2021</v>
      </c>
      <c r="AE203" s="1">
        <f t="shared" si="186"/>
        <v>19879</v>
      </c>
      <c r="AF203" s="11">
        <f t="shared" si="187"/>
        <v>2082478</v>
      </c>
      <c r="AG203" s="1">
        <f t="shared" si="188"/>
        <v>229021</v>
      </c>
      <c r="AH203" s="11">
        <f t="shared" si="189"/>
        <v>32645117</v>
      </c>
      <c r="AI203" s="8">
        <f t="shared" si="190"/>
        <v>35121</v>
      </c>
      <c r="AJ203" s="11">
        <f t="shared" si="191"/>
        <v>4454117</v>
      </c>
      <c r="AK203" s="8">
        <f t="shared" si="192"/>
        <v>12000</v>
      </c>
      <c r="AL203" s="11">
        <f t="shared" si="193"/>
        <v>2190331</v>
      </c>
      <c r="AM203" s="8">
        <f t="shared" si="194"/>
        <v>0</v>
      </c>
      <c r="AN203" s="11">
        <f t="shared" si="195"/>
        <v>0</v>
      </c>
      <c r="AO203" s="8">
        <f t="shared" si="200"/>
        <v>296021</v>
      </c>
      <c r="AP203" s="11">
        <f t="shared" si="196"/>
        <v>41372043</v>
      </c>
      <c r="AQ203" s="2" t="str">
        <f t="shared" si="197"/>
        <v>ACCSA</v>
      </c>
      <c r="AR203" s="37">
        <f t="shared" si="198"/>
        <v>0</v>
      </c>
      <c r="AS203" s="37">
        <f t="shared" si="199"/>
        <v>0</v>
      </c>
    </row>
    <row r="204" spans="1:45" x14ac:dyDescent="0.25">
      <c r="B204" s="2" t="s">
        <v>4</v>
      </c>
      <c r="C204" s="2">
        <v>2021</v>
      </c>
      <c r="D204" s="1">
        <v>12318</v>
      </c>
      <c r="E204" s="11">
        <v>1171999</v>
      </c>
      <c r="F204" s="8">
        <v>3642</v>
      </c>
      <c r="G204" s="11">
        <v>430201</v>
      </c>
      <c r="H204" s="1">
        <v>1530</v>
      </c>
      <c r="I204" s="11">
        <v>145997</v>
      </c>
      <c r="J204" s="1">
        <v>220252</v>
      </c>
      <c r="K204" s="11">
        <v>31844780</v>
      </c>
      <c r="L204" s="1">
        <v>34991</v>
      </c>
      <c r="M204" s="11">
        <v>4356271</v>
      </c>
      <c r="N204" s="1">
        <v>11571</v>
      </c>
      <c r="O204" s="11">
        <v>2120089</v>
      </c>
      <c r="P204" s="8">
        <v>0</v>
      </c>
      <c r="Q204" s="11">
        <v>0</v>
      </c>
      <c r="R204" s="47">
        <f t="shared" si="185"/>
        <v>284304</v>
      </c>
      <c r="S204" s="48">
        <f t="shared" si="185"/>
        <v>40069337</v>
      </c>
      <c r="T204" s="2" t="s">
        <v>65</v>
      </c>
      <c r="X204" s="30">
        <v>138359.29999999999</v>
      </c>
      <c r="Y204" s="30">
        <f t="shared" si="201"/>
        <v>0.62818635018070201</v>
      </c>
      <c r="Z204" s="31">
        <v>237444.3775</v>
      </c>
      <c r="AA204" s="32">
        <f t="shared" si="202"/>
        <v>7.4563045340555033E-3</v>
      </c>
      <c r="AC204" s="2" t="s">
        <v>4</v>
      </c>
      <c r="AD204" s="2">
        <v>2021</v>
      </c>
      <c r="AE204" s="1">
        <f t="shared" si="186"/>
        <v>17490</v>
      </c>
      <c r="AF204" s="11">
        <f t="shared" si="187"/>
        <v>1748197</v>
      </c>
      <c r="AG204" s="1">
        <f t="shared" si="188"/>
        <v>220252</v>
      </c>
      <c r="AH204" s="11">
        <f t="shared" si="189"/>
        <v>31844780</v>
      </c>
      <c r="AI204" s="8">
        <f t="shared" si="190"/>
        <v>34991</v>
      </c>
      <c r="AJ204" s="11">
        <f t="shared" si="191"/>
        <v>4356271</v>
      </c>
      <c r="AK204" s="8">
        <f t="shared" si="192"/>
        <v>11571</v>
      </c>
      <c r="AL204" s="11">
        <f t="shared" si="193"/>
        <v>2120089</v>
      </c>
      <c r="AM204" s="8">
        <f t="shared" si="194"/>
        <v>0</v>
      </c>
      <c r="AN204" s="11">
        <f t="shared" si="195"/>
        <v>0</v>
      </c>
      <c r="AO204" s="8">
        <f t="shared" si="200"/>
        <v>284304</v>
      </c>
      <c r="AP204" s="11">
        <f t="shared" si="196"/>
        <v>40069337</v>
      </c>
      <c r="AQ204" s="2" t="str">
        <f t="shared" si="197"/>
        <v>ACCSA</v>
      </c>
      <c r="AR204" s="37">
        <f t="shared" si="198"/>
        <v>0</v>
      </c>
      <c r="AS204" s="37">
        <f t="shared" si="199"/>
        <v>0</v>
      </c>
    </row>
    <row r="205" spans="1:45" x14ac:dyDescent="0.25">
      <c r="B205" s="2" t="s">
        <v>28</v>
      </c>
      <c r="C205" s="2">
        <v>2021</v>
      </c>
      <c r="D205" s="1">
        <v>11461</v>
      </c>
      <c r="E205" s="11">
        <v>1136679</v>
      </c>
      <c r="F205" s="8">
        <v>3248</v>
      </c>
      <c r="G205" s="11">
        <v>337498</v>
      </c>
      <c r="H205" s="1">
        <v>2149</v>
      </c>
      <c r="I205" s="11">
        <v>216575</v>
      </c>
      <c r="J205" s="1">
        <v>221050</v>
      </c>
      <c r="K205" s="11">
        <v>32267069</v>
      </c>
      <c r="L205" s="1">
        <v>32424</v>
      </c>
      <c r="M205" s="11">
        <v>4090734</v>
      </c>
      <c r="N205" s="1">
        <v>11337</v>
      </c>
      <c r="O205" s="11">
        <v>2088423</v>
      </c>
      <c r="P205" s="8">
        <v>0</v>
      </c>
      <c r="Q205" s="11">
        <v>0</v>
      </c>
      <c r="R205" s="47">
        <f t="shared" si="185"/>
        <v>281669</v>
      </c>
      <c r="S205" s="48">
        <f t="shared" si="185"/>
        <v>40136978</v>
      </c>
      <c r="T205" s="2" t="s">
        <v>65</v>
      </c>
      <c r="X205" s="30">
        <v>140568.48000000001</v>
      </c>
      <c r="Y205" s="30">
        <f t="shared" si="201"/>
        <v>0.63591259895951147</v>
      </c>
      <c r="Z205" s="31">
        <v>242754.72249999997</v>
      </c>
      <c r="AA205" s="32">
        <f t="shared" si="202"/>
        <v>7.5232963520795761E-3</v>
      </c>
      <c r="AC205" s="2" t="s">
        <v>28</v>
      </c>
      <c r="AD205" s="2">
        <v>2021</v>
      </c>
      <c r="AE205" s="1">
        <f t="shared" si="186"/>
        <v>16858</v>
      </c>
      <c r="AF205" s="11">
        <f t="shared" si="187"/>
        <v>1690752</v>
      </c>
      <c r="AG205" s="1">
        <f t="shared" si="188"/>
        <v>221050</v>
      </c>
      <c r="AH205" s="11">
        <f t="shared" si="189"/>
        <v>32267069</v>
      </c>
      <c r="AI205" s="8">
        <f t="shared" si="190"/>
        <v>32424</v>
      </c>
      <c r="AJ205" s="11">
        <f t="shared" si="191"/>
        <v>4090734</v>
      </c>
      <c r="AK205" s="8">
        <f t="shared" si="192"/>
        <v>11337</v>
      </c>
      <c r="AL205" s="11">
        <f t="shared" si="193"/>
        <v>2088423</v>
      </c>
      <c r="AM205" s="8">
        <f t="shared" si="194"/>
        <v>0</v>
      </c>
      <c r="AN205" s="11">
        <f t="shared" si="195"/>
        <v>0</v>
      </c>
      <c r="AO205" s="8">
        <f t="shared" si="200"/>
        <v>281669</v>
      </c>
      <c r="AP205" s="11">
        <f t="shared" si="196"/>
        <v>40136978</v>
      </c>
      <c r="AQ205" s="2" t="str">
        <f t="shared" si="197"/>
        <v>ACCSA</v>
      </c>
      <c r="AR205" s="37">
        <f t="shared" si="198"/>
        <v>0</v>
      </c>
      <c r="AS205" s="37">
        <f t="shared" si="199"/>
        <v>0</v>
      </c>
    </row>
    <row r="206" spans="1:45" x14ac:dyDescent="0.25">
      <c r="B206" s="2" t="s">
        <v>29</v>
      </c>
      <c r="C206" s="2">
        <v>2021</v>
      </c>
      <c r="D206" s="1">
        <v>12966</v>
      </c>
      <c r="E206" s="11">
        <v>1234090</v>
      </c>
      <c r="F206" s="8">
        <v>3902</v>
      </c>
      <c r="G206" s="11">
        <v>408151</v>
      </c>
      <c r="H206" s="1">
        <v>3369</v>
      </c>
      <c r="I206" s="11">
        <v>331917</v>
      </c>
      <c r="J206" s="1">
        <v>241278</v>
      </c>
      <c r="K206" s="11">
        <v>34597844</v>
      </c>
      <c r="L206" s="1">
        <v>34705</v>
      </c>
      <c r="M206" s="11">
        <v>4343593</v>
      </c>
      <c r="N206" s="1">
        <v>11863</v>
      </c>
      <c r="O206" s="11">
        <v>2159496</v>
      </c>
      <c r="P206" s="8">
        <v>0</v>
      </c>
      <c r="Q206" s="11">
        <v>0</v>
      </c>
      <c r="R206" s="47">
        <f t="shared" si="185"/>
        <v>308083</v>
      </c>
      <c r="S206" s="48">
        <f t="shared" si="185"/>
        <v>43075091</v>
      </c>
      <c r="T206" s="2" t="s">
        <v>65</v>
      </c>
      <c r="X206" s="30">
        <v>150321.71000000002</v>
      </c>
      <c r="Y206" s="30">
        <f t="shared" si="201"/>
        <v>0.62302286159533826</v>
      </c>
      <c r="Z206" s="31">
        <v>263647.13250000001</v>
      </c>
      <c r="AA206" s="32">
        <f t="shared" si="202"/>
        <v>7.6203341601285913E-3</v>
      </c>
      <c r="AC206" s="2" t="s">
        <v>29</v>
      </c>
      <c r="AD206" s="2">
        <v>2021</v>
      </c>
      <c r="AE206" s="1">
        <f t="shared" si="186"/>
        <v>20237</v>
      </c>
      <c r="AF206" s="11">
        <f t="shared" si="187"/>
        <v>1974158</v>
      </c>
      <c r="AG206" s="1">
        <f t="shared" si="188"/>
        <v>241278</v>
      </c>
      <c r="AH206" s="11">
        <f t="shared" si="189"/>
        <v>34597844</v>
      </c>
      <c r="AI206" s="8">
        <f t="shared" si="190"/>
        <v>34705</v>
      </c>
      <c r="AJ206" s="11">
        <f t="shared" si="191"/>
        <v>4343593</v>
      </c>
      <c r="AK206" s="8">
        <f t="shared" si="192"/>
        <v>11863</v>
      </c>
      <c r="AL206" s="11">
        <f t="shared" si="193"/>
        <v>2159496</v>
      </c>
      <c r="AM206" s="8">
        <f t="shared" si="194"/>
        <v>0</v>
      </c>
      <c r="AN206" s="11">
        <f t="shared" si="195"/>
        <v>0</v>
      </c>
      <c r="AO206" s="8">
        <f t="shared" si="200"/>
        <v>308083</v>
      </c>
      <c r="AP206" s="11">
        <f t="shared" si="196"/>
        <v>43075091</v>
      </c>
      <c r="AQ206" s="2" t="str">
        <f t="shared" si="197"/>
        <v>ACCSA</v>
      </c>
      <c r="AR206" s="37">
        <f t="shared" si="198"/>
        <v>0</v>
      </c>
      <c r="AS206" s="37">
        <f t="shared" si="199"/>
        <v>0</v>
      </c>
    </row>
    <row r="207" spans="1:45" x14ac:dyDescent="0.25">
      <c r="B207" s="2" t="s">
        <v>30</v>
      </c>
      <c r="C207" s="2">
        <v>2021</v>
      </c>
      <c r="D207" s="1">
        <v>12995</v>
      </c>
      <c r="E207" s="11">
        <v>1204470</v>
      </c>
      <c r="F207" s="8">
        <v>3555</v>
      </c>
      <c r="G207" s="11">
        <v>347651</v>
      </c>
      <c r="H207" s="1">
        <v>4096</v>
      </c>
      <c r="I207" s="11">
        <v>407967</v>
      </c>
      <c r="J207" s="1">
        <v>232600</v>
      </c>
      <c r="K207" s="11">
        <v>32902561</v>
      </c>
      <c r="L207" s="1">
        <v>33321</v>
      </c>
      <c r="M207" s="11">
        <v>4066891</v>
      </c>
      <c r="N207" s="8">
        <v>11458</v>
      </c>
      <c r="O207" s="11">
        <v>2089426</v>
      </c>
      <c r="P207" s="8">
        <v>0</v>
      </c>
      <c r="Q207" s="11">
        <v>0</v>
      </c>
      <c r="R207" s="47">
        <f t="shared" si="185"/>
        <v>298025</v>
      </c>
      <c r="S207" s="48">
        <f t="shared" si="185"/>
        <v>41018966</v>
      </c>
      <c r="T207" s="2" t="s">
        <v>65</v>
      </c>
      <c r="X207" s="30">
        <v>144293.23000000001</v>
      </c>
      <c r="Y207" s="30">
        <f t="shared" si="201"/>
        <v>0.620349226139295</v>
      </c>
      <c r="Z207" s="31">
        <v>252806.57499999998</v>
      </c>
      <c r="AA207" s="32">
        <f t="shared" si="202"/>
        <v>7.6834923275425271E-3</v>
      </c>
      <c r="AC207" s="2" t="s">
        <v>30</v>
      </c>
      <c r="AD207" s="2">
        <v>2021</v>
      </c>
      <c r="AE207" s="1">
        <f t="shared" si="186"/>
        <v>20646</v>
      </c>
      <c r="AF207" s="11">
        <f t="shared" si="187"/>
        <v>1960088</v>
      </c>
      <c r="AG207" s="1">
        <f t="shared" si="188"/>
        <v>232600</v>
      </c>
      <c r="AH207" s="11">
        <f t="shared" si="189"/>
        <v>32902561</v>
      </c>
      <c r="AI207" s="8">
        <f t="shared" si="190"/>
        <v>33321</v>
      </c>
      <c r="AJ207" s="11">
        <f t="shared" si="191"/>
        <v>4066891</v>
      </c>
      <c r="AK207" s="8">
        <f t="shared" si="192"/>
        <v>11458</v>
      </c>
      <c r="AL207" s="11">
        <f t="shared" si="193"/>
        <v>2089426</v>
      </c>
      <c r="AM207" s="8">
        <f t="shared" si="194"/>
        <v>0</v>
      </c>
      <c r="AN207" s="11">
        <f t="shared" si="195"/>
        <v>0</v>
      </c>
      <c r="AO207" s="8">
        <f t="shared" si="200"/>
        <v>298025</v>
      </c>
      <c r="AP207" s="11">
        <f t="shared" si="196"/>
        <v>41018966</v>
      </c>
      <c r="AQ207" s="2" t="str">
        <f t="shared" si="197"/>
        <v>ACCSA</v>
      </c>
      <c r="AR207" s="37">
        <f t="shared" si="198"/>
        <v>0</v>
      </c>
      <c r="AS207" s="37">
        <f t="shared" si="199"/>
        <v>0</v>
      </c>
    </row>
    <row r="208" spans="1:45" x14ac:dyDescent="0.25">
      <c r="B208" s="2" t="s">
        <v>31</v>
      </c>
      <c r="C208" s="2">
        <v>2021</v>
      </c>
      <c r="D208" s="1">
        <v>16608</v>
      </c>
      <c r="E208" s="11">
        <v>1484916</v>
      </c>
      <c r="F208" s="8">
        <v>4177</v>
      </c>
      <c r="G208" s="11">
        <v>391507</v>
      </c>
      <c r="H208" s="1">
        <v>4864</v>
      </c>
      <c r="I208" s="11">
        <v>476595</v>
      </c>
      <c r="J208" s="1">
        <v>249819</v>
      </c>
      <c r="K208" s="11">
        <v>33976393</v>
      </c>
      <c r="L208" s="1">
        <v>36136</v>
      </c>
      <c r="M208" s="11">
        <v>4353884</v>
      </c>
      <c r="N208" s="8">
        <v>12495</v>
      </c>
      <c r="O208" s="11">
        <v>2297750</v>
      </c>
      <c r="P208" s="8">
        <v>0</v>
      </c>
      <c r="Q208" s="11">
        <v>0</v>
      </c>
      <c r="R208" s="50">
        <f t="shared" si="185"/>
        <v>324099</v>
      </c>
      <c r="S208" s="51">
        <f t="shared" si="185"/>
        <v>42981045</v>
      </c>
      <c r="T208" s="2" t="s">
        <v>65</v>
      </c>
      <c r="X208" s="30">
        <v>156757.44</v>
      </c>
      <c r="Y208" s="30">
        <f t="shared" si="201"/>
        <v>0.62748405845832389</v>
      </c>
      <c r="Z208" s="31">
        <v>255638.14749999999</v>
      </c>
      <c r="AA208" s="32">
        <f t="shared" si="202"/>
        <v>7.5239931295826481E-3</v>
      </c>
      <c r="AC208" s="2" t="s">
        <v>31</v>
      </c>
      <c r="AD208" s="2">
        <v>2021</v>
      </c>
      <c r="AE208" s="1">
        <f t="shared" si="186"/>
        <v>25649</v>
      </c>
      <c r="AF208" s="11">
        <f t="shared" si="187"/>
        <v>2353018</v>
      </c>
      <c r="AG208" s="1">
        <f t="shared" si="188"/>
        <v>249819</v>
      </c>
      <c r="AH208" s="11">
        <f t="shared" si="189"/>
        <v>33976393</v>
      </c>
      <c r="AI208" s="8">
        <f t="shared" si="190"/>
        <v>36136</v>
      </c>
      <c r="AJ208" s="11">
        <f t="shared" si="191"/>
        <v>4353884</v>
      </c>
      <c r="AK208" s="8">
        <f t="shared" si="192"/>
        <v>12495</v>
      </c>
      <c r="AL208" s="11">
        <f t="shared" si="193"/>
        <v>2297750</v>
      </c>
      <c r="AM208" s="8">
        <f t="shared" si="194"/>
        <v>0</v>
      </c>
      <c r="AN208" s="11">
        <f t="shared" si="195"/>
        <v>0</v>
      </c>
      <c r="AO208" s="8">
        <f t="shared" si="200"/>
        <v>324099</v>
      </c>
      <c r="AP208" s="11">
        <f t="shared" si="196"/>
        <v>42981045</v>
      </c>
      <c r="AQ208" s="2" t="str">
        <f t="shared" si="197"/>
        <v>ACCSA</v>
      </c>
      <c r="AR208" s="37">
        <f t="shared" si="198"/>
        <v>0</v>
      </c>
      <c r="AS208" s="37">
        <f t="shared" si="199"/>
        <v>0</v>
      </c>
    </row>
    <row r="209" spans="1:45" x14ac:dyDescent="0.25">
      <c r="AF209" s="9"/>
      <c r="AH209" s="9"/>
      <c r="AJ209" s="9"/>
      <c r="AL209" s="9"/>
      <c r="AM209" s="9"/>
      <c r="AN209" s="9"/>
      <c r="AP209" s="9"/>
    </row>
    <row r="210" spans="1:45" x14ac:dyDescent="0.25">
      <c r="B210" s="3" t="s">
        <v>12</v>
      </c>
      <c r="C210" s="3"/>
      <c r="D210" s="4">
        <f t="shared" ref="D210:S210" si="203">SUM(D197:D209)</f>
        <v>147490</v>
      </c>
      <c r="E210" s="12">
        <f t="shared" si="203"/>
        <v>13515664</v>
      </c>
      <c r="F210" s="4">
        <f t="shared" si="203"/>
        <v>47087</v>
      </c>
      <c r="G210" s="12">
        <f t="shared" si="203"/>
        <v>5790988</v>
      </c>
      <c r="H210" s="4">
        <f t="shared" si="203"/>
        <v>23161</v>
      </c>
      <c r="I210" s="12">
        <f t="shared" si="203"/>
        <v>2312553</v>
      </c>
      <c r="J210" s="4">
        <f t="shared" si="203"/>
        <v>2620817</v>
      </c>
      <c r="K210" s="12">
        <f t="shared" si="203"/>
        <v>378364873</v>
      </c>
      <c r="L210" s="4">
        <f t="shared" si="203"/>
        <v>418398</v>
      </c>
      <c r="M210" s="12">
        <f t="shared" si="203"/>
        <v>53139263</v>
      </c>
      <c r="N210" s="4">
        <f t="shared" si="203"/>
        <v>129503</v>
      </c>
      <c r="O210" s="12">
        <f t="shared" si="203"/>
        <v>24136116</v>
      </c>
      <c r="P210" s="4">
        <f t="shared" si="203"/>
        <v>0</v>
      </c>
      <c r="Q210" s="12">
        <f t="shared" si="203"/>
        <v>0</v>
      </c>
      <c r="R210" s="4">
        <f t="shared" si="203"/>
        <v>3386456</v>
      </c>
      <c r="S210" s="12">
        <f t="shared" si="203"/>
        <v>477259457</v>
      </c>
      <c r="X210" s="12">
        <f>AVERAGE(X197:X209)</f>
        <v>138196.3125</v>
      </c>
      <c r="Y210" s="12">
        <f>AVERAGE(Y197:Y209)</f>
        <v>0.63375379242902985</v>
      </c>
      <c r="Z210" s="12">
        <f t="shared" ref="Z210:AA210" si="204">AVERAGE(Z197:Z209)</f>
        <v>232047.3425</v>
      </c>
      <c r="AA210" s="16">
        <f t="shared" si="204"/>
        <v>7.3423556934406843E-3</v>
      </c>
      <c r="AC210" s="3" t="s">
        <v>12</v>
      </c>
      <c r="AD210" s="3"/>
      <c r="AE210" s="4">
        <f t="shared" ref="AE210:AP210" si="205">SUM(AE197:AE209)</f>
        <v>217738</v>
      </c>
      <c r="AF210" s="12">
        <f t="shared" si="205"/>
        <v>21619205</v>
      </c>
      <c r="AG210" s="4">
        <f t="shared" si="205"/>
        <v>2620817</v>
      </c>
      <c r="AH210" s="12">
        <f t="shared" si="205"/>
        <v>378364873</v>
      </c>
      <c r="AI210" s="4">
        <f t="shared" si="205"/>
        <v>418398</v>
      </c>
      <c r="AJ210" s="12">
        <f t="shared" si="205"/>
        <v>53139263</v>
      </c>
      <c r="AK210" s="4">
        <f t="shared" si="205"/>
        <v>129503</v>
      </c>
      <c r="AL210" s="12">
        <f t="shared" si="205"/>
        <v>24136116</v>
      </c>
      <c r="AM210" s="4">
        <f t="shared" si="205"/>
        <v>0</v>
      </c>
      <c r="AN210" s="12">
        <f t="shared" si="205"/>
        <v>0</v>
      </c>
      <c r="AO210" s="4">
        <f t="shared" si="205"/>
        <v>3386456</v>
      </c>
      <c r="AP210" s="12">
        <f t="shared" si="205"/>
        <v>477259457</v>
      </c>
    </row>
    <row r="211" spans="1:45" x14ac:dyDescent="0.25">
      <c r="J211" s="46" t="str">
        <f>+$B$192</f>
        <v>Aforo e Ingreso - ACCSA</v>
      </c>
      <c r="K211" s="9" t="s">
        <v>84</v>
      </c>
      <c r="L211" s="15">
        <f>AVERAGE(L197:L208)</f>
        <v>34866.5</v>
      </c>
      <c r="M211" s="28">
        <f>AVERAGE(M197:M208)</f>
        <v>4428271.916666667</v>
      </c>
      <c r="R211" s="15">
        <f>AVERAGE(R197:R208)</f>
        <v>282204.66666666669</v>
      </c>
      <c r="S211" s="28">
        <f>AVERAGE(S197:S208)</f>
        <v>39771621.416666664</v>
      </c>
    </row>
    <row r="212" spans="1:45" x14ac:dyDescent="0.25">
      <c r="B212" s="5" t="s">
        <v>14</v>
      </c>
      <c r="J212" s="46" t="str">
        <f>+$B$192</f>
        <v>Aforo e Ingreso - ACCSA</v>
      </c>
      <c r="K212" s="9" t="s">
        <v>85</v>
      </c>
      <c r="L212" s="44">
        <f>+L211/$L$295</f>
        <v>0.11374737685170005</v>
      </c>
      <c r="M212" s="44">
        <f>+M211/$M$295</f>
        <v>0.115283212456936</v>
      </c>
      <c r="R212" s="44">
        <f>+L211/R211</f>
        <v>0.1235504019541373</v>
      </c>
      <c r="S212" s="44">
        <f>+M211/S211</f>
        <v>0.11134250399987361</v>
      </c>
    </row>
    <row r="213" spans="1:45" x14ac:dyDescent="0.25">
      <c r="B213" s="5" t="s">
        <v>55</v>
      </c>
      <c r="L213" s="26"/>
      <c r="M213" s="26"/>
    </row>
    <row r="214" spans="1:45" x14ac:dyDescent="0.25">
      <c r="B214" s="5"/>
    </row>
    <row r="215" spans="1:45" x14ac:dyDescent="0.25">
      <c r="D215" s="89" t="s">
        <v>15</v>
      </c>
      <c r="E215" s="90"/>
      <c r="F215" s="89" t="s">
        <v>71</v>
      </c>
      <c r="G215" s="90"/>
      <c r="H215" s="89" t="s">
        <v>16</v>
      </c>
      <c r="I215" s="90"/>
      <c r="J215" s="89" t="s">
        <v>17</v>
      </c>
      <c r="K215" s="93"/>
      <c r="L215" s="89" t="s">
        <v>18</v>
      </c>
      <c r="M215" s="93"/>
      <c r="N215" s="89" t="s">
        <v>13</v>
      </c>
      <c r="O215" s="93"/>
      <c r="P215" s="89" t="s">
        <v>34</v>
      </c>
      <c r="Q215" s="93"/>
      <c r="R215" s="89" t="s">
        <v>12</v>
      </c>
      <c r="S215" s="93"/>
      <c r="AE215" s="89" t="s">
        <v>69</v>
      </c>
      <c r="AF215" s="90"/>
      <c r="AG215" s="89" t="s">
        <v>17</v>
      </c>
      <c r="AH215" s="93"/>
      <c r="AI215" s="89" t="s">
        <v>18</v>
      </c>
      <c r="AJ215" s="93"/>
      <c r="AK215" s="89" t="s">
        <v>13</v>
      </c>
      <c r="AL215" s="93"/>
      <c r="AM215" s="89" t="s">
        <v>34</v>
      </c>
      <c r="AN215" s="93"/>
      <c r="AO215" s="89" t="s">
        <v>12</v>
      </c>
      <c r="AP215" s="93"/>
    </row>
    <row r="216" spans="1:45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X216" s="33">
        <v>2020</v>
      </c>
      <c r="Y216" s="34">
        <v>0.75004171995092972</v>
      </c>
      <c r="Z216" s="33">
        <v>2020</v>
      </c>
      <c r="AA216" s="35">
        <v>4.2412280601243479E-3</v>
      </c>
      <c r="AC216" s="7" t="s">
        <v>0</v>
      </c>
      <c r="AD216" s="7" t="s">
        <v>1</v>
      </c>
      <c r="AE216" s="7" t="s">
        <v>2</v>
      </c>
      <c r="AF216" s="10" t="s">
        <v>3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</row>
    <row r="217" spans="1:45" x14ac:dyDescent="0.25">
      <c r="AF217" s="9"/>
      <c r="AH217" s="9"/>
      <c r="AJ217" s="9"/>
      <c r="AL217" s="9"/>
      <c r="AM217" s="9"/>
      <c r="AN217" s="9"/>
      <c r="AP217" s="9"/>
    </row>
    <row r="218" spans="1:45" x14ac:dyDescent="0.25">
      <c r="B218" s="2" t="s">
        <v>5</v>
      </c>
      <c r="C218" s="2">
        <v>2021</v>
      </c>
      <c r="D218" s="1">
        <v>6659</v>
      </c>
      <c r="E218" s="11">
        <v>348704</v>
      </c>
      <c r="F218" s="1">
        <v>2827</v>
      </c>
      <c r="G218" s="11">
        <v>147188</v>
      </c>
      <c r="H218" s="1">
        <v>445</v>
      </c>
      <c r="I218" s="11">
        <v>30730</v>
      </c>
      <c r="J218" s="1">
        <v>92366</v>
      </c>
      <c r="K218" s="11">
        <v>6295381</v>
      </c>
      <c r="L218" s="1">
        <v>4216</v>
      </c>
      <c r="M218" s="11">
        <v>352625</v>
      </c>
      <c r="N218" s="1">
        <v>11934</v>
      </c>
      <c r="O218" s="11">
        <v>734824</v>
      </c>
      <c r="P218" s="8">
        <v>0</v>
      </c>
      <c r="Q218" s="11">
        <v>0</v>
      </c>
      <c r="R218" s="8">
        <f t="shared" ref="R218:S229" si="206">N218+L218+J218+H218+D218+P218+F218</f>
        <v>118447</v>
      </c>
      <c r="S218" s="11">
        <f t="shared" si="206"/>
        <v>7909452</v>
      </c>
      <c r="T218" s="2" t="s">
        <v>66</v>
      </c>
      <c r="X218" s="30">
        <v>69456.569999999992</v>
      </c>
      <c r="Y218" s="30">
        <f t="shared" ref="Y218:Y229" si="207">+X218/J218</f>
        <v>0.75197117987138118</v>
      </c>
      <c r="Z218" s="31">
        <v>24666.064999999999</v>
      </c>
      <c r="AA218" s="32">
        <f t="shared" ref="AA218:AA229" si="208">+Z218/K218</f>
        <v>3.9181210795661134E-3</v>
      </c>
      <c r="AC218" s="2" t="s">
        <v>5</v>
      </c>
      <c r="AD218" s="2">
        <v>2021</v>
      </c>
      <c r="AE218" s="1">
        <f t="shared" ref="AE218:AE229" si="209">D218+H218+F218</f>
        <v>9931</v>
      </c>
      <c r="AF218" s="11">
        <f t="shared" ref="AF218:AF229" si="210">E218+I218+G218</f>
        <v>526622</v>
      </c>
      <c r="AG218" s="1">
        <f t="shared" ref="AG218:AG229" si="211">+J218</f>
        <v>92366</v>
      </c>
      <c r="AH218" s="11">
        <f t="shared" ref="AH218:AH229" si="212">+K218</f>
        <v>6295381</v>
      </c>
      <c r="AI218" s="8">
        <f t="shared" ref="AI218:AI229" si="213">+L218</f>
        <v>4216</v>
      </c>
      <c r="AJ218" s="11">
        <f t="shared" ref="AJ218:AJ229" si="214">+M218</f>
        <v>352625</v>
      </c>
      <c r="AK218" s="8">
        <f t="shared" ref="AK218:AK229" si="215">+N218</f>
        <v>11934</v>
      </c>
      <c r="AL218" s="11">
        <f t="shared" ref="AL218:AL229" si="216">+O218</f>
        <v>734824</v>
      </c>
      <c r="AM218" s="8">
        <f t="shared" ref="AM218:AM229" si="217">+P218</f>
        <v>0</v>
      </c>
      <c r="AN218" s="11">
        <f t="shared" ref="AN218:AN229" si="218">+Q218</f>
        <v>0</v>
      </c>
      <c r="AO218" s="8">
        <f>AM218+AK218+AI218+AG218+AE218</f>
        <v>118447</v>
      </c>
      <c r="AP218" s="11">
        <f t="shared" ref="AP218:AP229" si="219">AN218+AL218+AJ218+AH218+AF218</f>
        <v>7909452</v>
      </c>
      <c r="AQ218" s="2" t="str">
        <f t="shared" ref="AQ218:AQ229" si="220">+T218</f>
        <v>LERMA</v>
      </c>
      <c r="AR218" s="37">
        <f t="shared" ref="AR218:AR229" si="221">+AO218-R218</f>
        <v>0</v>
      </c>
      <c r="AS218" s="37">
        <f t="shared" ref="AS218:AS229" si="222">+AP218-S218</f>
        <v>0</v>
      </c>
    </row>
    <row r="219" spans="1:45" x14ac:dyDescent="0.25">
      <c r="B219" s="2" t="s">
        <v>6</v>
      </c>
      <c r="C219" s="2">
        <v>2021</v>
      </c>
      <c r="D219" s="1">
        <v>6256</v>
      </c>
      <c r="E219" s="11">
        <v>331123</v>
      </c>
      <c r="F219" s="1">
        <v>3050</v>
      </c>
      <c r="G219" s="11">
        <v>154687</v>
      </c>
      <c r="H219" s="1">
        <v>441</v>
      </c>
      <c r="I219" s="11">
        <v>32564</v>
      </c>
      <c r="J219" s="1">
        <v>95089</v>
      </c>
      <c r="K219" s="11">
        <v>6563319</v>
      </c>
      <c r="L219" s="1">
        <v>4224</v>
      </c>
      <c r="M219" s="11">
        <v>363657</v>
      </c>
      <c r="N219" s="1">
        <v>11947</v>
      </c>
      <c r="O219" s="11">
        <v>743301</v>
      </c>
      <c r="P219" s="8">
        <v>0</v>
      </c>
      <c r="Q219" s="11">
        <v>0</v>
      </c>
      <c r="R219" s="8">
        <f t="shared" si="206"/>
        <v>121007</v>
      </c>
      <c r="S219" s="11">
        <f t="shared" si="206"/>
        <v>8188651</v>
      </c>
      <c r="T219" s="2" t="s">
        <v>66</v>
      </c>
      <c r="X219" s="30">
        <v>73297.820000000007</v>
      </c>
      <c r="Y219" s="30">
        <f t="shared" si="207"/>
        <v>0.77083385039278995</v>
      </c>
      <c r="Z219" s="31">
        <v>25858.977499999997</v>
      </c>
      <c r="AA219" s="32">
        <f t="shared" si="208"/>
        <v>3.9399239165428344E-3</v>
      </c>
      <c r="AC219" s="2" t="s">
        <v>6</v>
      </c>
      <c r="AD219" s="2">
        <v>2021</v>
      </c>
      <c r="AE219" s="1">
        <f t="shared" si="209"/>
        <v>9747</v>
      </c>
      <c r="AF219" s="11">
        <f t="shared" si="210"/>
        <v>518374</v>
      </c>
      <c r="AG219" s="1">
        <f t="shared" si="211"/>
        <v>95089</v>
      </c>
      <c r="AH219" s="11">
        <f t="shared" si="212"/>
        <v>6563319</v>
      </c>
      <c r="AI219" s="8">
        <f t="shared" si="213"/>
        <v>4224</v>
      </c>
      <c r="AJ219" s="11">
        <f t="shared" si="214"/>
        <v>363657</v>
      </c>
      <c r="AK219" s="8">
        <f t="shared" si="215"/>
        <v>11947</v>
      </c>
      <c r="AL219" s="11">
        <f t="shared" si="216"/>
        <v>743301</v>
      </c>
      <c r="AM219" s="8">
        <f t="shared" si="217"/>
        <v>0</v>
      </c>
      <c r="AN219" s="11">
        <f t="shared" si="218"/>
        <v>0</v>
      </c>
      <c r="AO219" s="8">
        <f t="shared" ref="AO219:AO229" si="223">AM219+AK219+AI219+AG219+AE219</f>
        <v>121007</v>
      </c>
      <c r="AP219" s="11">
        <f t="shared" si="219"/>
        <v>8188651</v>
      </c>
      <c r="AQ219" s="2" t="str">
        <f t="shared" si="220"/>
        <v>LERMA</v>
      </c>
      <c r="AR219" s="37">
        <f t="shared" si="221"/>
        <v>0</v>
      </c>
      <c r="AS219" s="37">
        <f t="shared" si="222"/>
        <v>0</v>
      </c>
    </row>
    <row r="220" spans="1:45" x14ac:dyDescent="0.25">
      <c r="B220" s="2" t="s">
        <v>7</v>
      </c>
      <c r="C220" s="2">
        <v>2021</v>
      </c>
      <c r="D220" s="1">
        <v>7544</v>
      </c>
      <c r="E220" s="11">
        <v>393892</v>
      </c>
      <c r="F220" s="1">
        <v>3213</v>
      </c>
      <c r="G220" s="11">
        <v>171558</v>
      </c>
      <c r="H220" s="1">
        <v>399</v>
      </c>
      <c r="I220" s="11">
        <v>29985</v>
      </c>
      <c r="J220" s="1">
        <v>113090</v>
      </c>
      <c r="K220" s="11">
        <v>7709398</v>
      </c>
      <c r="L220" s="1">
        <v>4560</v>
      </c>
      <c r="M220" s="11">
        <v>396790</v>
      </c>
      <c r="N220" s="1">
        <v>13272</v>
      </c>
      <c r="O220" s="11">
        <v>805640</v>
      </c>
      <c r="P220" s="8">
        <v>0</v>
      </c>
      <c r="Q220" s="11">
        <v>0</v>
      </c>
      <c r="R220" s="8">
        <f t="shared" si="206"/>
        <v>142078</v>
      </c>
      <c r="S220" s="11">
        <f t="shared" si="206"/>
        <v>9507263</v>
      </c>
      <c r="T220" s="2" t="s">
        <v>66</v>
      </c>
      <c r="X220" s="30">
        <v>88513.09</v>
      </c>
      <c r="Y220" s="30">
        <f t="shared" si="207"/>
        <v>0.78267830931116811</v>
      </c>
      <c r="Z220" s="31">
        <v>30357.875</v>
      </c>
      <c r="AA220" s="32">
        <f t="shared" si="208"/>
        <v>3.937775037687768E-3</v>
      </c>
      <c r="AC220" s="2" t="s">
        <v>7</v>
      </c>
      <c r="AD220" s="2">
        <v>2021</v>
      </c>
      <c r="AE220" s="1">
        <f t="shared" si="209"/>
        <v>11156</v>
      </c>
      <c r="AF220" s="11">
        <f t="shared" si="210"/>
        <v>595435</v>
      </c>
      <c r="AG220" s="1">
        <f t="shared" si="211"/>
        <v>113090</v>
      </c>
      <c r="AH220" s="11">
        <f t="shared" si="212"/>
        <v>7709398</v>
      </c>
      <c r="AI220" s="8">
        <f t="shared" si="213"/>
        <v>4560</v>
      </c>
      <c r="AJ220" s="11">
        <f t="shared" si="214"/>
        <v>396790</v>
      </c>
      <c r="AK220" s="8">
        <f t="shared" si="215"/>
        <v>13272</v>
      </c>
      <c r="AL220" s="11">
        <f t="shared" si="216"/>
        <v>805640</v>
      </c>
      <c r="AM220" s="8">
        <f t="shared" si="217"/>
        <v>0</v>
      </c>
      <c r="AN220" s="11">
        <f t="shared" si="218"/>
        <v>0</v>
      </c>
      <c r="AO220" s="8">
        <f t="shared" si="223"/>
        <v>142078</v>
      </c>
      <c r="AP220" s="11">
        <f t="shared" si="219"/>
        <v>9507263</v>
      </c>
      <c r="AQ220" s="2" t="str">
        <f t="shared" si="220"/>
        <v>LERMA</v>
      </c>
      <c r="AR220" s="37">
        <f t="shared" si="221"/>
        <v>0</v>
      </c>
      <c r="AS220" s="37">
        <f t="shared" si="222"/>
        <v>0</v>
      </c>
    </row>
    <row r="221" spans="1:45" x14ac:dyDescent="0.25">
      <c r="B221" s="2" t="s">
        <v>8</v>
      </c>
      <c r="C221" s="2">
        <v>2021</v>
      </c>
      <c r="D221" s="1">
        <v>7297</v>
      </c>
      <c r="E221" s="11">
        <v>378853</v>
      </c>
      <c r="F221" s="1">
        <v>3160</v>
      </c>
      <c r="G221" s="11">
        <v>167924</v>
      </c>
      <c r="H221" s="1">
        <v>507</v>
      </c>
      <c r="I221" s="11">
        <v>38356</v>
      </c>
      <c r="J221" s="1">
        <v>107777</v>
      </c>
      <c r="K221" s="11">
        <v>7213929</v>
      </c>
      <c r="L221" s="1">
        <v>2786</v>
      </c>
      <c r="M221" s="11">
        <v>226428</v>
      </c>
      <c r="N221" s="1">
        <v>13279</v>
      </c>
      <c r="O221" s="11">
        <v>812052</v>
      </c>
      <c r="P221" s="8">
        <v>0</v>
      </c>
      <c r="Q221" s="11">
        <v>0</v>
      </c>
      <c r="R221" s="8">
        <f t="shared" si="206"/>
        <v>134806</v>
      </c>
      <c r="S221" s="11">
        <f t="shared" si="206"/>
        <v>8837542</v>
      </c>
      <c r="T221" s="2" t="s">
        <v>66</v>
      </c>
      <c r="X221" s="30">
        <v>84257.549999999988</v>
      </c>
      <c r="Y221" s="30">
        <f t="shared" si="207"/>
        <v>0.78177672416192678</v>
      </c>
      <c r="Z221" s="31">
        <v>28468.567499999997</v>
      </c>
      <c r="AA221" s="32">
        <f t="shared" si="208"/>
        <v>3.9463331979008942E-3</v>
      </c>
      <c r="AC221" s="2" t="s">
        <v>8</v>
      </c>
      <c r="AD221" s="2">
        <v>2021</v>
      </c>
      <c r="AE221" s="1">
        <f t="shared" si="209"/>
        <v>10964</v>
      </c>
      <c r="AF221" s="11">
        <f t="shared" si="210"/>
        <v>585133</v>
      </c>
      <c r="AG221" s="1">
        <f t="shared" si="211"/>
        <v>107777</v>
      </c>
      <c r="AH221" s="11">
        <f t="shared" si="212"/>
        <v>7213929</v>
      </c>
      <c r="AI221" s="8">
        <f t="shared" si="213"/>
        <v>2786</v>
      </c>
      <c r="AJ221" s="11">
        <f t="shared" si="214"/>
        <v>226428</v>
      </c>
      <c r="AK221" s="8">
        <f t="shared" si="215"/>
        <v>13279</v>
      </c>
      <c r="AL221" s="11">
        <f t="shared" si="216"/>
        <v>812052</v>
      </c>
      <c r="AM221" s="8">
        <f t="shared" si="217"/>
        <v>0</v>
      </c>
      <c r="AN221" s="11">
        <f t="shared" si="218"/>
        <v>0</v>
      </c>
      <c r="AO221" s="8">
        <f t="shared" si="223"/>
        <v>134806</v>
      </c>
      <c r="AP221" s="11">
        <f t="shared" si="219"/>
        <v>8837542</v>
      </c>
      <c r="AQ221" s="2" t="str">
        <f t="shared" si="220"/>
        <v>LERMA</v>
      </c>
      <c r="AR221" s="37">
        <f t="shared" si="221"/>
        <v>0</v>
      </c>
      <c r="AS221" s="37">
        <f t="shared" si="222"/>
        <v>0</v>
      </c>
    </row>
    <row r="222" spans="1:45" x14ac:dyDescent="0.25">
      <c r="B222" s="2" t="s">
        <v>9</v>
      </c>
      <c r="C222" s="2">
        <v>2021</v>
      </c>
      <c r="D222" s="1">
        <v>8179</v>
      </c>
      <c r="E222" s="11">
        <v>439186</v>
      </c>
      <c r="F222" s="1">
        <v>3448</v>
      </c>
      <c r="G222" s="11">
        <v>179592</v>
      </c>
      <c r="H222" s="1">
        <v>634</v>
      </c>
      <c r="I222" s="11">
        <v>50199</v>
      </c>
      <c r="J222" s="1">
        <v>117573</v>
      </c>
      <c r="K222" s="11">
        <v>8138371</v>
      </c>
      <c r="L222" s="1">
        <v>2713</v>
      </c>
      <c r="M222" s="11">
        <v>233716</v>
      </c>
      <c r="N222" s="1">
        <v>15238</v>
      </c>
      <c r="O222" s="11">
        <v>946865</v>
      </c>
      <c r="P222" s="8">
        <v>0</v>
      </c>
      <c r="Q222" s="11">
        <v>0</v>
      </c>
      <c r="R222" s="8">
        <f t="shared" si="206"/>
        <v>147785</v>
      </c>
      <c r="S222" s="11">
        <f t="shared" si="206"/>
        <v>9987929</v>
      </c>
      <c r="T222" s="2" t="s">
        <v>66</v>
      </c>
      <c r="X222" s="30">
        <v>92134.78</v>
      </c>
      <c r="Y222" s="30">
        <f t="shared" si="207"/>
        <v>0.78363893070687995</v>
      </c>
      <c r="Z222" s="31">
        <v>32081.945</v>
      </c>
      <c r="AA222" s="32">
        <f t="shared" si="208"/>
        <v>3.942059780759565E-3</v>
      </c>
      <c r="AC222" s="2" t="s">
        <v>9</v>
      </c>
      <c r="AD222" s="2">
        <v>2021</v>
      </c>
      <c r="AE222" s="1">
        <f t="shared" si="209"/>
        <v>12261</v>
      </c>
      <c r="AF222" s="11">
        <f t="shared" si="210"/>
        <v>668977</v>
      </c>
      <c r="AG222" s="1">
        <f t="shared" si="211"/>
        <v>117573</v>
      </c>
      <c r="AH222" s="11">
        <f t="shared" si="212"/>
        <v>8138371</v>
      </c>
      <c r="AI222" s="8">
        <f t="shared" si="213"/>
        <v>2713</v>
      </c>
      <c r="AJ222" s="11">
        <f t="shared" si="214"/>
        <v>233716</v>
      </c>
      <c r="AK222" s="8">
        <f t="shared" si="215"/>
        <v>15238</v>
      </c>
      <c r="AL222" s="11">
        <f t="shared" si="216"/>
        <v>946865</v>
      </c>
      <c r="AM222" s="8">
        <f t="shared" si="217"/>
        <v>0</v>
      </c>
      <c r="AN222" s="11">
        <f t="shared" si="218"/>
        <v>0</v>
      </c>
      <c r="AO222" s="8">
        <f t="shared" si="223"/>
        <v>147785</v>
      </c>
      <c r="AP222" s="11">
        <f t="shared" si="219"/>
        <v>9987929</v>
      </c>
      <c r="AQ222" s="2" t="str">
        <f t="shared" si="220"/>
        <v>LERMA</v>
      </c>
      <c r="AR222" s="37">
        <f t="shared" si="221"/>
        <v>0</v>
      </c>
      <c r="AS222" s="37">
        <f t="shared" si="222"/>
        <v>0</v>
      </c>
    </row>
    <row r="223" spans="1:45" x14ac:dyDescent="0.25">
      <c r="B223" s="2" t="s">
        <v>10</v>
      </c>
      <c r="C223" s="2">
        <v>2021</v>
      </c>
      <c r="D223" s="1">
        <v>7676</v>
      </c>
      <c r="E223" s="11">
        <v>416015</v>
      </c>
      <c r="F223" s="1">
        <v>3163</v>
      </c>
      <c r="G223" s="11">
        <v>159654</v>
      </c>
      <c r="H223" s="1">
        <v>795</v>
      </c>
      <c r="I223" s="11">
        <v>69923</v>
      </c>
      <c r="J223" s="1">
        <v>118926</v>
      </c>
      <c r="K223" s="11">
        <v>8315305</v>
      </c>
      <c r="L223" s="1">
        <v>2220</v>
      </c>
      <c r="M223" s="11">
        <v>185736</v>
      </c>
      <c r="N223" s="1">
        <v>15483</v>
      </c>
      <c r="O223" s="11">
        <v>956908</v>
      </c>
      <c r="P223" s="8">
        <v>0</v>
      </c>
      <c r="Q223" s="11">
        <v>0</v>
      </c>
      <c r="R223" s="8">
        <f t="shared" si="206"/>
        <v>148263</v>
      </c>
      <c r="S223" s="11">
        <f t="shared" si="206"/>
        <v>10103541</v>
      </c>
      <c r="T223" s="2" t="s">
        <v>66</v>
      </c>
      <c r="X223" s="30">
        <v>93008.08</v>
      </c>
      <c r="Y223" s="30">
        <f t="shared" si="207"/>
        <v>0.78206683147503486</v>
      </c>
      <c r="Z223" s="31">
        <v>32888.977500000001</v>
      </c>
      <c r="AA223" s="32">
        <f t="shared" si="208"/>
        <v>3.95523405335102E-3</v>
      </c>
      <c r="AC223" s="2" t="s">
        <v>10</v>
      </c>
      <c r="AD223" s="2">
        <v>2021</v>
      </c>
      <c r="AE223" s="1">
        <f t="shared" si="209"/>
        <v>11634</v>
      </c>
      <c r="AF223" s="11">
        <f t="shared" si="210"/>
        <v>645592</v>
      </c>
      <c r="AG223" s="1">
        <f t="shared" si="211"/>
        <v>118926</v>
      </c>
      <c r="AH223" s="11">
        <f t="shared" si="212"/>
        <v>8315305</v>
      </c>
      <c r="AI223" s="8">
        <f t="shared" si="213"/>
        <v>2220</v>
      </c>
      <c r="AJ223" s="11">
        <f t="shared" si="214"/>
        <v>185736</v>
      </c>
      <c r="AK223" s="8">
        <f t="shared" si="215"/>
        <v>15483</v>
      </c>
      <c r="AL223" s="11">
        <f t="shared" si="216"/>
        <v>956908</v>
      </c>
      <c r="AM223" s="8">
        <f t="shared" si="217"/>
        <v>0</v>
      </c>
      <c r="AN223" s="11">
        <f t="shared" si="218"/>
        <v>0</v>
      </c>
      <c r="AO223" s="8">
        <f t="shared" si="223"/>
        <v>148263</v>
      </c>
      <c r="AP223" s="11">
        <f t="shared" si="219"/>
        <v>10103541</v>
      </c>
      <c r="AQ223" s="2" t="str">
        <f t="shared" si="220"/>
        <v>LERMA</v>
      </c>
      <c r="AR223" s="37">
        <f t="shared" si="221"/>
        <v>0</v>
      </c>
      <c r="AS223" s="37">
        <f t="shared" si="222"/>
        <v>0</v>
      </c>
    </row>
    <row r="224" spans="1:45" x14ac:dyDescent="0.25">
      <c r="B224" s="2" t="s">
        <v>11</v>
      </c>
      <c r="C224" s="2">
        <v>2021</v>
      </c>
      <c r="D224" s="1">
        <v>7939</v>
      </c>
      <c r="E224" s="11">
        <v>422972</v>
      </c>
      <c r="F224" s="1">
        <v>3314</v>
      </c>
      <c r="G224" s="11">
        <v>165291</v>
      </c>
      <c r="H224" s="1">
        <v>729</v>
      </c>
      <c r="I224" s="11">
        <v>59677</v>
      </c>
      <c r="J224" s="1">
        <v>120871</v>
      </c>
      <c r="K224" s="11">
        <v>8433424</v>
      </c>
      <c r="L224" s="1">
        <v>1965</v>
      </c>
      <c r="M224" s="11">
        <v>165242</v>
      </c>
      <c r="N224" s="1">
        <v>15682</v>
      </c>
      <c r="O224" s="11">
        <v>919059</v>
      </c>
      <c r="P224" s="8">
        <v>0</v>
      </c>
      <c r="Q224" s="11">
        <v>0</v>
      </c>
      <c r="R224" s="8">
        <f t="shared" si="206"/>
        <v>150500</v>
      </c>
      <c r="S224" s="11">
        <f t="shared" si="206"/>
        <v>10165665</v>
      </c>
      <c r="T224" s="2" t="s">
        <v>66</v>
      </c>
      <c r="X224" s="30">
        <v>94456.84</v>
      </c>
      <c r="Y224" s="30">
        <f t="shared" si="207"/>
        <v>0.78146817681660607</v>
      </c>
      <c r="Z224" s="31">
        <v>33223.444999999992</v>
      </c>
      <c r="AA224" s="32">
        <f t="shared" si="208"/>
        <v>3.9394965793253123E-3</v>
      </c>
      <c r="AC224" s="2" t="s">
        <v>11</v>
      </c>
      <c r="AD224" s="2">
        <v>2021</v>
      </c>
      <c r="AE224" s="1">
        <f t="shared" si="209"/>
        <v>11982</v>
      </c>
      <c r="AF224" s="11">
        <f t="shared" si="210"/>
        <v>647940</v>
      </c>
      <c r="AG224" s="1">
        <f t="shared" si="211"/>
        <v>120871</v>
      </c>
      <c r="AH224" s="11">
        <f t="shared" si="212"/>
        <v>8433424</v>
      </c>
      <c r="AI224" s="8">
        <f t="shared" si="213"/>
        <v>1965</v>
      </c>
      <c r="AJ224" s="11">
        <f t="shared" si="214"/>
        <v>165242</v>
      </c>
      <c r="AK224" s="8">
        <f t="shared" si="215"/>
        <v>15682</v>
      </c>
      <c r="AL224" s="11">
        <f t="shared" si="216"/>
        <v>919059</v>
      </c>
      <c r="AM224" s="8">
        <f t="shared" si="217"/>
        <v>0</v>
      </c>
      <c r="AN224" s="11">
        <f t="shared" si="218"/>
        <v>0</v>
      </c>
      <c r="AO224" s="8">
        <f t="shared" si="223"/>
        <v>150500</v>
      </c>
      <c r="AP224" s="11">
        <f t="shared" si="219"/>
        <v>10165665</v>
      </c>
      <c r="AQ224" s="2" t="str">
        <f t="shared" si="220"/>
        <v>LERMA</v>
      </c>
      <c r="AR224" s="37">
        <f t="shared" si="221"/>
        <v>0</v>
      </c>
      <c r="AS224" s="37">
        <f t="shared" si="222"/>
        <v>0</v>
      </c>
    </row>
    <row r="225" spans="1:45" x14ac:dyDescent="0.25">
      <c r="B225" s="2" t="s">
        <v>4</v>
      </c>
      <c r="C225" s="2">
        <v>2021</v>
      </c>
      <c r="D225" s="1">
        <v>8117</v>
      </c>
      <c r="E225" s="11">
        <v>433927</v>
      </c>
      <c r="F225" s="1">
        <v>3269</v>
      </c>
      <c r="G225" s="11">
        <v>169537</v>
      </c>
      <c r="H225" s="1">
        <v>694</v>
      </c>
      <c r="I225" s="11">
        <v>62173</v>
      </c>
      <c r="J225" s="1">
        <v>121270</v>
      </c>
      <c r="K225" s="11">
        <v>8410041</v>
      </c>
      <c r="L225" s="1">
        <v>1745</v>
      </c>
      <c r="M225" s="11">
        <v>156975</v>
      </c>
      <c r="N225" s="1">
        <v>15408</v>
      </c>
      <c r="O225" s="11">
        <v>903298</v>
      </c>
      <c r="P225" s="8">
        <v>0</v>
      </c>
      <c r="Q225" s="11">
        <v>0</v>
      </c>
      <c r="R225" s="47">
        <f t="shared" si="206"/>
        <v>150503</v>
      </c>
      <c r="S225" s="48">
        <f t="shared" si="206"/>
        <v>10135951</v>
      </c>
      <c r="T225" s="2" t="s">
        <v>66</v>
      </c>
      <c r="X225" s="30">
        <v>95204.459999999992</v>
      </c>
      <c r="Y225" s="30">
        <f t="shared" si="207"/>
        <v>0.78506192792941365</v>
      </c>
      <c r="Z225" s="31">
        <v>32040.789999999997</v>
      </c>
      <c r="AA225" s="32">
        <f t="shared" si="208"/>
        <v>3.8098256595895308E-3</v>
      </c>
      <c r="AC225" s="2" t="s">
        <v>4</v>
      </c>
      <c r="AD225" s="2">
        <v>2021</v>
      </c>
      <c r="AE225" s="1">
        <f t="shared" si="209"/>
        <v>12080</v>
      </c>
      <c r="AF225" s="11">
        <f t="shared" si="210"/>
        <v>665637</v>
      </c>
      <c r="AG225" s="1">
        <f t="shared" si="211"/>
        <v>121270</v>
      </c>
      <c r="AH225" s="11">
        <f t="shared" si="212"/>
        <v>8410041</v>
      </c>
      <c r="AI225" s="8">
        <f t="shared" si="213"/>
        <v>1745</v>
      </c>
      <c r="AJ225" s="11">
        <f t="shared" si="214"/>
        <v>156975</v>
      </c>
      <c r="AK225" s="8">
        <f t="shared" si="215"/>
        <v>15408</v>
      </c>
      <c r="AL225" s="11">
        <f t="shared" si="216"/>
        <v>903298</v>
      </c>
      <c r="AM225" s="8">
        <f t="shared" si="217"/>
        <v>0</v>
      </c>
      <c r="AN225" s="11">
        <f t="shared" si="218"/>
        <v>0</v>
      </c>
      <c r="AO225" s="8">
        <f t="shared" si="223"/>
        <v>150503</v>
      </c>
      <c r="AP225" s="11">
        <f t="shared" si="219"/>
        <v>10135951</v>
      </c>
      <c r="AQ225" s="2" t="str">
        <f t="shared" si="220"/>
        <v>LERMA</v>
      </c>
      <c r="AR225" s="37">
        <f t="shared" si="221"/>
        <v>0</v>
      </c>
      <c r="AS225" s="37">
        <f t="shared" si="222"/>
        <v>0</v>
      </c>
    </row>
    <row r="226" spans="1:45" x14ac:dyDescent="0.25">
      <c r="B226" s="2" t="s">
        <v>28</v>
      </c>
      <c r="C226" s="2">
        <v>2021</v>
      </c>
      <c r="D226" s="1">
        <v>7598</v>
      </c>
      <c r="E226" s="11">
        <v>402028</v>
      </c>
      <c r="F226" s="1">
        <v>3046</v>
      </c>
      <c r="G226" s="11">
        <v>164876</v>
      </c>
      <c r="H226" s="1">
        <v>863</v>
      </c>
      <c r="I226" s="11">
        <v>78446</v>
      </c>
      <c r="J226" s="1">
        <v>118235</v>
      </c>
      <c r="K226" s="11">
        <v>8281919</v>
      </c>
      <c r="L226" s="1">
        <v>1603</v>
      </c>
      <c r="M226" s="11">
        <v>148148</v>
      </c>
      <c r="N226" s="1">
        <v>15421</v>
      </c>
      <c r="O226" s="11">
        <v>888487</v>
      </c>
      <c r="P226" s="8">
        <v>0</v>
      </c>
      <c r="Q226" s="11">
        <v>0</v>
      </c>
      <c r="R226" s="47">
        <f t="shared" si="206"/>
        <v>146766</v>
      </c>
      <c r="S226" s="48">
        <f t="shared" si="206"/>
        <v>9963904</v>
      </c>
      <c r="T226" s="2" t="s">
        <v>66</v>
      </c>
      <c r="X226" s="30">
        <v>93015.77</v>
      </c>
      <c r="Y226" s="30">
        <f t="shared" si="207"/>
        <v>0.7867024992599484</v>
      </c>
      <c r="Z226" s="31">
        <v>30750.29</v>
      </c>
      <c r="AA226" s="32">
        <f t="shared" si="208"/>
        <v>3.7129426163187542E-3</v>
      </c>
      <c r="AC226" s="2" t="s">
        <v>28</v>
      </c>
      <c r="AD226" s="2">
        <v>2021</v>
      </c>
      <c r="AE226" s="1">
        <f t="shared" si="209"/>
        <v>11507</v>
      </c>
      <c r="AF226" s="11">
        <f t="shared" si="210"/>
        <v>645350</v>
      </c>
      <c r="AG226" s="1">
        <f t="shared" si="211"/>
        <v>118235</v>
      </c>
      <c r="AH226" s="11">
        <f t="shared" si="212"/>
        <v>8281919</v>
      </c>
      <c r="AI226" s="8">
        <f t="shared" si="213"/>
        <v>1603</v>
      </c>
      <c r="AJ226" s="11">
        <f t="shared" si="214"/>
        <v>148148</v>
      </c>
      <c r="AK226" s="8">
        <f t="shared" si="215"/>
        <v>15421</v>
      </c>
      <c r="AL226" s="11">
        <f t="shared" si="216"/>
        <v>888487</v>
      </c>
      <c r="AM226" s="8">
        <f t="shared" si="217"/>
        <v>0</v>
      </c>
      <c r="AN226" s="11">
        <f t="shared" si="218"/>
        <v>0</v>
      </c>
      <c r="AO226" s="8">
        <f t="shared" si="223"/>
        <v>146766</v>
      </c>
      <c r="AP226" s="11">
        <f t="shared" si="219"/>
        <v>9963904</v>
      </c>
      <c r="AQ226" s="2" t="str">
        <f t="shared" si="220"/>
        <v>LERMA</v>
      </c>
      <c r="AR226" s="37">
        <f t="shared" si="221"/>
        <v>0</v>
      </c>
      <c r="AS226" s="37">
        <f t="shared" si="222"/>
        <v>0</v>
      </c>
    </row>
    <row r="227" spans="1:45" x14ac:dyDescent="0.25">
      <c r="B227" s="2" t="s">
        <v>29</v>
      </c>
      <c r="C227" s="2">
        <v>2021</v>
      </c>
      <c r="D227" s="1">
        <v>8284</v>
      </c>
      <c r="E227" s="11">
        <v>430990</v>
      </c>
      <c r="F227" s="1">
        <v>3075</v>
      </c>
      <c r="G227" s="11">
        <v>163900</v>
      </c>
      <c r="H227" s="1">
        <v>765</v>
      </c>
      <c r="I227" s="11">
        <v>69999</v>
      </c>
      <c r="J227" s="1">
        <v>120884</v>
      </c>
      <c r="K227" s="11">
        <v>8353538</v>
      </c>
      <c r="L227" s="1">
        <v>1625</v>
      </c>
      <c r="M227" s="11">
        <v>145941</v>
      </c>
      <c r="N227" s="1">
        <v>16563</v>
      </c>
      <c r="O227" s="11">
        <v>970736</v>
      </c>
      <c r="P227" s="8">
        <v>0</v>
      </c>
      <c r="Q227" s="11">
        <v>0</v>
      </c>
      <c r="R227" s="47">
        <f t="shared" si="206"/>
        <v>151196</v>
      </c>
      <c r="S227" s="48">
        <f t="shared" si="206"/>
        <v>10135104</v>
      </c>
      <c r="T227" s="2" t="s">
        <v>66</v>
      </c>
      <c r="X227" s="30">
        <v>94729.87</v>
      </c>
      <c r="Y227" s="30">
        <f t="shared" si="207"/>
        <v>0.78364274841997283</v>
      </c>
      <c r="Z227" s="31">
        <v>32067.497499999998</v>
      </c>
      <c r="AA227" s="32">
        <f t="shared" si="208"/>
        <v>3.8387923176982012E-3</v>
      </c>
      <c r="AC227" s="2" t="s">
        <v>29</v>
      </c>
      <c r="AD227" s="2">
        <v>2021</v>
      </c>
      <c r="AE227" s="1">
        <f t="shared" si="209"/>
        <v>12124</v>
      </c>
      <c r="AF227" s="11">
        <f t="shared" si="210"/>
        <v>664889</v>
      </c>
      <c r="AG227" s="1">
        <f t="shared" si="211"/>
        <v>120884</v>
      </c>
      <c r="AH227" s="11">
        <f t="shared" si="212"/>
        <v>8353538</v>
      </c>
      <c r="AI227" s="8">
        <f t="shared" si="213"/>
        <v>1625</v>
      </c>
      <c r="AJ227" s="11">
        <f t="shared" si="214"/>
        <v>145941</v>
      </c>
      <c r="AK227" s="8">
        <f t="shared" si="215"/>
        <v>16563</v>
      </c>
      <c r="AL227" s="11">
        <f t="shared" si="216"/>
        <v>970736</v>
      </c>
      <c r="AM227" s="8">
        <f t="shared" si="217"/>
        <v>0</v>
      </c>
      <c r="AN227" s="11">
        <f t="shared" si="218"/>
        <v>0</v>
      </c>
      <c r="AO227" s="8">
        <f t="shared" si="223"/>
        <v>151196</v>
      </c>
      <c r="AP227" s="11">
        <f t="shared" si="219"/>
        <v>10135104</v>
      </c>
      <c r="AQ227" s="2" t="str">
        <f t="shared" si="220"/>
        <v>LERMA</v>
      </c>
      <c r="AR227" s="37">
        <f t="shared" si="221"/>
        <v>0</v>
      </c>
      <c r="AS227" s="37">
        <f t="shared" si="222"/>
        <v>0</v>
      </c>
    </row>
    <row r="228" spans="1:45" x14ac:dyDescent="0.25">
      <c r="B228" s="2" t="s">
        <v>30</v>
      </c>
      <c r="C228" s="2">
        <v>2021</v>
      </c>
      <c r="D228" s="1">
        <v>10246</v>
      </c>
      <c r="E228" s="11">
        <v>532634</v>
      </c>
      <c r="F228" s="1">
        <v>4005</v>
      </c>
      <c r="G228" s="11">
        <v>217828</v>
      </c>
      <c r="H228" s="1">
        <v>883</v>
      </c>
      <c r="I228" s="11">
        <v>79656</v>
      </c>
      <c r="J228" s="1">
        <v>145994</v>
      </c>
      <c r="K228" s="11">
        <v>9917246</v>
      </c>
      <c r="L228" s="1">
        <v>1980</v>
      </c>
      <c r="M228" s="11">
        <v>172355</v>
      </c>
      <c r="N228" s="1">
        <v>21072</v>
      </c>
      <c r="O228" s="11">
        <v>1278262</v>
      </c>
      <c r="P228" s="8">
        <v>0</v>
      </c>
      <c r="Q228" s="11">
        <v>0</v>
      </c>
      <c r="R228" s="47">
        <f t="shared" si="206"/>
        <v>184180</v>
      </c>
      <c r="S228" s="48">
        <f t="shared" si="206"/>
        <v>12197981</v>
      </c>
      <c r="T228" s="2" t="s">
        <v>66</v>
      </c>
      <c r="X228" s="30">
        <v>115052.81</v>
      </c>
      <c r="Y228" s="30">
        <f t="shared" si="207"/>
        <v>0.78806533145197744</v>
      </c>
      <c r="Z228" s="31">
        <v>36306.020000000004</v>
      </c>
      <c r="AA228" s="32">
        <f t="shared" si="208"/>
        <v>3.660897390263386E-3</v>
      </c>
      <c r="AC228" s="2" t="s">
        <v>30</v>
      </c>
      <c r="AD228" s="2">
        <v>2021</v>
      </c>
      <c r="AE228" s="1">
        <f t="shared" si="209"/>
        <v>15134</v>
      </c>
      <c r="AF228" s="11">
        <f t="shared" si="210"/>
        <v>830118</v>
      </c>
      <c r="AG228" s="1">
        <f t="shared" si="211"/>
        <v>145994</v>
      </c>
      <c r="AH228" s="11">
        <f t="shared" si="212"/>
        <v>9917246</v>
      </c>
      <c r="AI228" s="8">
        <f t="shared" si="213"/>
        <v>1980</v>
      </c>
      <c r="AJ228" s="11">
        <f t="shared" si="214"/>
        <v>172355</v>
      </c>
      <c r="AK228" s="8">
        <f t="shared" si="215"/>
        <v>21072</v>
      </c>
      <c r="AL228" s="11">
        <f t="shared" si="216"/>
        <v>1278262</v>
      </c>
      <c r="AM228" s="8">
        <f t="shared" si="217"/>
        <v>0</v>
      </c>
      <c r="AN228" s="11">
        <f t="shared" si="218"/>
        <v>0</v>
      </c>
      <c r="AO228" s="8">
        <f t="shared" si="223"/>
        <v>184180</v>
      </c>
      <c r="AP228" s="11">
        <f t="shared" si="219"/>
        <v>12197981</v>
      </c>
      <c r="AQ228" s="2" t="str">
        <f t="shared" si="220"/>
        <v>LERMA</v>
      </c>
      <c r="AR228" s="37">
        <f t="shared" si="221"/>
        <v>0</v>
      </c>
      <c r="AS228" s="37">
        <f t="shared" si="222"/>
        <v>0</v>
      </c>
    </row>
    <row r="229" spans="1:45" x14ac:dyDescent="0.25">
      <c r="B229" s="2" t="s">
        <v>31</v>
      </c>
      <c r="C229" s="2">
        <v>2021</v>
      </c>
      <c r="D229" s="1">
        <v>10188</v>
      </c>
      <c r="E229" s="11">
        <v>521201</v>
      </c>
      <c r="F229" s="1">
        <v>3704</v>
      </c>
      <c r="G229" s="11">
        <v>193099</v>
      </c>
      <c r="H229" s="1">
        <v>825</v>
      </c>
      <c r="I229" s="11">
        <v>72839</v>
      </c>
      <c r="J229" s="1">
        <v>140819</v>
      </c>
      <c r="K229" s="11">
        <v>9390631</v>
      </c>
      <c r="L229" s="1">
        <v>1913</v>
      </c>
      <c r="M229" s="11">
        <v>164566</v>
      </c>
      <c r="N229" s="1">
        <v>20373</v>
      </c>
      <c r="O229" s="11">
        <v>1244160</v>
      </c>
      <c r="P229" s="8">
        <v>0</v>
      </c>
      <c r="Q229" s="11">
        <v>0</v>
      </c>
      <c r="R229" s="50">
        <f t="shared" si="206"/>
        <v>177822</v>
      </c>
      <c r="S229" s="51">
        <f t="shared" si="206"/>
        <v>11586496</v>
      </c>
      <c r="T229" s="2" t="s">
        <v>66</v>
      </c>
      <c r="X229" s="30">
        <v>110825.62</v>
      </c>
      <c r="Y229" s="30">
        <f t="shared" si="207"/>
        <v>0.78700757710252167</v>
      </c>
      <c r="Z229" s="31">
        <v>34030.527499999997</v>
      </c>
      <c r="AA229" s="32">
        <f t="shared" si="208"/>
        <v>3.6238808126951212E-3</v>
      </c>
      <c r="AC229" s="2" t="s">
        <v>31</v>
      </c>
      <c r="AD229" s="2">
        <v>2021</v>
      </c>
      <c r="AE229" s="1">
        <f t="shared" si="209"/>
        <v>14717</v>
      </c>
      <c r="AF229" s="11">
        <f t="shared" si="210"/>
        <v>787139</v>
      </c>
      <c r="AG229" s="1">
        <f t="shared" si="211"/>
        <v>140819</v>
      </c>
      <c r="AH229" s="11">
        <f t="shared" si="212"/>
        <v>9390631</v>
      </c>
      <c r="AI229" s="8">
        <f t="shared" si="213"/>
        <v>1913</v>
      </c>
      <c r="AJ229" s="11">
        <f t="shared" si="214"/>
        <v>164566</v>
      </c>
      <c r="AK229" s="8">
        <f t="shared" si="215"/>
        <v>20373</v>
      </c>
      <c r="AL229" s="11">
        <f t="shared" si="216"/>
        <v>1244160</v>
      </c>
      <c r="AM229" s="8">
        <f t="shared" si="217"/>
        <v>0</v>
      </c>
      <c r="AN229" s="11">
        <f t="shared" si="218"/>
        <v>0</v>
      </c>
      <c r="AO229" s="8">
        <f t="shared" si="223"/>
        <v>177822</v>
      </c>
      <c r="AP229" s="11">
        <f t="shared" si="219"/>
        <v>11586496</v>
      </c>
      <c r="AQ229" s="2" t="str">
        <f t="shared" si="220"/>
        <v>LERMA</v>
      </c>
      <c r="AR229" s="37">
        <f t="shared" si="221"/>
        <v>0</v>
      </c>
      <c r="AS229" s="37">
        <f t="shared" si="222"/>
        <v>0</v>
      </c>
    </row>
    <row r="230" spans="1:45" x14ac:dyDescent="0.25">
      <c r="AF230" s="9"/>
      <c r="AH230" s="9"/>
      <c r="AJ230" s="9"/>
      <c r="AL230" s="9"/>
      <c r="AM230" s="9"/>
      <c r="AN230" s="9"/>
      <c r="AP230" s="9"/>
    </row>
    <row r="231" spans="1:45" x14ac:dyDescent="0.25">
      <c r="B231" s="3" t="s">
        <v>12</v>
      </c>
      <c r="C231" s="3"/>
      <c r="D231" s="4">
        <f t="shared" ref="D231:S231" si="224">SUM(D218:D230)</f>
        <v>95983</v>
      </c>
      <c r="E231" s="12">
        <f t="shared" si="224"/>
        <v>5051525</v>
      </c>
      <c r="F231" s="4">
        <f t="shared" ref="F231:G231" si="225">SUM(F218:F230)</f>
        <v>39274</v>
      </c>
      <c r="G231" s="12">
        <f t="shared" si="225"/>
        <v>2055134</v>
      </c>
      <c r="H231" s="4">
        <f t="shared" si="224"/>
        <v>7980</v>
      </c>
      <c r="I231" s="12">
        <f t="shared" si="224"/>
        <v>674547</v>
      </c>
      <c r="J231" s="4">
        <f t="shared" si="224"/>
        <v>1412894</v>
      </c>
      <c r="K231" s="12">
        <f t="shared" si="224"/>
        <v>97022502</v>
      </c>
      <c r="L231" s="4">
        <f t="shared" si="224"/>
        <v>31550</v>
      </c>
      <c r="M231" s="12">
        <f t="shared" si="224"/>
        <v>2712179</v>
      </c>
      <c r="N231" s="4">
        <f t="shared" si="224"/>
        <v>185672</v>
      </c>
      <c r="O231" s="12">
        <f t="shared" si="224"/>
        <v>11203592</v>
      </c>
      <c r="P231" s="4">
        <f t="shared" si="224"/>
        <v>0</v>
      </c>
      <c r="Q231" s="12">
        <f t="shared" si="224"/>
        <v>0</v>
      </c>
      <c r="R231" s="4">
        <f t="shared" si="224"/>
        <v>1773353</v>
      </c>
      <c r="S231" s="12">
        <f t="shared" si="224"/>
        <v>118719479</v>
      </c>
      <c r="X231" s="12">
        <f>AVERAGE(X218:X230)</f>
        <v>91996.105000000025</v>
      </c>
      <c r="Y231" s="12">
        <f t="shared" ref="Y231:AA231" si="226">AVERAGE(Y218:Y230)</f>
        <v>0.78040950724163505</v>
      </c>
      <c r="Z231" s="12">
        <f t="shared" si="226"/>
        <v>31061.748125000002</v>
      </c>
      <c r="AA231" s="16">
        <f t="shared" si="226"/>
        <v>3.8521068701415418E-3</v>
      </c>
      <c r="AC231" s="3" t="s">
        <v>12</v>
      </c>
      <c r="AD231" s="3"/>
      <c r="AE231" s="4">
        <f t="shared" ref="AE231:AP231" si="227">SUM(AE218:AE230)</f>
        <v>143237</v>
      </c>
      <c r="AF231" s="12">
        <f t="shared" si="227"/>
        <v>7781206</v>
      </c>
      <c r="AG231" s="4">
        <f t="shared" si="227"/>
        <v>1412894</v>
      </c>
      <c r="AH231" s="12">
        <f t="shared" si="227"/>
        <v>97022502</v>
      </c>
      <c r="AI231" s="4">
        <f t="shared" si="227"/>
        <v>31550</v>
      </c>
      <c r="AJ231" s="12">
        <f t="shared" si="227"/>
        <v>2712179</v>
      </c>
      <c r="AK231" s="4">
        <f t="shared" si="227"/>
        <v>185672</v>
      </c>
      <c r="AL231" s="12">
        <f t="shared" si="227"/>
        <v>11203592</v>
      </c>
      <c r="AM231" s="4">
        <f t="shared" si="227"/>
        <v>0</v>
      </c>
      <c r="AN231" s="12">
        <f t="shared" si="227"/>
        <v>0</v>
      </c>
      <c r="AO231" s="4">
        <f t="shared" si="227"/>
        <v>1773353</v>
      </c>
      <c r="AP231" s="12">
        <f t="shared" si="227"/>
        <v>118719479</v>
      </c>
    </row>
    <row r="232" spans="1:45" x14ac:dyDescent="0.25">
      <c r="J232" s="46" t="str">
        <f>+$B$213</f>
        <v>Aforo e Ingreso - LERMA</v>
      </c>
      <c r="K232" s="9" t="s">
        <v>84</v>
      </c>
      <c r="L232" s="15">
        <f>AVERAGE(L218:L229)</f>
        <v>2629.1666666666665</v>
      </c>
      <c r="M232" s="28">
        <f>AVERAGE(M218:M229)</f>
        <v>226014.91666666666</v>
      </c>
      <c r="R232" s="15">
        <f>AVERAGE(R218:R229)</f>
        <v>147779.41666666666</v>
      </c>
      <c r="S232" s="28">
        <f>AVERAGE(S218:S229)</f>
        <v>9893289.916666666</v>
      </c>
    </row>
    <row r="233" spans="1:45" x14ac:dyDescent="0.25">
      <c r="B233" s="5" t="s">
        <v>14</v>
      </c>
      <c r="J233" s="46" t="str">
        <f>+$B$213</f>
        <v>Aforo e Ingreso - LERMA</v>
      </c>
      <c r="K233" s="9" t="s">
        <v>85</v>
      </c>
      <c r="L233" s="44">
        <f>+L232/$L$295</f>
        <v>8.577310932822664E-3</v>
      </c>
      <c r="M233" s="44">
        <f>+M232/$M$295</f>
        <v>5.8839488962848466E-3</v>
      </c>
      <c r="R233" s="44">
        <f>+L232/R232</f>
        <v>1.7791156075524728E-2</v>
      </c>
      <c r="S233" s="44">
        <f>+M232/S232</f>
        <v>2.2845273773480761E-2</v>
      </c>
    </row>
    <row r="234" spans="1:45" x14ac:dyDescent="0.25">
      <c r="B234" s="5" t="s">
        <v>67</v>
      </c>
      <c r="L234" s="26"/>
      <c r="M234" s="26"/>
    </row>
    <row r="235" spans="1:45" x14ac:dyDescent="0.25">
      <c r="B235" s="5"/>
    </row>
    <row r="236" spans="1:45" x14ac:dyDescent="0.25">
      <c r="D236" s="89" t="s">
        <v>15</v>
      </c>
      <c r="E236" s="90"/>
      <c r="F236" s="89" t="s">
        <v>71</v>
      </c>
      <c r="G236" s="90"/>
      <c r="H236" s="89" t="s">
        <v>16</v>
      </c>
      <c r="I236" s="90"/>
      <c r="J236" s="89" t="s">
        <v>17</v>
      </c>
      <c r="K236" s="93"/>
      <c r="L236" s="89" t="s">
        <v>18</v>
      </c>
      <c r="M236" s="93"/>
      <c r="N236" s="89" t="s">
        <v>13</v>
      </c>
      <c r="O236" s="93"/>
      <c r="P236" s="89" t="s">
        <v>34</v>
      </c>
      <c r="Q236" s="93"/>
      <c r="R236" s="89" t="s">
        <v>12</v>
      </c>
      <c r="S236" s="93"/>
      <c r="AE236" s="89" t="s">
        <v>69</v>
      </c>
      <c r="AF236" s="90"/>
      <c r="AG236" s="89" t="s">
        <v>17</v>
      </c>
      <c r="AH236" s="93"/>
      <c r="AI236" s="89" t="s">
        <v>18</v>
      </c>
      <c r="AJ236" s="93"/>
      <c r="AK236" s="89" t="s">
        <v>13</v>
      </c>
      <c r="AL236" s="93"/>
      <c r="AM236" s="89" t="s">
        <v>34</v>
      </c>
      <c r="AN236" s="93"/>
      <c r="AO236" s="89" t="s">
        <v>12</v>
      </c>
      <c r="AP236" s="93"/>
    </row>
    <row r="237" spans="1:45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X237" s="33">
        <v>2020</v>
      </c>
      <c r="Y237" s="34">
        <v>0.63373109825736784</v>
      </c>
      <c r="Z237" s="33">
        <v>2020</v>
      </c>
      <c r="AA237" s="35">
        <v>6.1148709932188107E-3</v>
      </c>
      <c r="AC237" s="7" t="s">
        <v>0</v>
      </c>
      <c r="AD237" s="7" t="s">
        <v>1</v>
      </c>
      <c r="AE237" s="7" t="s">
        <v>2</v>
      </c>
      <c r="AF237" s="10" t="s">
        <v>3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</row>
    <row r="238" spans="1:45" x14ac:dyDescent="0.25">
      <c r="AF238" s="9"/>
      <c r="AH238" s="9"/>
      <c r="AJ238" s="9"/>
      <c r="AL238" s="9"/>
      <c r="AM238" s="9"/>
      <c r="AN238" s="9"/>
      <c r="AP238" s="9"/>
    </row>
    <row r="239" spans="1:45" x14ac:dyDescent="0.25">
      <c r="B239" s="2" t="s">
        <v>5</v>
      </c>
      <c r="C239" s="2">
        <v>2021</v>
      </c>
      <c r="D239" s="1">
        <v>276</v>
      </c>
      <c r="E239" s="11">
        <v>13133</v>
      </c>
      <c r="F239" s="1">
        <v>98</v>
      </c>
      <c r="G239" s="11">
        <v>6676</v>
      </c>
      <c r="H239" s="1">
        <v>20</v>
      </c>
      <c r="I239" s="11">
        <v>1153</v>
      </c>
      <c r="J239" s="1">
        <v>13329</v>
      </c>
      <c r="K239" s="11">
        <v>966857</v>
      </c>
      <c r="L239" s="1">
        <v>1313</v>
      </c>
      <c r="M239" s="11">
        <v>116336</v>
      </c>
      <c r="N239" s="1">
        <v>479</v>
      </c>
      <c r="O239" s="11">
        <v>42429</v>
      </c>
      <c r="P239" s="8">
        <v>0</v>
      </c>
      <c r="Q239" s="11">
        <v>0</v>
      </c>
      <c r="R239" s="8">
        <f t="shared" ref="R239:S250" si="228">N239+L239+J239+H239+D239+P239+F239</f>
        <v>15515</v>
      </c>
      <c r="S239" s="11">
        <f t="shared" si="228"/>
        <v>1146584</v>
      </c>
      <c r="T239" s="2" t="s">
        <v>68</v>
      </c>
      <c r="X239" s="30">
        <v>8340.380000000001</v>
      </c>
      <c r="Y239" s="30">
        <f t="shared" ref="Y239:Y243" si="229">+X239/J239</f>
        <v>0.62573186285542814</v>
      </c>
      <c r="Z239" s="31">
        <v>6130.0924999999988</v>
      </c>
      <c r="AA239" s="32">
        <f t="shared" ref="AA239:AA250" si="230">+Z239/K239</f>
        <v>6.3402266312391582E-3</v>
      </c>
      <c r="AC239" s="2" t="s">
        <v>5</v>
      </c>
      <c r="AD239" s="2">
        <v>2021</v>
      </c>
      <c r="AE239" s="1">
        <f t="shared" ref="AE239:AE250" si="231">D239+H239+F239</f>
        <v>394</v>
      </c>
      <c r="AF239" s="11">
        <f t="shared" ref="AF239:AF250" si="232">E239+I239+G239</f>
        <v>20962</v>
      </c>
      <c r="AG239" s="1">
        <f t="shared" ref="AG239:AG250" si="233">+J239</f>
        <v>13329</v>
      </c>
      <c r="AH239" s="11">
        <f t="shared" ref="AH239:AH250" si="234">+K239</f>
        <v>966857</v>
      </c>
      <c r="AI239" s="8">
        <f t="shared" ref="AI239:AI250" si="235">+L239</f>
        <v>1313</v>
      </c>
      <c r="AJ239" s="11">
        <f t="shared" ref="AJ239:AJ250" si="236">+M239</f>
        <v>116336</v>
      </c>
      <c r="AK239" s="8">
        <f t="shared" ref="AK239:AK250" si="237">+N239</f>
        <v>479</v>
      </c>
      <c r="AL239" s="11">
        <f t="shared" ref="AL239:AL250" si="238">+O239</f>
        <v>42429</v>
      </c>
      <c r="AM239" s="8">
        <f t="shared" ref="AM239:AM250" si="239">+P239</f>
        <v>0</v>
      </c>
      <c r="AN239" s="11">
        <f t="shared" ref="AN239:AN250" si="240">+Q239</f>
        <v>0</v>
      </c>
      <c r="AO239" s="8">
        <f>AM239+AK239+AI239+AG239+AE239</f>
        <v>15515</v>
      </c>
      <c r="AP239" s="11">
        <f t="shared" ref="AP239:AP250" si="241">AN239+AL239+AJ239+AH239+AF239</f>
        <v>1146584</v>
      </c>
      <c r="AQ239" s="2" t="str">
        <f t="shared" ref="AQ239:AQ250" si="242">+T239</f>
        <v>IRAPUATO</v>
      </c>
      <c r="AR239" s="37">
        <f t="shared" ref="AR239:AR250" si="243">+AO239-R239</f>
        <v>0</v>
      </c>
      <c r="AS239" s="37">
        <f t="shared" ref="AS239:AS250" si="244">+AP239-S239</f>
        <v>0</v>
      </c>
    </row>
    <row r="240" spans="1:45" x14ac:dyDescent="0.25">
      <c r="B240" s="2" t="s">
        <v>6</v>
      </c>
      <c r="C240" s="2">
        <v>2021</v>
      </c>
      <c r="D240" s="1">
        <v>278</v>
      </c>
      <c r="E240" s="11">
        <v>14606</v>
      </c>
      <c r="F240" s="1">
        <v>117</v>
      </c>
      <c r="G240" s="11">
        <v>9580</v>
      </c>
      <c r="H240" s="1">
        <v>27</v>
      </c>
      <c r="I240" s="11">
        <v>2335</v>
      </c>
      <c r="J240" s="1">
        <v>14111</v>
      </c>
      <c r="K240" s="11">
        <v>1062095</v>
      </c>
      <c r="L240" s="1">
        <v>1265</v>
      </c>
      <c r="M240" s="11">
        <v>114927</v>
      </c>
      <c r="N240" s="1">
        <v>357</v>
      </c>
      <c r="O240" s="11">
        <v>30505</v>
      </c>
      <c r="P240" s="8">
        <v>0</v>
      </c>
      <c r="Q240" s="11">
        <v>0</v>
      </c>
      <c r="R240" s="8">
        <f t="shared" si="228"/>
        <v>16155</v>
      </c>
      <c r="S240" s="11">
        <f t="shared" si="228"/>
        <v>1234048</v>
      </c>
      <c r="T240" s="2" t="s">
        <v>68</v>
      </c>
      <c r="X240" s="30">
        <v>8834.4599999999991</v>
      </c>
      <c r="Y240" s="30">
        <f t="shared" si="229"/>
        <v>0.62606902416554455</v>
      </c>
      <c r="Z240" s="31">
        <v>6931.3924999999999</v>
      </c>
      <c r="AA240" s="32">
        <f t="shared" si="230"/>
        <v>6.5261511446716158E-3</v>
      </c>
      <c r="AC240" s="2" t="s">
        <v>6</v>
      </c>
      <c r="AD240" s="2">
        <v>2021</v>
      </c>
      <c r="AE240" s="1">
        <f t="shared" si="231"/>
        <v>422</v>
      </c>
      <c r="AF240" s="11">
        <f t="shared" si="232"/>
        <v>26521</v>
      </c>
      <c r="AG240" s="1">
        <f t="shared" si="233"/>
        <v>14111</v>
      </c>
      <c r="AH240" s="11">
        <f t="shared" si="234"/>
        <v>1062095</v>
      </c>
      <c r="AI240" s="8">
        <f t="shared" si="235"/>
        <v>1265</v>
      </c>
      <c r="AJ240" s="11">
        <f t="shared" si="236"/>
        <v>114927</v>
      </c>
      <c r="AK240" s="8">
        <f t="shared" si="237"/>
        <v>357</v>
      </c>
      <c r="AL240" s="11">
        <f t="shared" si="238"/>
        <v>30505</v>
      </c>
      <c r="AM240" s="8">
        <f t="shared" si="239"/>
        <v>0</v>
      </c>
      <c r="AN240" s="11">
        <f t="shared" si="240"/>
        <v>0</v>
      </c>
      <c r="AO240" s="8">
        <f t="shared" ref="AO240:AO250" si="245">AM240+AK240+AI240+AG240+AE240</f>
        <v>16155</v>
      </c>
      <c r="AP240" s="11">
        <f t="shared" si="241"/>
        <v>1234048</v>
      </c>
      <c r="AQ240" s="2" t="str">
        <f t="shared" si="242"/>
        <v>IRAPUATO</v>
      </c>
      <c r="AR240" s="37">
        <f t="shared" si="243"/>
        <v>0</v>
      </c>
      <c r="AS240" s="37">
        <f t="shared" si="244"/>
        <v>0</v>
      </c>
    </row>
    <row r="241" spans="2:45" x14ac:dyDescent="0.25">
      <c r="B241" s="2" t="s">
        <v>7</v>
      </c>
      <c r="C241" s="2">
        <v>2021</v>
      </c>
      <c r="D241" s="1">
        <v>246</v>
      </c>
      <c r="E241" s="11">
        <v>14756</v>
      </c>
      <c r="F241" s="1">
        <v>103</v>
      </c>
      <c r="G241" s="11">
        <v>8285</v>
      </c>
      <c r="H241" s="1">
        <v>22</v>
      </c>
      <c r="I241" s="11">
        <v>1638</v>
      </c>
      <c r="J241" s="1">
        <v>16199</v>
      </c>
      <c r="K241" s="11">
        <v>1228347</v>
      </c>
      <c r="L241" s="1">
        <v>1188</v>
      </c>
      <c r="M241" s="11">
        <v>108588</v>
      </c>
      <c r="N241" s="1">
        <v>433</v>
      </c>
      <c r="O241" s="11">
        <v>37787</v>
      </c>
      <c r="P241" s="8">
        <v>0</v>
      </c>
      <c r="Q241" s="11">
        <v>0</v>
      </c>
      <c r="R241" s="8">
        <f t="shared" si="228"/>
        <v>18191</v>
      </c>
      <c r="S241" s="11">
        <f t="shared" si="228"/>
        <v>1399401</v>
      </c>
      <c r="T241" s="2" t="s">
        <v>68</v>
      </c>
      <c r="X241" s="30">
        <v>10144.150000000001</v>
      </c>
      <c r="Y241" s="30">
        <f t="shared" si="229"/>
        <v>0.62622075436755364</v>
      </c>
      <c r="Z241" s="31">
        <v>8065.1</v>
      </c>
      <c r="AA241" s="32">
        <f t="shared" si="230"/>
        <v>6.5658156856328058E-3</v>
      </c>
      <c r="AC241" s="2" t="s">
        <v>7</v>
      </c>
      <c r="AD241" s="2">
        <v>2021</v>
      </c>
      <c r="AE241" s="1">
        <f t="shared" si="231"/>
        <v>371</v>
      </c>
      <c r="AF241" s="11">
        <f t="shared" si="232"/>
        <v>24679</v>
      </c>
      <c r="AG241" s="1">
        <f t="shared" si="233"/>
        <v>16199</v>
      </c>
      <c r="AH241" s="11">
        <f t="shared" si="234"/>
        <v>1228347</v>
      </c>
      <c r="AI241" s="8">
        <f t="shared" si="235"/>
        <v>1188</v>
      </c>
      <c r="AJ241" s="11">
        <f t="shared" si="236"/>
        <v>108588</v>
      </c>
      <c r="AK241" s="8">
        <f t="shared" si="237"/>
        <v>433</v>
      </c>
      <c r="AL241" s="11">
        <f t="shared" si="238"/>
        <v>37787</v>
      </c>
      <c r="AM241" s="8">
        <f t="shared" si="239"/>
        <v>0</v>
      </c>
      <c r="AN241" s="11">
        <f t="shared" si="240"/>
        <v>0</v>
      </c>
      <c r="AO241" s="8">
        <f t="shared" si="245"/>
        <v>18191</v>
      </c>
      <c r="AP241" s="11">
        <f t="shared" si="241"/>
        <v>1399401</v>
      </c>
      <c r="AQ241" s="2" t="str">
        <f t="shared" si="242"/>
        <v>IRAPUATO</v>
      </c>
      <c r="AR241" s="37">
        <f t="shared" si="243"/>
        <v>0</v>
      </c>
      <c r="AS241" s="37">
        <f t="shared" si="244"/>
        <v>0</v>
      </c>
    </row>
    <row r="242" spans="2:45" x14ac:dyDescent="0.25">
      <c r="B242" s="2" t="s">
        <v>8</v>
      </c>
      <c r="C242" s="2">
        <v>2021</v>
      </c>
      <c r="D242" s="1">
        <v>292</v>
      </c>
      <c r="E242" s="11">
        <v>17090</v>
      </c>
      <c r="F242" s="1">
        <v>211</v>
      </c>
      <c r="G242" s="11">
        <v>14226</v>
      </c>
      <c r="H242" s="1">
        <v>28</v>
      </c>
      <c r="I242" s="11">
        <v>2329</v>
      </c>
      <c r="J242" s="1">
        <v>15945</v>
      </c>
      <c r="K242" s="11">
        <v>1236650</v>
      </c>
      <c r="L242" s="1">
        <v>543</v>
      </c>
      <c r="M242" s="11">
        <v>41024</v>
      </c>
      <c r="N242" s="1">
        <v>392</v>
      </c>
      <c r="O242" s="11">
        <v>32869</v>
      </c>
      <c r="P242" s="8">
        <v>0</v>
      </c>
      <c r="Q242" s="11">
        <v>0</v>
      </c>
      <c r="R242" s="8">
        <f t="shared" si="228"/>
        <v>17411</v>
      </c>
      <c r="S242" s="11">
        <f t="shared" si="228"/>
        <v>1344188</v>
      </c>
      <c r="T242" s="2" t="s">
        <v>68</v>
      </c>
      <c r="X242" s="30">
        <v>10294.780000000001</v>
      </c>
      <c r="Y242" s="30">
        <f t="shared" si="229"/>
        <v>0.64564314832235814</v>
      </c>
      <c r="Z242" s="31">
        <v>7557.28</v>
      </c>
      <c r="AA242" s="32">
        <f t="shared" si="230"/>
        <v>6.1110904459628834E-3</v>
      </c>
      <c r="AC242" s="2" t="s">
        <v>8</v>
      </c>
      <c r="AD242" s="2">
        <v>2021</v>
      </c>
      <c r="AE242" s="1">
        <f t="shared" si="231"/>
        <v>531</v>
      </c>
      <c r="AF242" s="11">
        <f t="shared" si="232"/>
        <v>33645</v>
      </c>
      <c r="AG242" s="1">
        <f t="shared" si="233"/>
        <v>15945</v>
      </c>
      <c r="AH242" s="11">
        <f t="shared" si="234"/>
        <v>1236650</v>
      </c>
      <c r="AI242" s="8">
        <f t="shared" si="235"/>
        <v>543</v>
      </c>
      <c r="AJ242" s="11">
        <f t="shared" si="236"/>
        <v>41024</v>
      </c>
      <c r="AK242" s="8">
        <f t="shared" si="237"/>
        <v>392</v>
      </c>
      <c r="AL242" s="11">
        <f t="shared" si="238"/>
        <v>32869</v>
      </c>
      <c r="AM242" s="8">
        <f t="shared" si="239"/>
        <v>0</v>
      </c>
      <c r="AN242" s="11">
        <f t="shared" si="240"/>
        <v>0</v>
      </c>
      <c r="AO242" s="8">
        <f t="shared" si="245"/>
        <v>17411</v>
      </c>
      <c r="AP242" s="11">
        <f t="shared" si="241"/>
        <v>1344188</v>
      </c>
      <c r="AQ242" s="2" t="str">
        <f t="shared" si="242"/>
        <v>IRAPUATO</v>
      </c>
      <c r="AR242" s="37">
        <f t="shared" si="243"/>
        <v>0</v>
      </c>
      <c r="AS242" s="37">
        <f t="shared" si="244"/>
        <v>0</v>
      </c>
    </row>
    <row r="243" spans="2:45" x14ac:dyDescent="0.25">
      <c r="B243" s="2" t="s">
        <v>9</v>
      </c>
      <c r="C243" s="2">
        <v>2021</v>
      </c>
      <c r="D243" s="1">
        <v>345</v>
      </c>
      <c r="E243" s="11">
        <v>18938</v>
      </c>
      <c r="F243" s="1">
        <v>277</v>
      </c>
      <c r="G243" s="11">
        <v>17437</v>
      </c>
      <c r="H243" s="1">
        <v>67</v>
      </c>
      <c r="I243" s="11">
        <v>4582</v>
      </c>
      <c r="J243" s="1">
        <v>16991</v>
      </c>
      <c r="K243" s="11">
        <v>1296159</v>
      </c>
      <c r="L243" s="1">
        <v>693</v>
      </c>
      <c r="M243" s="11">
        <v>56832</v>
      </c>
      <c r="N243" s="1">
        <v>575</v>
      </c>
      <c r="O243" s="11">
        <v>49040</v>
      </c>
      <c r="P243" s="8">
        <v>0</v>
      </c>
      <c r="Q243" s="11">
        <v>0</v>
      </c>
      <c r="R243" s="8">
        <f t="shared" si="228"/>
        <v>18948</v>
      </c>
      <c r="S243" s="11">
        <f t="shared" si="228"/>
        <v>1442988</v>
      </c>
      <c r="T243" s="2" t="s">
        <v>68</v>
      </c>
      <c r="X243" s="30">
        <v>11219.76</v>
      </c>
      <c r="Y243" s="30">
        <f t="shared" si="229"/>
        <v>0.66033547172032259</v>
      </c>
      <c r="Z243" s="31">
        <v>7238.1649999999991</v>
      </c>
      <c r="AA243" s="32">
        <f t="shared" si="230"/>
        <v>5.5843187448453464E-3</v>
      </c>
      <c r="AC243" s="2" t="s">
        <v>9</v>
      </c>
      <c r="AD243" s="2">
        <v>2021</v>
      </c>
      <c r="AE243" s="1">
        <f t="shared" si="231"/>
        <v>689</v>
      </c>
      <c r="AF243" s="11">
        <f t="shared" si="232"/>
        <v>40957</v>
      </c>
      <c r="AG243" s="1">
        <f t="shared" si="233"/>
        <v>16991</v>
      </c>
      <c r="AH243" s="11">
        <f t="shared" si="234"/>
        <v>1296159</v>
      </c>
      <c r="AI243" s="8">
        <f t="shared" si="235"/>
        <v>693</v>
      </c>
      <c r="AJ243" s="11">
        <f t="shared" si="236"/>
        <v>56832</v>
      </c>
      <c r="AK243" s="8">
        <f t="shared" si="237"/>
        <v>575</v>
      </c>
      <c r="AL243" s="11">
        <f t="shared" si="238"/>
        <v>49040</v>
      </c>
      <c r="AM243" s="8">
        <f t="shared" si="239"/>
        <v>0</v>
      </c>
      <c r="AN243" s="11">
        <f t="shared" si="240"/>
        <v>0</v>
      </c>
      <c r="AO243" s="8">
        <f t="shared" si="245"/>
        <v>18948</v>
      </c>
      <c r="AP243" s="11">
        <f t="shared" si="241"/>
        <v>1442988</v>
      </c>
      <c r="AQ243" s="2" t="str">
        <f t="shared" si="242"/>
        <v>IRAPUATO</v>
      </c>
      <c r="AR243" s="37">
        <f t="shared" si="243"/>
        <v>0</v>
      </c>
      <c r="AS243" s="37">
        <f t="shared" si="244"/>
        <v>0</v>
      </c>
    </row>
    <row r="244" spans="2:45" x14ac:dyDescent="0.25">
      <c r="B244" s="2" t="s">
        <v>10</v>
      </c>
      <c r="C244" s="2">
        <v>2021</v>
      </c>
      <c r="D244" s="1">
        <v>357</v>
      </c>
      <c r="E244" s="11">
        <v>19885</v>
      </c>
      <c r="F244" s="1">
        <v>288</v>
      </c>
      <c r="G244" s="11">
        <v>16539</v>
      </c>
      <c r="H244" s="1">
        <v>55</v>
      </c>
      <c r="I244" s="11">
        <v>3768</v>
      </c>
      <c r="J244" s="1">
        <v>17146</v>
      </c>
      <c r="K244" s="11">
        <v>1307178</v>
      </c>
      <c r="L244" s="1">
        <v>793</v>
      </c>
      <c r="M244" s="11">
        <v>70804</v>
      </c>
      <c r="N244" s="1">
        <v>562</v>
      </c>
      <c r="O244" s="11">
        <v>46780</v>
      </c>
      <c r="P244" s="8">
        <v>0</v>
      </c>
      <c r="Q244" s="11">
        <v>0</v>
      </c>
      <c r="R244" s="8">
        <f t="shared" si="228"/>
        <v>19201</v>
      </c>
      <c r="S244" s="11">
        <f t="shared" si="228"/>
        <v>1464954</v>
      </c>
      <c r="T244" s="2" t="s">
        <v>68</v>
      </c>
      <c r="X244" s="30">
        <v>11338.17</v>
      </c>
      <c r="Y244" s="30">
        <v>0.6612720167969206</v>
      </c>
      <c r="Z244" s="31">
        <v>7278.2374999999993</v>
      </c>
      <c r="AA244" s="32">
        <f t="shared" si="230"/>
        <v>5.5679008520645229E-3</v>
      </c>
      <c r="AC244" s="2" t="s">
        <v>10</v>
      </c>
      <c r="AD244" s="2">
        <v>2021</v>
      </c>
      <c r="AE244" s="1">
        <f t="shared" si="231"/>
        <v>700</v>
      </c>
      <c r="AF244" s="11">
        <f t="shared" si="232"/>
        <v>40192</v>
      </c>
      <c r="AG244" s="1">
        <f t="shared" si="233"/>
        <v>17146</v>
      </c>
      <c r="AH244" s="11">
        <f t="shared" si="234"/>
        <v>1307178</v>
      </c>
      <c r="AI244" s="8">
        <f t="shared" si="235"/>
        <v>793</v>
      </c>
      <c r="AJ244" s="11">
        <f t="shared" si="236"/>
        <v>70804</v>
      </c>
      <c r="AK244" s="8">
        <f t="shared" si="237"/>
        <v>562</v>
      </c>
      <c r="AL244" s="11">
        <f t="shared" si="238"/>
        <v>46780</v>
      </c>
      <c r="AM244" s="8">
        <f t="shared" si="239"/>
        <v>0</v>
      </c>
      <c r="AN244" s="11">
        <f t="shared" si="240"/>
        <v>0</v>
      </c>
      <c r="AO244" s="8">
        <f t="shared" si="245"/>
        <v>19201</v>
      </c>
      <c r="AP244" s="11">
        <f t="shared" si="241"/>
        <v>1464954</v>
      </c>
      <c r="AQ244" s="2" t="str">
        <f t="shared" si="242"/>
        <v>IRAPUATO</v>
      </c>
      <c r="AR244" s="37">
        <f t="shared" si="243"/>
        <v>0</v>
      </c>
      <c r="AS244" s="37">
        <f t="shared" si="244"/>
        <v>0</v>
      </c>
    </row>
    <row r="245" spans="2:45" x14ac:dyDescent="0.25">
      <c r="B245" s="2" t="s">
        <v>11</v>
      </c>
      <c r="C245" s="2">
        <v>2021</v>
      </c>
      <c r="D245" s="1">
        <v>430</v>
      </c>
      <c r="E245" s="11">
        <v>25922</v>
      </c>
      <c r="F245" s="1">
        <v>265</v>
      </c>
      <c r="G245" s="11">
        <v>15170</v>
      </c>
      <c r="H245" s="1">
        <v>38</v>
      </c>
      <c r="I245" s="11">
        <v>2644</v>
      </c>
      <c r="J245" s="1">
        <v>18146</v>
      </c>
      <c r="K245" s="11">
        <v>1378964</v>
      </c>
      <c r="L245" s="1">
        <v>825</v>
      </c>
      <c r="M245" s="11">
        <v>68727</v>
      </c>
      <c r="N245" s="1">
        <v>541</v>
      </c>
      <c r="O245" s="11">
        <v>44966</v>
      </c>
      <c r="P245" s="8">
        <v>0</v>
      </c>
      <c r="Q245" s="11">
        <v>0</v>
      </c>
      <c r="R245" s="8">
        <f t="shared" si="228"/>
        <v>20245</v>
      </c>
      <c r="S245" s="11">
        <f t="shared" si="228"/>
        <v>1536393</v>
      </c>
      <c r="T245" s="2" t="s">
        <v>68</v>
      </c>
      <c r="X245" s="30">
        <v>11900.150000000001</v>
      </c>
      <c r="Y245" s="30">
        <v>0.6612720167969206</v>
      </c>
      <c r="Z245" s="31">
        <v>7771.2275</v>
      </c>
      <c r="AA245" s="32">
        <f t="shared" si="230"/>
        <v>5.6355550253668696E-3</v>
      </c>
      <c r="AC245" s="2" t="s">
        <v>11</v>
      </c>
      <c r="AD245" s="2">
        <v>2021</v>
      </c>
      <c r="AE245" s="1">
        <f t="shared" si="231"/>
        <v>733</v>
      </c>
      <c r="AF245" s="11">
        <f t="shared" si="232"/>
        <v>43736</v>
      </c>
      <c r="AG245" s="1">
        <f t="shared" si="233"/>
        <v>18146</v>
      </c>
      <c r="AH245" s="11">
        <f t="shared" si="234"/>
        <v>1378964</v>
      </c>
      <c r="AI245" s="8">
        <f t="shared" si="235"/>
        <v>825</v>
      </c>
      <c r="AJ245" s="11">
        <f t="shared" si="236"/>
        <v>68727</v>
      </c>
      <c r="AK245" s="8">
        <f t="shared" si="237"/>
        <v>541</v>
      </c>
      <c r="AL245" s="11">
        <f t="shared" si="238"/>
        <v>44966</v>
      </c>
      <c r="AM245" s="8">
        <f t="shared" si="239"/>
        <v>0</v>
      </c>
      <c r="AN245" s="11">
        <f t="shared" si="240"/>
        <v>0</v>
      </c>
      <c r="AO245" s="8">
        <f t="shared" si="245"/>
        <v>20245</v>
      </c>
      <c r="AP245" s="11">
        <f t="shared" si="241"/>
        <v>1536393</v>
      </c>
      <c r="AQ245" s="2" t="str">
        <f t="shared" si="242"/>
        <v>IRAPUATO</v>
      </c>
      <c r="AR245" s="37">
        <f t="shared" si="243"/>
        <v>0</v>
      </c>
      <c r="AS245" s="37">
        <f t="shared" si="244"/>
        <v>0</v>
      </c>
    </row>
    <row r="246" spans="2:45" x14ac:dyDescent="0.25">
      <c r="B246" s="2" t="s">
        <v>4</v>
      </c>
      <c r="C246" s="2">
        <v>2021</v>
      </c>
      <c r="D246" s="1">
        <v>398</v>
      </c>
      <c r="E246" s="11">
        <v>24303</v>
      </c>
      <c r="F246" s="1">
        <v>230</v>
      </c>
      <c r="G246" s="11">
        <v>13104</v>
      </c>
      <c r="H246" s="1">
        <v>48</v>
      </c>
      <c r="I246" s="11">
        <v>3411</v>
      </c>
      <c r="J246" s="1">
        <v>18079</v>
      </c>
      <c r="K246" s="11">
        <v>1367618</v>
      </c>
      <c r="L246" s="1">
        <v>890</v>
      </c>
      <c r="M246" s="11">
        <v>76427</v>
      </c>
      <c r="N246" s="1">
        <v>480</v>
      </c>
      <c r="O246" s="11">
        <v>38348</v>
      </c>
      <c r="P246" s="8">
        <v>0</v>
      </c>
      <c r="Q246" s="11">
        <v>0</v>
      </c>
      <c r="R246" s="47">
        <f t="shared" si="228"/>
        <v>20125</v>
      </c>
      <c r="S246" s="48">
        <f t="shared" si="228"/>
        <v>1523211</v>
      </c>
      <c r="T246" s="2" t="s">
        <v>68</v>
      </c>
      <c r="U246" s="38"/>
      <c r="X246" s="30">
        <v>12007.86</v>
      </c>
      <c r="Y246" s="30">
        <v>0.6612720167969206</v>
      </c>
      <c r="Z246" s="31">
        <v>7405.2174999999997</v>
      </c>
      <c r="AA246" s="32">
        <f t="shared" si="230"/>
        <v>5.4146826818599926E-3</v>
      </c>
      <c r="AC246" s="2" t="s">
        <v>4</v>
      </c>
      <c r="AD246" s="2">
        <v>2021</v>
      </c>
      <c r="AE246" s="1">
        <f t="shared" si="231"/>
        <v>676</v>
      </c>
      <c r="AF246" s="11">
        <f t="shared" si="232"/>
        <v>40818</v>
      </c>
      <c r="AG246" s="1">
        <f t="shared" si="233"/>
        <v>18079</v>
      </c>
      <c r="AH246" s="11">
        <f t="shared" si="234"/>
        <v>1367618</v>
      </c>
      <c r="AI246" s="8">
        <f t="shared" si="235"/>
        <v>890</v>
      </c>
      <c r="AJ246" s="11">
        <f t="shared" si="236"/>
        <v>76427</v>
      </c>
      <c r="AK246" s="8">
        <f t="shared" si="237"/>
        <v>480</v>
      </c>
      <c r="AL246" s="11">
        <f t="shared" si="238"/>
        <v>38348</v>
      </c>
      <c r="AM246" s="8">
        <f t="shared" si="239"/>
        <v>0</v>
      </c>
      <c r="AN246" s="11">
        <f t="shared" si="240"/>
        <v>0</v>
      </c>
      <c r="AO246" s="8">
        <f t="shared" si="245"/>
        <v>20125</v>
      </c>
      <c r="AP246" s="11">
        <f t="shared" si="241"/>
        <v>1523211</v>
      </c>
      <c r="AQ246" s="2" t="str">
        <f t="shared" si="242"/>
        <v>IRAPUATO</v>
      </c>
      <c r="AR246" s="37">
        <f t="shared" si="243"/>
        <v>0</v>
      </c>
      <c r="AS246" s="37">
        <f t="shared" si="244"/>
        <v>0</v>
      </c>
    </row>
    <row r="247" spans="2:45" x14ac:dyDescent="0.25">
      <c r="B247" s="2" t="s">
        <v>28</v>
      </c>
      <c r="C247" s="2">
        <v>2021</v>
      </c>
      <c r="D247" s="1">
        <v>404</v>
      </c>
      <c r="E247" s="11">
        <v>22530</v>
      </c>
      <c r="F247" s="1">
        <v>231</v>
      </c>
      <c r="G247" s="11">
        <v>11952</v>
      </c>
      <c r="H247" s="1">
        <v>79</v>
      </c>
      <c r="I247" s="11">
        <v>4457</v>
      </c>
      <c r="J247" s="1">
        <v>18814</v>
      </c>
      <c r="K247" s="11">
        <v>1378183</v>
      </c>
      <c r="L247" s="1">
        <v>845</v>
      </c>
      <c r="M247" s="11">
        <v>79044</v>
      </c>
      <c r="N247" s="1">
        <v>543</v>
      </c>
      <c r="O247" s="11">
        <v>45484</v>
      </c>
      <c r="P247" s="8">
        <v>0</v>
      </c>
      <c r="Q247" s="11">
        <v>0</v>
      </c>
      <c r="R247" s="47">
        <f t="shared" si="228"/>
        <v>20916</v>
      </c>
      <c r="S247" s="48">
        <f t="shared" si="228"/>
        <v>1541650</v>
      </c>
      <c r="T247" s="2" t="s">
        <v>68</v>
      </c>
      <c r="X247" s="30">
        <v>12432.86</v>
      </c>
      <c r="Y247" s="30">
        <v>0.6612720167969206</v>
      </c>
      <c r="Z247" s="31">
        <v>7549.4025000000001</v>
      </c>
      <c r="AA247" s="32">
        <f t="shared" si="230"/>
        <v>5.4777939504405439E-3</v>
      </c>
      <c r="AC247" s="2" t="s">
        <v>28</v>
      </c>
      <c r="AD247" s="2">
        <v>2021</v>
      </c>
      <c r="AE247" s="1">
        <f t="shared" si="231"/>
        <v>714</v>
      </c>
      <c r="AF247" s="11">
        <f t="shared" si="232"/>
        <v>38939</v>
      </c>
      <c r="AG247" s="1">
        <f t="shared" si="233"/>
        <v>18814</v>
      </c>
      <c r="AH247" s="11">
        <f t="shared" si="234"/>
        <v>1378183</v>
      </c>
      <c r="AI247" s="8">
        <f t="shared" si="235"/>
        <v>845</v>
      </c>
      <c r="AJ247" s="11">
        <f t="shared" si="236"/>
        <v>79044</v>
      </c>
      <c r="AK247" s="8">
        <f t="shared" si="237"/>
        <v>543</v>
      </c>
      <c r="AL247" s="11">
        <f t="shared" si="238"/>
        <v>45484</v>
      </c>
      <c r="AM247" s="8">
        <f t="shared" si="239"/>
        <v>0</v>
      </c>
      <c r="AN247" s="11">
        <f t="shared" si="240"/>
        <v>0</v>
      </c>
      <c r="AO247" s="8">
        <f t="shared" si="245"/>
        <v>20916</v>
      </c>
      <c r="AP247" s="11">
        <f t="shared" si="241"/>
        <v>1541650</v>
      </c>
      <c r="AQ247" s="2" t="str">
        <f t="shared" si="242"/>
        <v>IRAPUATO</v>
      </c>
      <c r="AR247" s="37">
        <f t="shared" si="243"/>
        <v>0</v>
      </c>
      <c r="AS247" s="37">
        <f t="shared" si="244"/>
        <v>0</v>
      </c>
    </row>
    <row r="248" spans="2:45" x14ac:dyDescent="0.25">
      <c r="B248" s="2" t="s">
        <v>29</v>
      </c>
      <c r="C248" s="2">
        <v>2021</v>
      </c>
      <c r="D248" s="1">
        <v>542</v>
      </c>
      <c r="E248" s="11">
        <v>30958</v>
      </c>
      <c r="F248" s="1">
        <v>189</v>
      </c>
      <c r="G248" s="11">
        <v>9724</v>
      </c>
      <c r="H248" s="1">
        <v>78</v>
      </c>
      <c r="I248" s="11">
        <v>5734</v>
      </c>
      <c r="J248" s="1">
        <v>21243</v>
      </c>
      <c r="K248" s="11">
        <v>1558029</v>
      </c>
      <c r="L248" s="1">
        <v>793</v>
      </c>
      <c r="M248" s="11">
        <v>70976</v>
      </c>
      <c r="N248" s="1">
        <v>621</v>
      </c>
      <c r="O248" s="11">
        <v>51578</v>
      </c>
      <c r="P248" s="8">
        <v>0</v>
      </c>
      <c r="Q248" s="11">
        <v>0</v>
      </c>
      <c r="R248" s="47">
        <f t="shared" si="228"/>
        <v>23466</v>
      </c>
      <c r="S248" s="48">
        <f t="shared" si="228"/>
        <v>1726999</v>
      </c>
      <c r="T248" s="2" t="s">
        <v>68</v>
      </c>
      <c r="X248" s="30">
        <v>13781.77</v>
      </c>
      <c r="Y248" s="30">
        <v>0.6612720167969206</v>
      </c>
      <c r="Z248" s="31">
        <v>9054.0924999999988</v>
      </c>
      <c r="AA248" s="32">
        <f t="shared" si="230"/>
        <v>5.81124773672377E-3</v>
      </c>
      <c r="AC248" s="2" t="s">
        <v>29</v>
      </c>
      <c r="AD248" s="2">
        <v>2021</v>
      </c>
      <c r="AE248" s="1">
        <f t="shared" si="231"/>
        <v>809</v>
      </c>
      <c r="AF248" s="11">
        <f t="shared" si="232"/>
        <v>46416</v>
      </c>
      <c r="AG248" s="1">
        <f t="shared" si="233"/>
        <v>21243</v>
      </c>
      <c r="AH248" s="11">
        <f t="shared" si="234"/>
        <v>1558029</v>
      </c>
      <c r="AI248" s="8">
        <f t="shared" si="235"/>
        <v>793</v>
      </c>
      <c r="AJ248" s="11">
        <f t="shared" si="236"/>
        <v>70976</v>
      </c>
      <c r="AK248" s="8">
        <f t="shared" si="237"/>
        <v>621</v>
      </c>
      <c r="AL248" s="11">
        <f t="shared" si="238"/>
        <v>51578</v>
      </c>
      <c r="AM248" s="8">
        <f t="shared" si="239"/>
        <v>0</v>
      </c>
      <c r="AN248" s="11">
        <f t="shared" si="240"/>
        <v>0</v>
      </c>
      <c r="AO248" s="8">
        <f t="shared" si="245"/>
        <v>23466</v>
      </c>
      <c r="AP248" s="11">
        <f t="shared" si="241"/>
        <v>1726999</v>
      </c>
      <c r="AQ248" s="2" t="str">
        <f t="shared" si="242"/>
        <v>IRAPUATO</v>
      </c>
      <c r="AR248" s="37">
        <f t="shared" si="243"/>
        <v>0</v>
      </c>
      <c r="AS248" s="37">
        <f t="shared" si="244"/>
        <v>0</v>
      </c>
    </row>
    <row r="249" spans="2:45" x14ac:dyDescent="0.25">
      <c r="B249" s="2" t="s">
        <v>30</v>
      </c>
      <c r="C249" s="2">
        <v>2021</v>
      </c>
      <c r="D249" s="1">
        <v>540</v>
      </c>
      <c r="E249" s="11">
        <v>34224</v>
      </c>
      <c r="F249" s="1">
        <v>284</v>
      </c>
      <c r="G249" s="11">
        <v>14912</v>
      </c>
      <c r="H249" s="1">
        <v>104</v>
      </c>
      <c r="I249" s="11">
        <v>7516</v>
      </c>
      <c r="J249" s="1">
        <v>23553</v>
      </c>
      <c r="K249" s="11">
        <v>1674191</v>
      </c>
      <c r="L249" s="1">
        <v>1118</v>
      </c>
      <c r="M249" s="11">
        <v>101127</v>
      </c>
      <c r="N249" s="1">
        <v>668</v>
      </c>
      <c r="O249" s="11">
        <v>54018</v>
      </c>
      <c r="P249" s="8">
        <v>0</v>
      </c>
      <c r="Q249" s="11">
        <v>0</v>
      </c>
      <c r="R249" s="47">
        <f t="shared" si="228"/>
        <v>26267</v>
      </c>
      <c r="S249" s="48">
        <f t="shared" si="228"/>
        <v>1885988</v>
      </c>
      <c r="T249" s="2" t="s">
        <v>68</v>
      </c>
      <c r="X249" s="30">
        <v>14919.869999999999</v>
      </c>
      <c r="Y249" s="30">
        <v>0.6612720167969206</v>
      </c>
      <c r="Z249" s="31">
        <v>10223.4825</v>
      </c>
      <c r="AA249" s="32">
        <f t="shared" si="230"/>
        <v>6.1065210002920816E-3</v>
      </c>
      <c r="AC249" s="2" t="s">
        <v>30</v>
      </c>
      <c r="AD249" s="2">
        <v>2021</v>
      </c>
      <c r="AE249" s="1">
        <f t="shared" si="231"/>
        <v>928</v>
      </c>
      <c r="AF249" s="11">
        <f t="shared" si="232"/>
        <v>56652</v>
      </c>
      <c r="AG249" s="1">
        <f t="shared" si="233"/>
        <v>23553</v>
      </c>
      <c r="AH249" s="11">
        <f t="shared" si="234"/>
        <v>1674191</v>
      </c>
      <c r="AI249" s="8">
        <f t="shared" si="235"/>
        <v>1118</v>
      </c>
      <c r="AJ249" s="11">
        <f t="shared" si="236"/>
        <v>101127</v>
      </c>
      <c r="AK249" s="8">
        <f t="shared" si="237"/>
        <v>668</v>
      </c>
      <c r="AL249" s="11">
        <f t="shared" si="238"/>
        <v>54018</v>
      </c>
      <c r="AM249" s="8">
        <f t="shared" si="239"/>
        <v>0</v>
      </c>
      <c r="AN249" s="11">
        <f t="shared" si="240"/>
        <v>0</v>
      </c>
      <c r="AO249" s="8">
        <f t="shared" si="245"/>
        <v>26267</v>
      </c>
      <c r="AP249" s="11">
        <f t="shared" si="241"/>
        <v>1885988</v>
      </c>
      <c r="AQ249" s="2" t="str">
        <f t="shared" si="242"/>
        <v>IRAPUATO</v>
      </c>
      <c r="AR249" s="37">
        <f t="shared" si="243"/>
        <v>0</v>
      </c>
      <c r="AS249" s="37">
        <f t="shared" si="244"/>
        <v>0</v>
      </c>
    </row>
    <row r="250" spans="2:45" x14ac:dyDescent="0.25">
      <c r="B250" s="2" t="s">
        <v>31</v>
      </c>
      <c r="C250" s="2">
        <v>2021</v>
      </c>
      <c r="D250" s="1">
        <v>700</v>
      </c>
      <c r="E250" s="11">
        <v>41873</v>
      </c>
      <c r="F250" s="1">
        <v>280</v>
      </c>
      <c r="G250" s="11">
        <v>14318</v>
      </c>
      <c r="H250" s="1">
        <v>113</v>
      </c>
      <c r="I250" s="11">
        <v>7981</v>
      </c>
      <c r="J250" s="1">
        <v>24443</v>
      </c>
      <c r="K250" s="11">
        <v>1814725</v>
      </c>
      <c r="L250" s="1">
        <v>1493</v>
      </c>
      <c r="M250" s="11">
        <v>145210</v>
      </c>
      <c r="N250" s="1">
        <v>673</v>
      </c>
      <c r="O250" s="11">
        <v>56576</v>
      </c>
      <c r="P250" s="8">
        <v>0</v>
      </c>
      <c r="Q250" s="11">
        <v>0</v>
      </c>
      <c r="R250" s="50">
        <f t="shared" si="228"/>
        <v>27702</v>
      </c>
      <c r="S250" s="51">
        <f t="shared" si="228"/>
        <v>2080683</v>
      </c>
      <c r="T250" s="2" t="s">
        <v>68</v>
      </c>
      <c r="X250" s="30">
        <v>15141.82</v>
      </c>
      <c r="Y250" s="30">
        <v>0.6612720167969206</v>
      </c>
      <c r="Z250" s="31">
        <v>11887.865000000002</v>
      </c>
      <c r="AA250" s="32">
        <f t="shared" si="230"/>
        <v>6.5507804212759516E-3</v>
      </c>
      <c r="AC250" s="2" t="s">
        <v>31</v>
      </c>
      <c r="AD250" s="2">
        <v>2021</v>
      </c>
      <c r="AE250" s="1">
        <f t="shared" si="231"/>
        <v>1093</v>
      </c>
      <c r="AF250" s="11">
        <f t="shared" si="232"/>
        <v>64172</v>
      </c>
      <c r="AG250" s="1">
        <f t="shared" si="233"/>
        <v>24443</v>
      </c>
      <c r="AH250" s="11">
        <f t="shared" si="234"/>
        <v>1814725</v>
      </c>
      <c r="AI250" s="8">
        <f t="shared" si="235"/>
        <v>1493</v>
      </c>
      <c r="AJ250" s="11">
        <f t="shared" si="236"/>
        <v>145210</v>
      </c>
      <c r="AK250" s="8">
        <f t="shared" si="237"/>
        <v>673</v>
      </c>
      <c r="AL250" s="11">
        <f t="shared" si="238"/>
        <v>56576</v>
      </c>
      <c r="AM250" s="8">
        <f t="shared" si="239"/>
        <v>0</v>
      </c>
      <c r="AN250" s="11">
        <f t="shared" si="240"/>
        <v>0</v>
      </c>
      <c r="AO250" s="8">
        <f t="shared" si="245"/>
        <v>27702</v>
      </c>
      <c r="AP250" s="11">
        <f t="shared" si="241"/>
        <v>2080683</v>
      </c>
      <c r="AQ250" s="2" t="str">
        <f t="shared" si="242"/>
        <v>IRAPUATO</v>
      </c>
      <c r="AR250" s="37">
        <f t="shared" si="243"/>
        <v>0</v>
      </c>
      <c r="AS250" s="37">
        <f t="shared" si="244"/>
        <v>0</v>
      </c>
    </row>
    <row r="251" spans="2:45" x14ac:dyDescent="0.25">
      <c r="AF251" s="9"/>
      <c r="AH251" s="9"/>
      <c r="AJ251" s="9"/>
      <c r="AL251" s="9"/>
      <c r="AM251" s="9"/>
      <c r="AN251" s="9"/>
      <c r="AP251" s="9"/>
    </row>
    <row r="252" spans="2:45" x14ac:dyDescent="0.25">
      <c r="B252" s="3" t="s">
        <v>12</v>
      </c>
      <c r="C252" s="3"/>
      <c r="D252" s="4">
        <f t="shared" ref="D252:S252" si="246">SUM(D239:D251)</f>
        <v>4808</v>
      </c>
      <c r="E252" s="12">
        <f t="shared" si="246"/>
        <v>278218</v>
      </c>
      <c r="F252" s="4">
        <f t="shared" si="246"/>
        <v>2573</v>
      </c>
      <c r="G252" s="12">
        <f t="shared" si="246"/>
        <v>151923</v>
      </c>
      <c r="H252" s="4">
        <f t="shared" si="246"/>
        <v>679</v>
      </c>
      <c r="I252" s="12">
        <f t="shared" si="246"/>
        <v>47548</v>
      </c>
      <c r="J252" s="4">
        <f t="shared" si="246"/>
        <v>217999</v>
      </c>
      <c r="K252" s="12">
        <f t="shared" si="246"/>
        <v>16268996</v>
      </c>
      <c r="L252" s="4">
        <f t="shared" si="246"/>
        <v>11759</v>
      </c>
      <c r="M252" s="12">
        <f t="shared" si="246"/>
        <v>1050022</v>
      </c>
      <c r="N252" s="4">
        <f t="shared" si="246"/>
        <v>6324</v>
      </c>
      <c r="O252" s="12">
        <f t="shared" si="246"/>
        <v>530380</v>
      </c>
      <c r="P252" s="4">
        <f t="shared" si="246"/>
        <v>0</v>
      </c>
      <c r="Q252" s="12">
        <f t="shared" si="246"/>
        <v>0</v>
      </c>
      <c r="R252" s="4">
        <f t="shared" si="246"/>
        <v>244142</v>
      </c>
      <c r="S252" s="12">
        <f t="shared" si="246"/>
        <v>18327087</v>
      </c>
      <c r="X252" s="12">
        <f>AVERAGE(X239:X251)</f>
        <v>11696.335833333333</v>
      </c>
      <c r="Y252" s="12">
        <f t="shared" ref="Y252:AA252" si="247">AVERAGE(Y239:Y251)</f>
        <v>0.65107536491747087</v>
      </c>
      <c r="Z252" s="12">
        <f t="shared" si="247"/>
        <v>8090.9629166666673</v>
      </c>
      <c r="AA252" s="16">
        <f t="shared" si="247"/>
        <v>5.9743403600312946E-3</v>
      </c>
      <c r="AC252" s="3" t="s">
        <v>12</v>
      </c>
      <c r="AD252" s="3"/>
      <c r="AE252" s="4">
        <f t="shared" ref="AE252:AP252" si="248">SUM(AE239:AE251)</f>
        <v>8060</v>
      </c>
      <c r="AF252" s="12">
        <f t="shared" si="248"/>
        <v>477689</v>
      </c>
      <c r="AG252" s="4">
        <f t="shared" si="248"/>
        <v>217999</v>
      </c>
      <c r="AH252" s="12">
        <f t="shared" si="248"/>
        <v>16268996</v>
      </c>
      <c r="AI252" s="4">
        <f t="shared" si="248"/>
        <v>11759</v>
      </c>
      <c r="AJ252" s="12">
        <f t="shared" si="248"/>
        <v>1050022</v>
      </c>
      <c r="AK252" s="4">
        <f t="shared" si="248"/>
        <v>6324</v>
      </c>
      <c r="AL252" s="12">
        <f t="shared" si="248"/>
        <v>530380</v>
      </c>
      <c r="AM252" s="4">
        <f t="shared" si="248"/>
        <v>0</v>
      </c>
      <c r="AN252" s="12">
        <f t="shared" si="248"/>
        <v>0</v>
      </c>
      <c r="AO252" s="4">
        <f t="shared" si="248"/>
        <v>244142</v>
      </c>
      <c r="AP252" s="12">
        <f t="shared" si="248"/>
        <v>18327087</v>
      </c>
    </row>
    <row r="253" spans="2:45" x14ac:dyDescent="0.25">
      <c r="J253" s="46" t="str">
        <f>+$B$234</f>
        <v>Aforo e Ingreso - IRAPUATO</v>
      </c>
      <c r="K253" s="9" t="s">
        <v>84</v>
      </c>
      <c r="L253" s="15">
        <f>AVERAGE(L239:L250)</f>
        <v>979.91666666666663</v>
      </c>
      <c r="M253" s="28">
        <f>AVERAGE(M239:M250)</f>
        <v>87501.833333333328</v>
      </c>
      <c r="R253" s="15">
        <f>AVERAGE(R239:R250)</f>
        <v>20345.166666666668</v>
      </c>
      <c r="S253" s="28">
        <f>AVERAGE(S239:S250)</f>
        <v>1527257.25</v>
      </c>
    </row>
    <row r="254" spans="2:45" x14ac:dyDescent="0.25">
      <c r="B254" s="5" t="s">
        <v>14</v>
      </c>
      <c r="J254" s="46" t="str">
        <f>+$B$234</f>
        <v>Aforo e Ingreso - IRAPUATO</v>
      </c>
      <c r="K254" s="9" t="s">
        <v>85</v>
      </c>
      <c r="L254" s="44">
        <f>+L253/$L$295</f>
        <v>3.1968494218403073E-3</v>
      </c>
      <c r="M254" s="44">
        <f>+M253/$M$295</f>
        <v>2.2779749374856185E-3</v>
      </c>
      <c r="R254" s="44">
        <f>+L253/R253</f>
        <v>4.8164592737013699E-2</v>
      </c>
      <c r="S254" s="44">
        <f>+M253/S253</f>
        <v>5.7293447671198372E-2</v>
      </c>
    </row>
    <row r="255" spans="2:45" x14ac:dyDescent="0.25">
      <c r="B255" s="5" t="s">
        <v>81</v>
      </c>
      <c r="L255" s="26"/>
      <c r="M255" s="26"/>
    </row>
    <row r="256" spans="2:45" x14ac:dyDescent="0.25">
      <c r="B256" s="5"/>
    </row>
    <row r="257" spans="1:45" x14ac:dyDescent="0.25">
      <c r="D257" s="89" t="s">
        <v>15</v>
      </c>
      <c r="E257" s="90"/>
      <c r="F257" s="89" t="s">
        <v>71</v>
      </c>
      <c r="G257" s="90"/>
      <c r="H257" s="89" t="s">
        <v>16</v>
      </c>
      <c r="I257" s="90"/>
      <c r="J257" s="89" t="s">
        <v>17</v>
      </c>
      <c r="K257" s="93"/>
      <c r="L257" s="89" t="s">
        <v>18</v>
      </c>
      <c r="M257" s="93"/>
      <c r="N257" s="89" t="s">
        <v>13</v>
      </c>
      <c r="O257" s="93"/>
      <c r="P257" s="89" t="s">
        <v>34</v>
      </c>
      <c r="Q257" s="93"/>
      <c r="R257" s="89" t="s">
        <v>12</v>
      </c>
      <c r="S257" s="93"/>
      <c r="AE257" s="89" t="s">
        <v>69</v>
      </c>
      <c r="AF257" s="90"/>
      <c r="AG257" s="89" t="s">
        <v>17</v>
      </c>
      <c r="AH257" s="93"/>
      <c r="AI257" s="89" t="s">
        <v>18</v>
      </c>
      <c r="AJ257" s="93"/>
      <c r="AK257" s="89" t="s">
        <v>13</v>
      </c>
      <c r="AL257" s="93"/>
      <c r="AM257" s="89" t="s">
        <v>34</v>
      </c>
      <c r="AN257" s="93"/>
      <c r="AO257" s="89" t="s">
        <v>12</v>
      </c>
      <c r="AP257" s="93"/>
    </row>
    <row r="258" spans="1:45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X258" s="33">
        <v>2020</v>
      </c>
      <c r="Y258" s="34">
        <v>0</v>
      </c>
      <c r="Z258" s="33">
        <v>2020</v>
      </c>
      <c r="AA258" s="35">
        <v>0</v>
      </c>
      <c r="AC258" s="7" t="s">
        <v>0</v>
      </c>
      <c r="AD258" s="7" t="s">
        <v>1</v>
      </c>
      <c r="AE258" s="7" t="s">
        <v>2</v>
      </c>
      <c r="AF258" s="10" t="s">
        <v>3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</row>
    <row r="259" spans="1:45" x14ac:dyDescent="0.25">
      <c r="AF259" s="9"/>
      <c r="AH259" s="9"/>
      <c r="AJ259" s="9"/>
      <c r="AL259" s="9"/>
      <c r="AM259" s="9"/>
      <c r="AN259" s="9"/>
      <c r="AP259" s="9"/>
    </row>
    <row r="260" spans="1:45" x14ac:dyDescent="0.25">
      <c r="B260" s="2" t="s">
        <v>5</v>
      </c>
      <c r="C260" s="2">
        <v>2021</v>
      </c>
      <c r="D260" s="1"/>
      <c r="E260" s="11"/>
      <c r="F260" s="1"/>
      <c r="G260" s="11"/>
      <c r="H260" s="1"/>
      <c r="I260" s="11"/>
      <c r="J260" s="1"/>
      <c r="K260" s="11"/>
      <c r="L260" s="1"/>
      <c r="M260" s="11"/>
      <c r="N260" s="1"/>
      <c r="O260" s="11"/>
      <c r="P260" s="8">
        <v>0</v>
      </c>
      <c r="Q260" s="11">
        <v>0</v>
      </c>
      <c r="R260" s="8">
        <f t="shared" ref="R260:R271" si="249">N260+L260+J260+H260+D260+P260+F260</f>
        <v>0</v>
      </c>
      <c r="S260" s="11">
        <f t="shared" ref="S260:S271" si="250">O260+M260+K260+I260+E260+Q260+G260</f>
        <v>0</v>
      </c>
      <c r="T260" s="2" t="s">
        <v>82</v>
      </c>
      <c r="X260" s="30"/>
      <c r="Y260" s="30"/>
      <c r="Z260" s="30"/>
      <c r="AA260" s="32"/>
      <c r="AC260" s="2" t="s">
        <v>5</v>
      </c>
      <c r="AD260" s="2">
        <v>2021</v>
      </c>
      <c r="AE260" s="1">
        <f t="shared" ref="AE260:AE271" si="251">D260+H260+F260</f>
        <v>0</v>
      </c>
      <c r="AF260" s="11">
        <f t="shared" ref="AF260:AF271" si="252">E260+I260+G260</f>
        <v>0</v>
      </c>
      <c r="AG260" s="1">
        <f t="shared" ref="AG260:AG271" si="253">+J260</f>
        <v>0</v>
      </c>
      <c r="AH260" s="11">
        <f t="shared" ref="AH260:AH271" si="254">+K260</f>
        <v>0</v>
      </c>
      <c r="AI260" s="8">
        <f t="shared" ref="AI260:AI271" si="255">+L260</f>
        <v>0</v>
      </c>
      <c r="AJ260" s="11">
        <f t="shared" ref="AJ260:AJ271" si="256">+M260</f>
        <v>0</v>
      </c>
      <c r="AK260" s="8">
        <f t="shared" ref="AK260:AK271" si="257">+N260</f>
        <v>0</v>
      </c>
      <c r="AL260" s="11">
        <f t="shared" ref="AL260:AL271" si="258">+O260</f>
        <v>0</v>
      </c>
      <c r="AM260" s="8">
        <f t="shared" ref="AM260:AM271" si="259">+P260</f>
        <v>0</v>
      </c>
      <c r="AN260" s="11">
        <f t="shared" ref="AN260:AN271" si="260">+Q260</f>
        <v>0</v>
      </c>
      <c r="AO260" s="8">
        <f>AM260+AK260+AI260+AG260+AE260</f>
        <v>0</v>
      </c>
      <c r="AP260" s="11">
        <f t="shared" ref="AP260:AP271" si="261">AN260+AL260+AJ260+AH260+AF260</f>
        <v>0</v>
      </c>
      <c r="AQ260" s="2" t="str">
        <f t="shared" ref="AQ260:AQ271" si="262">+T260</f>
        <v>META</v>
      </c>
      <c r="AR260" s="37">
        <f t="shared" ref="AR260:AR271" si="263">+AO260-R260</f>
        <v>0</v>
      </c>
      <c r="AS260" s="37">
        <f t="shared" ref="AS260:AS271" si="264">+AP260-S260</f>
        <v>0</v>
      </c>
    </row>
    <row r="261" spans="1:45" x14ac:dyDescent="0.25">
      <c r="B261" s="2" t="s">
        <v>6</v>
      </c>
      <c r="C261" s="2">
        <v>2021</v>
      </c>
      <c r="D261" s="1"/>
      <c r="E261" s="11"/>
      <c r="F261" s="1"/>
      <c r="G261" s="11"/>
      <c r="H261" s="1"/>
      <c r="I261" s="11"/>
      <c r="J261" s="1"/>
      <c r="K261" s="11"/>
      <c r="L261" s="1"/>
      <c r="M261" s="11"/>
      <c r="N261" s="1"/>
      <c r="O261" s="11"/>
      <c r="P261" s="8">
        <v>0</v>
      </c>
      <c r="Q261" s="11">
        <v>0</v>
      </c>
      <c r="R261" s="8">
        <f t="shared" si="249"/>
        <v>0</v>
      </c>
      <c r="S261" s="11">
        <f t="shared" si="250"/>
        <v>0</v>
      </c>
      <c r="T261" s="2" t="s">
        <v>82</v>
      </c>
      <c r="X261" s="30"/>
      <c r="Y261" s="30"/>
      <c r="Z261" s="31"/>
      <c r="AA261" s="32"/>
      <c r="AC261" s="2" t="s">
        <v>6</v>
      </c>
      <c r="AD261" s="2">
        <v>2021</v>
      </c>
      <c r="AE261" s="1">
        <f t="shared" si="251"/>
        <v>0</v>
      </c>
      <c r="AF261" s="11">
        <f t="shared" si="252"/>
        <v>0</v>
      </c>
      <c r="AG261" s="1">
        <f t="shared" si="253"/>
        <v>0</v>
      </c>
      <c r="AH261" s="11">
        <f t="shared" si="254"/>
        <v>0</v>
      </c>
      <c r="AI261" s="8">
        <f t="shared" si="255"/>
        <v>0</v>
      </c>
      <c r="AJ261" s="11">
        <f t="shared" si="256"/>
        <v>0</v>
      </c>
      <c r="AK261" s="8">
        <f t="shared" si="257"/>
        <v>0</v>
      </c>
      <c r="AL261" s="11">
        <f t="shared" si="258"/>
        <v>0</v>
      </c>
      <c r="AM261" s="8">
        <f t="shared" si="259"/>
        <v>0</v>
      </c>
      <c r="AN261" s="11">
        <f t="shared" si="260"/>
        <v>0</v>
      </c>
      <c r="AO261" s="8">
        <f t="shared" ref="AO261:AO271" si="265">AM261+AK261+AI261+AG261+AE261</f>
        <v>0</v>
      </c>
      <c r="AP261" s="11">
        <f t="shared" si="261"/>
        <v>0</v>
      </c>
      <c r="AQ261" s="2" t="str">
        <f t="shared" si="262"/>
        <v>META</v>
      </c>
      <c r="AR261" s="37">
        <f t="shared" si="263"/>
        <v>0</v>
      </c>
      <c r="AS261" s="37">
        <f t="shared" si="264"/>
        <v>0</v>
      </c>
    </row>
    <row r="262" spans="1:45" x14ac:dyDescent="0.25">
      <c r="B262" s="2" t="s">
        <v>7</v>
      </c>
      <c r="C262" s="2">
        <v>2021</v>
      </c>
      <c r="D262" s="1"/>
      <c r="E262" s="11"/>
      <c r="F262" s="1"/>
      <c r="G262" s="11"/>
      <c r="H262" s="1"/>
      <c r="I262" s="11"/>
      <c r="J262" s="1"/>
      <c r="K262" s="11"/>
      <c r="L262" s="1"/>
      <c r="M262" s="11"/>
      <c r="N262" s="1"/>
      <c r="O262" s="11"/>
      <c r="P262" s="8">
        <v>0</v>
      </c>
      <c r="Q262" s="11">
        <v>0</v>
      </c>
      <c r="R262" s="8">
        <f t="shared" si="249"/>
        <v>0</v>
      </c>
      <c r="S262" s="11">
        <f t="shared" si="250"/>
        <v>0</v>
      </c>
      <c r="T262" s="2" t="s">
        <v>82</v>
      </c>
      <c r="X262" s="30"/>
      <c r="Y262" s="30"/>
      <c r="Z262" s="31"/>
      <c r="AA262" s="32"/>
      <c r="AC262" s="2" t="s">
        <v>7</v>
      </c>
      <c r="AD262" s="2">
        <v>2021</v>
      </c>
      <c r="AE262" s="1">
        <f t="shared" si="251"/>
        <v>0</v>
      </c>
      <c r="AF262" s="11">
        <f t="shared" si="252"/>
        <v>0</v>
      </c>
      <c r="AG262" s="1">
        <f t="shared" si="253"/>
        <v>0</v>
      </c>
      <c r="AH262" s="11">
        <f t="shared" si="254"/>
        <v>0</v>
      </c>
      <c r="AI262" s="8">
        <f t="shared" si="255"/>
        <v>0</v>
      </c>
      <c r="AJ262" s="11">
        <f t="shared" si="256"/>
        <v>0</v>
      </c>
      <c r="AK262" s="8">
        <f t="shared" si="257"/>
        <v>0</v>
      </c>
      <c r="AL262" s="11">
        <f t="shared" si="258"/>
        <v>0</v>
      </c>
      <c r="AM262" s="8">
        <f t="shared" si="259"/>
        <v>0</v>
      </c>
      <c r="AN262" s="11">
        <f t="shared" si="260"/>
        <v>0</v>
      </c>
      <c r="AO262" s="8">
        <f t="shared" si="265"/>
        <v>0</v>
      </c>
      <c r="AP262" s="11">
        <f t="shared" si="261"/>
        <v>0</v>
      </c>
      <c r="AQ262" s="2" t="str">
        <f t="shared" si="262"/>
        <v>META</v>
      </c>
      <c r="AR262" s="37">
        <f t="shared" si="263"/>
        <v>0</v>
      </c>
      <c r="AS262" s="37">
        <f t="shared" si="264"/>
        <v>0</v>
      </c>
    </row>
    <row r="263" spans="1:45" x14ac:dyDescent="0.25">
      <c r="B263" s="2" t="s">
        <v>8</v>
      </c>
      <c r="C263" s="2">
        <v>2021</v>
      </c>
      <c r="D263" s="1"/>
      <c r="E263" s="11"/>
      <c r="F263" s="1"/>
      <c r="G263" s="11"/>
      <c r="H263" s="1"/>
      <c r="I263" s="11"/>
      <c r="J263" s="1"/>
      <c r="K263" s="11"/>
      <c r="L263" s="1"/>
      <c r="M263" s="11"/>
      <c r="N263" s="1"/>
      <c r="O263" s="11"/>
      <c r="P263" s="8">
        <v>0</v>
      </c>
      <c r="Q263" s="11">
        <v>0</v>
      </c>
      <c r="R263" s="8">
        <f t="shared" si="249"/>
        <v>0</v>
      </c>
      <c r="S263" s="11">
        <f t="shared" si="250"/>
        <v>0</v>
      </c>
      <c r="T263" s="2" t="s">
        <v>82</v>
      </c>
      <c r="X263" s="30"/>
      <c r="Y263" s="30"/>
      <c r="Z263" s="31"/>
      <c r="AA263" s="32"/>
      <c r="AC263" s="2" t="s">
        <v>8</v>
      </c>
      <c r="AD263" s="2">
        <v>2021</v>
      </c>
      <c r="AE263" s="1">
        <f t="shared" si="251"/>
        <v>0</v>
      </c>
      <c r="AF263" s="11">
        <f t="shared" si="252"/>
        <v>0</v>
      </c>
      <c r="AG263" s="1">
        <f t="shared" si="253"/>
        <v>0</v>
      </c>
      <c r="AH263" s="11">
        <f t="shared" si="254"/>
        <v>0</v>
      </c>
      <c r="AI263" s="8">
        <f t="shared" si="255"/>
        <v>0</v>
      </c>
      <c r="AJ263" s="11">
        <f t="shared" si="256"/>
        <v>0</v>
      </c>
      <c r="AK263" s="8">
        <f t="shared" si="257"/>
        <v>0</v>
      </c>
      <c r="AL263" s="11">
        <f t="shared" si="258"/>
        <v>0</v>
      </c>
      <c r="AM263" s="8">
        <f t="shared" si="259"/>
        <v>0</v>
      </c>
      <c r="AN263" s="11">
        <f t="shared" si="260"/>
        <v>0</v>
      </c>
      <c r="AO263" s="8">
        <f t="shared" si="265"/>
        <v>0</v>
      </c>
      <c r="AP263" s="11">
        <f t="shared" si="261"/>
        <v>0</v>
      </c>
      <c r="AQ263" s="2" t="str">
        <f t="shared" si="262"/>
        <v>META</v>
      </c>
      <c r="AR263" s="37">
        <f t="shared" si="263"/>
        <v>0</v>
      </c>
      <c r="AS263" s="37">
        <f t="shared" si="264"/>
        <v>0</v>
      </c>
    </row>
    <row r="264" spans="1:45" x14ac:dyDescent="0.25">
      <c r="B264" s="2" t="s">
        <v>9</v>
      </c>
      <c r="C264" s="2">
        <v>2021</v>
      </c>
      <c r="D264" s="1"/>
      <c r="E264" s="11"/>
      <c r="F264" s="1"/>
      <c r="G264" s="11"/>
      <c r="H264" s="1"/>
      <c r="I264" s="11"/>
      <c r="J264" s="1"/>
      <c r="K264" s="11"/>
      <c r="L264" s="1"/>
      <c r="M264" s="11"/>
      <c r="N264" s="1"/>
      <c r="O264" s="11"/>
      <c r="P264" s="8">
        <v>0</v>
      </c>
      <c r="Q264" s="11">
        <v>0</v>
      </c>
      <c r="R264" s="8">
        <f t="shared" si="249"/>
        <v>0</v>
      </c>
      <c r="S264" s="11">
        <f t="shared" si="250"/>
        <v>0</v>
      </c>
      <c r="T264" s="2" t="s">
        <v>82</v>
      </c>
      <c r="X264" s="30"/>
      <c r="Y264" s="30"/>
      <c r="Z264" s="31"/>
      <c r="AA264" s="32"/>
      <c r="AC264" s="2" t="s">
        <v>9</v>
      </c>
      <c r="AD264" s="2">
        <v>2021</v>
      </c>
      <c r="AE264" s="1">
        <f t="shared" si="251"/>
        <v>0</v>
      </c>
      <c r="AF264" s="11">
        <f t="shared" si="252"/>
        <v>0</v>
      </c>
      <c r="AG264" s="1">
        <f t="shared" si="253"/>
        <v>0</v>
      </c>
      <c r="AH264" s="11">
        <f t="shared" si="254"/>
        <v>0</v>
      </c>
      <c r="AI264" s="8">
        <f t="shared" si="255"/>
        <v>0</v>
      </c>
      <c r="AJ264" s="11">
        <f t="shared" si="256"/>
        <v>0</v>
      </c>
      <c r="AK264" s="8">
        <f t="shared" si="257"/>
        <v>0</v>
      </c>
      <c r="AL264" s="11">
        <f t="shared" si="258"/>
        <v>0</v>
      </c>
      <c r="AM264" s="8">
        <f t="shared" si="259"/>
        <v>0</v>
      </c>
      <c r="AN264" s="11">
        <f t="shared" si="260"/>
        <v>0</v>
      </c>
      <c r="AO264" s="8">
        <f t="shared" si="265"/>
        <v>0</v>
      </c>
      <c r="AP264" s="11">
        <f t="shared" si="261"/>
        <v>0</v>
      </c>
      <c r="AQ264" s="2" t="str">
        <f t="shared" si="262"/>
        <v>META</v>
      </c>
      <c r="AR264" s="37">
        <f t="shared" si="263"/>
        <v>0</v>
      </c>
      <c r="AS264" s="37">
        <f t="shared" si="264"/>
        <v>0</v>
      </c>
    </row>
    <row r="265" spans="1:45" x14ac:dyDescent="0.25">
      <c r="B265" s="2" t="s">
        <v>10</v>
      </c>
      <c r="C265" s="2">
        <v>2021</v>
      </c>
      <c r="D265" s="1">
        <v>1258</v>
      </c>
      <c r="E265" s="11">
        <v>149747</v>
      </c>
      <c r="F265" s="1">
        <v>455</v>
      </c>
      <c r="G265" s="11">
        <v>54373</v>
      </c>
      <c r="H265" s="1">
        <v>160</v>
      </c>
      <c r="I265" s="11">
        <v>24741</v>
      </c>
      <c r="J265" s="1">
        <v>60613</v>
      </c>
      <c r="K265" s="11">
        <v>9685007</v>
      </c>
      <c r="L265" s="1">
        <v>3307</v>
      </c>
      <c r="M265" s="11">
        <v>519075</v>
      </c>
      <c r="N265" s="1">
        <v>1054</v>
      </c>
      <c r="O265" s="11">
        <v>207400</v>
      </c>
      <c r="P265" s="8">
        <v>0</v>
      </c>
      <c r="Q265" s="11">
        <v>0</v>
      </c>
      <c r="R265" s="8">
        <f t="shared" si="249"/>
        <v>66847</v>
      </c>
      <c r="S265" s="11">
        <f t="shared" si="250"/>
        <v>10640343</v>
      </c>
      <c r="T265" s="2" t="s">
        <v>82</v>
      </c>
      <c r="X265" s="30">
        <v>40691.980000000003</v>
      </c>
      <c r="Y265" s="30">
        <f>+X244/J244</f>
        <v>0.6612720167969206</v>
      </c>
      <c r="Z265" s="31">
        <v>69546.634999999995</v>
      </c>
      <c r="AA265" s="32">
        <f t="shared" ref="AA265:AA271" si="266">+Z265/K265</f>
        <v>7.1808554191029493E-3</v>
      </c>
      <c r="AC265" s="2" t="s">
        <v>10</v>
      </c>
      <c r="AD265" s="2">
        <v>2021</v>
      </c>
      <c r="AE265" s="1">
        <f t="shared" si="251"/>
        <v>1873</v>
      </c>
      <c r="AF265" s="11">
        <f t="shared" si="252"/>
        <v>228861</v>
      </c>
      <c r="AG265" s="1">
        <f t="shared" si="253"/>
        <v>60613</v>
      </c>
      <c r="AH265" s="11">
        <f t="shared" si="254"/>
        <v>9685007</v>
      </c>
      <c r="AI265" s="8">
        <f t="shared" si="255"/>
        <v>3307</v>
      </c>
      <c r="AJ265" s="11">
        <f t="shared" si="256"/>
        <v>519075</v>
      </c>
      <c r="AK265" s="8">
        <f t="shared" si="257"/>
        <v>1054</v>
      </c>
      <c r="AL265" s="11">
        <f t="shared" si="258"/>
        <v>207400</v>
      </c>
      <c r="AM265" s="8">
        <f t="shared" si="259"/>
        <v>0</v>
      </c>
      <c r="AN265" s="11">
        <f t="shared" si="260"/>
        <v>0</v>
      </c>
      <c r="AO265" s="8">
        <f t="shared" si="265"/>
        <v>66847</v>
      </c>
      <c r="AP265" s="11">
        <f t="shared" si="261"/>
        <v>10640343</v>
      </c>
      <c r="AQ265" s="2" t="str">
        <f t="shared" si="262"/>
        <v>META</v>
      </c>
      <c r="AR265" s="37">
        <f t="shared" si="263"/>
        <v>0</v>
      </c>
      <c r="AS265" s="37">
        <f t="shared" si="264"/>
        <v>0</v>
      </c>
    </row>
    <row r="266" spans="1:45" x14ac:dyDescent="0.25">
      <c r="B266" s="2" t="s">
        <v>11</v>
      </c>
      <c r="C266" s="2">
        <v>2021</v>
      </c>
      <c r="D266" s="1">
        <v>1346</v>
      </c>
      <c r="E266" s="11">
        <v>142996</v>
      </c>
      <c r="F266" s="1">
        <v>406</v>
      </c>
      <c r="G266" s="11">
        <v>48672</v>
      </c>
      <c r="H266" s="1">
        <v>151</v>
      </c>
      <c r="I266" s="11">
        <v>20909</v>
      </c>
      <c r="J266" s="1">
        <v>63465</v>
      </c>
      <c r="K266" s="11">
        <v>10330397</v>
      </c>
      <c r="L266" s="1">
        <v>3241</v>
      </c>
      <c r="M266" s="11">
        <v>537546</v>
      </c>
      <c r="N266" s="1">
        <v>1199</v>
      </c>
      <c r="O266" s="11">
        <v>240417</v>
      </c>
      <c r="P266" s="8">
        <v>0</v>
      </c>
      <c r="Q266" s="11">
        <v>0</v>
      </c>
      <c r="R266" s="8">
        <f t="shared" si="249"/>
        <v>69808</v>
      </c>
      <c r="S266" s="11">
        <f t="shared" si="250"/>
        <v>11320937</v>
      </c>
      <c r="T266" s="2" t="s">
        <v>82</v>
      </c>
      <c r="X266" s="30">
        <v>42296.49</v>
      </c>
      <c r="Y266" s="30">
        <f t="shared" ref="Y266:Y271" si="267">+X245/J245</f>
        <v>0.65580017634740451</v>
      </c>
      <c r="Z266" s="31">
        <v>75180.73</v>
      </c>
      <c r="AA266" s="32">
        <f t="shared" si="266"/>
        <v>7.2776225347389841E-3</v>
      </c>
      <c r="AC266" s="2" t="s">
        <v>11</v>
      </c>
      <c r="AD266" s="2">
        <v>2021</v>
      </c>
      <c r="AE266" s="1">
        <f t="shared" si="251"/>
        <v>1903</v>
      </c>
      <c r="AF266" s="11">
        <f t="shared" si="252"/>
        <v>212577</v>
      </c>
      <c r="AG266" s="1">
        <f t="shared" si="253"/>
        <v>63465</v>
      </c>
      <c r="AH266" s="11">
        <f t="shared" si="254"/>
        <v>10330397</v>
      </c>
      <c r="AI266" s="8">
        <f t="shared" si="255"/>
        <v>3241</v>
      </c>
      <c r="AJ266" s="11">
        <f t="shared" si="256"/>
        <v>537546</v>
      </c>
      <c r="AK266" s="8">
        <f t="shared" si="257"/>
        <v>1199</v>
      </c>
      <c r="AL266" s="11">
        <f t="shared" si="258"/>
        <v>240417</v>
      </c>
      <c r="AM266" s="8">
        <f t="shared" si="259"/>
        <v>0</v>
      </c>
      <c r="AN266" s="11">
        <f t="shared" si="260"/>
        <v>0</v>
      </c>
      <c r="AO266" s="8">
        <f t="shared" si="265"/>
        <v>69808</v>
      </c>
      <c r="AP266" s="11">
        <f t="shared" si="261"/>
        <v>11320937</v>
      </c>
      <c r="AQ266" s="2" t="str">
        <f t="shared" si="262"/>
        <v>META</v>
      </c>
      <c r="AR266" s="37">
        <f t="shared" si="263"/>
        <v>0</v>
      </c>
      <c r="AS266" s="37">
        <f t="shared" si="264"/>
        <v>0</v>
      </c>
    </row>
    <row r="267" spans="1:45" x14ac:dyDescent="0.25">
      <c r="B267" s="2" t="s">
        <v>4</v>
      </c>
      <c r="C267" s="2">
        <v>2021</v>
      </c>
      <c r="D267" s="1">
        <v>1215</v>
      </c>
      <c r="E267" s="11">
        <v>129114</v>
      </c>
      <c r="F267" s="1">
        <v>377</v>
      </c>
      <c r="G267" s="11">
        <v>43621</v>
      </c>
      <c r="H267" s="1">
        <v>115</v>
      </c>
      <c r="I267" s="11">
        <v>15088</v>
      </c>
      <c r="J267" s="1">
        <v>62681</v>
      </c>
      <c r="K267" s="11">
        <v>10479918</v>
      </c>
      <c r="L267" s="1">
        <v>3136</v>
      </c>
      <c r="M267" s="11">
        <v>525405</v>
      </c>
      <c r="N267" s="1">
        <v>1391</v>
      </c>
      <c r="O267" s="11">
        <v>292357</v>
      </c>
      <c r="P267" s="8">
        <v>0</v>
      </c>
      <c r="Q267" s="11">
        <v>0</v>
      </c>
      <c r="R267" s="47">
        <f t="shared" si="249"/>
        <v>68915</v>
      </c>
      <c r="S267" s="48">
        <f t="shared" si="250"/>
        <v>11485503</v>
      </c>
      <c r="T267" s="2" t="s">
        <v>82</v>
      </c>
      <c r="U267" s="38"/>
      <c r="X267" s="30">
        <v>41847.700000000004</v>
      </c>
      <c r="Y267" s="30">
        <f t="shared" si="267"/>
        <v>0.66418828475026281</v>
      </c>
      <c r="Z267" s="31">
        <v>76116.067500000005</v>
      </c>
      <c r="AA267" s="32">
        <f t="shared" si="266"/>
        <v>7.263040369208996E-3</v>
      </c>
      <c r="AC267" s="2" t="s">
        <v>4</v>
      </c>
      <c r="AD267" s="2">
        <v>2021</v>
      </c>
      <c r="AE267" s="1">
        <f t="shared" si="251"/>
        <v>1707</v>
      </c>
      <c r="AF267" s="11">
        <f t="shared" si="252"/>
        <v>187823</v>
      </c>
      <c r="AG267" s="1">
        <f t="shared" si="253"/>
        <v>62681</v>
      </c>
      <c r="AH267" s="11">
        <f t="shared" si="254"/>
        <v>10479918</v>
      </c>
      <c r="AI267" s="8">
        <f t="shared" si="255"/>
        <v>3136</v>
      </c>
      <c r="AJ267" s="11">
        <f t="shared" si="256"/>
        <v>525405</v>
      </c>
      <c r="AK267" s="8">
        <f t="shared" si="257"/>
        <v>1391</v>
      </c>
      <c r="AL267" s="11">
        <f t="shared" si="258"/>
        <v>292357</v>
      </c>
      <c r="AM267" s="8">
        <f t="shared" si="259"/>
        <v>0</v>
      </c>
      <c r="AN267" s="11">
        <f t="shared" si="260"/>
        <v>0</v>
      </c>
      <c r="AO267" s="8">
        <f t="shared" si="265"/>
        <v>68915</v>
      </c>
      <c r="AP267" s="11">
        <f t="shared" si="261"/>
        <v>11485503</v>
      </c>
      <c r="AQ267" s="2" t="str">
        <f t="shared" si="262"/>
        <v>META</v>
      </c>
      <c r="AR267" s="37">
        <f t="shared" si="263"/>
        <v>0</v>
      </c>
      <c r="AS267" s="37">
        <f t="shared" si="264"/>
        <v>0</v>
      </c>
    </row>
    <row r="268" spans="1:45" x14ac:dyDescent="0.25">
      <c r="B268" s="2" t="s">
        <v>28</v>
      </c>
      <c r="C268" s="2">
        <v>2021</v>
      </c>
      <c r="D268" s="1">
        <v>1198</v>
      </c>
      <c r="E268" s="11">
        <v>135983</v>
      </c>
      <c r="F268" s="1">
        <v>438</v>
      </c>
      <c r="G268" s="11">
        <v>53932</v>
      </c>
      <c r="H268" s="1">
        <v>214</v>
      </c>
      <c r="I268" s="11">
        <v>39505</v>
      </c>
      <c r="J268" s="1">
        <v>64758</v>
      </c>
      <c r="K268" s="11">
        <v>11040378</v>
      </c>
      <c r="L268" s="1">
        <v>3104</v>
      </c>
      <c r="M268" s="11">
        <v>524717</v>
      </c>
      <c r="N268" s="1">
        <v>1670</v>
      </c>
      <c r="O268" s="11">
        <v>352112</v>
      </c>
      <c r="P268" s="8">
        <v>0</v>
      </c>
      <c r="Q268" s="11">
        <v>0</v>
      </c>
      <c r="R268" s="47">
        <f t="shared" si="249"/>
        <v>71382</v>
      </c>
      <c r="S268" s="48">
        <f t="shared" si="250"/>
        <v>12146627</v>
      </c>
      <c r="T268" s="2" t="s">
        <v>82</v>
      </c>
      <c r="X268" s="30">
        <v>43480.63</v>
      </c>
      <c r="Y268" s="30">
        <f t="shared" si="267"/>
        <v>0.6608302328053578</v>
      </c>
      <c r="Z268" s="31">
        <v>78711.789999999994</v>
      </c>
      <c r="AA268" s="32">
        <f t="shared" si="266"/>
        <v>7.1294470171220578E-3</v>
      </c>
      <c r="AC268" s="2" t="s">
        <v>28</v>
      </c>
      <c r="AD268" s="2">
        <v>2021</v>
      </c>
      <c r="AE268" s="1">
        <f t="shared" si="251"/>
        <v>1850</v>
      </c>
      <c r="AF268" s="11">
        <f t="shared" si="252"/>
        <v>229420</v>
      </c>
      <c r="AG268" s="1">
        <f t="shared" si="253"/>
        <v>64758</v>
      </c>
      <c r="AH268" s="11">
        <f t="shared" si="254"/>
        <v>11040378</v>
      </c>
      <c r="AI268" s="8">
        <f t="shared" si="255"/>
        <v>3104</v>
      </c>
      <c r="AJ268" s="11">
        <f t="shared" si="256"/>
        <v>524717</v>
      </c>
      <c r="AK268" s="8">
        <f t="shared" si="257"/>
        <v>1670</v>
      </c>
      <c r="AL268" s="11">
        <f t="shared" si="258"/>
        <v>352112</v>
      </c>
      <c r="AM268" s="8">
        <f t="shared" si="259"/>
        <v>0</v>
      </c>
      <c r="AN268" s="11">
        <f t="shared" si="260"/>
        <v>0</v>
      </c>
      <c r="AO268" s="8">
        <f t="shared" si="265"/>
        <v>71382</v>
      </c>
      <c r="AP268" s="11">
        <f t="shared" si="261"/>
        <v>12146627</v>
      </c>
      <c r="AQ268" s="2" t="str">
        <f t="shared" si="262"/>
        <v>META</v>
      </c>
      <c r="AR268" s="37">
        <f t="shared" si="263"/>
        <v>0</v>
      </c>
      <c r="AS268" s="37">
        <f t="shared" si="264"/>
        <v>0</v>
      </c>
    </row>
    <row r="269" spans="1:45" x14ac:dyDescent="0.25">
      <c r="B269" s="2" t="s">
        <v>29</v>
      </c>
      <c r="C269" s="2">
        <v>2021</v>
      </c>
      <c r="D269" s="1">
        <v>1458</v>
      </c>
      <c r="E269" s="11">
        <v>166336</v>
      </c>
      <c r="F269" s="1">
        <v>434</v>
      </c>
      <c r="G269" s="11">
        <v>53449</v>
      </c>
      <c r="H269" s="1">
        <v>267</v>
      </c>
      <c r="I269" s="11">
        <v>44731</v>
      </c>
      <c r="J269" s="1">
        <v>64855</v>
      </c>
      <c r="K269" s="11">
        <v>10847199</v>
      </c>
      <c r="L269" s="1">
        <v>2734</v>
      </c>
      <c r="M269" s="11">
        <v>442056</v>
      </c>
      <c r="N269" s="1">
        <v>1509</v>
      </c>
      <c r="O269" s="11">
        <v>309692</v>
      </c>
      <c r="P269" s="8">
        <v>0</v>
      </c>
      <c r="Q269" s="11">
        <v>0</v>
      </c>
      <c r="R269" s="47">
        <f t="shared" si="249"/>
        <v>71257</v>
      </c>
      <c r="S269" s="48">
        <f t="shared" si="250"/>
        <v>11863463</v>
      </c>
      <c r="T269" s="2" t="s">
        <v>82</v>
      </c>
      <c r="X269" s="30">
        <v>43098.98</v>
      </c>
      <c r="Y269" s="30">
        <f t="shared" si="267"/>
        <v>0.64876759403097495</v>
      </c>
      <c r="Z269" s="31">
        <v>79461.877500000002</v>
      </c>
      <c r="AA269" s="32">
        <f t="shared" si="266"/>
        <v>7.3255664895610379E-3</v>
      </c>
      <c r="AC269" s="2" t="s">
        <v>29</v>
      </c>
      <c r="AD269" s="2">
        <v>2021</v>
      </c>
      <c r="AE269" s="1">
        <f t="shared" si="251"/>
        <v>2159</v>
      </c>
      <c r="AF269" s="11">
        <f t="shared" si="252"/>
        <v>264516</v>
      </c>
      <c r="AG269" s="1">
        <f t="shared" si="253"/>
        <v>64855</v>
      </c>
      <c r="AH269" s="11">
        <f t="shared" si="254"/>
        <v>10847199</v>
      </c>
      <c r="AI269" s="8">
        <f t="shared" si="255"/>
        <v>2734</v>
      </c>
      <c r="AJ269" s="11">
        <f t="shared" si="256"/>
        <v>442056</v>
      </c>
      <c r="AK269" s="8">
        <f t="shared" si="257"/>
        <v>1509</v>
      </c>
      <c r="AL269" s="11">
        <f t="shared" si="258"/>
        <v>309692</v>
      </c>
      <c r="AM269" s="8">
        <f t="shared" si="259"/>
        <v>0</v>
      </c>
      <c r="AN269" s="11">
        <f t="shared" si="260"/>
        <v>0</v>
      </c>
      <c r="AO269" s="8">
        <f t="shared" si="265"/>
        <v>71257</v>
      </c>
      <c r="AP269" s="11">
        <f t="shared" si="261"/>
        <v>11863463</v>
      </c>
      <c r="AQ269" s="2" t="str">
        <f t="shared" si="262"/>
        <v>META</v>
      </c>
      <c r="AR269" s="37">
        <f t="shared" si="263"/>
        <v>0</v>
      </c>
      <c r="AS269" s="37">
        <f t="shared" si="264"/>
        <v>0</v>
      </c>
    </row>
    <row r="270" spans="1:45" x14ac:dyDescent="0.25">
      <c r="B270" s="2" t="s">
        <v>30</v>
      </c>
      <c r="C270" s="2">
        <v>2021</v>
      </c>
      <c r="D270" s="1">
        <v>1494</v>
      </c>
      <c r="E270" s="11">
        <v>174519</v>
      </c>
      <c r="F270" s="1">
        <v>366</v>
      </c>
      <c r="G270" s="11">
        <v>43087</v>
      </c>
      <c r="H270" s="1">
        <v>407</v>
      </c>
      <c r="I270" s="11">
        <v>69268</v>
      </c>
      <c r="J270" s="1">
        <v>61296</v>
      </c>
      <c r="K270" s="11">
        <v>10054823</v>
      </c>
      <c r="L270" s="1">
        <v>2746</v>
      </c>
      <c r="M270" s="11">
        <v>439665</v>
      </c>
      <c r="N270" s="1">
        <v>1440</v>
      </c>
      <c r="O270" s="11">
        <v>290583</v>
      </c>
      <c r="P270" s="8">
        <v>0</v>
      </c>
      <c r="Q270" s="11">
        <v>0</v>
      </c>
      <c r="R270" s="47">
        <f t="shared" si="249"/>
        <v>67749</v>
      </c>
      <c r="S270" s="48">
        <f t="shared" si="250"/>
        <v>11071945</v>
      </c>
      <c r="T270" s="2" t="s">
        <v>82</v>
      </c>
      <c r="X270" s="30">
        <v>40628.910000000003</v>
      </c>
      <c r="Y270" s="30">
        <f t="shared" si="267"/>
        <v>0.6334594319195006</v>
      </c>
      <c r="Z270" s="31">
        <v>73789.039999999994</v>
      </c>
      <c r="AA270" s="32">
        <f t="shared" si="266"/>
        <v>7.3386712028645348E-3</v>
      </c>
      <c r="AC270" s="2" t="s">
        <v>30</v>
      </c>
      <c r="AD270" s="2">
        <v>2021</v>
      </c>
      <c r="AE270" s="1">
        <f t="shared" si="251"/>
        <v>2267</v>
      </c>
      <c r="AF270" s="11">
        <f t="shared" si="252"/>
        <v>286874</v>
      </c>
      <c r="AG270" s="1">
        <f t="shared" si="253"/>
        <v>61296</v>
      </c>
      <c r="AH270" s="11">
        <f t="shared" si="254"/>
        <v>10054823</v>
      </c>
      <c r="AI270" s="8">
        <f t="shared" si="255"/>
        <v>2746</v>
      </c>
      <c r="AJ270" s="11">
        <f t="shared" si="256"/>
        <v>439665</v>
      </c>
      <c r="AK270" s="8">
        <f t="shared" si="257"/>
        <v>1440</v>
      </c>
      <c r="AL270" s="11">
        <f t="shared" si="258"/>
        <v>290583</v>
      </c>
      <c r="AM270" s="8">
        <f t="shared" si="259"/>
        <v>0</v>
      </c>
      <c r="AN270" s="11">
        <f t="shared" si="260"/>
        <v>0</v>
      </c>
      <c r="AO270" s="8">
        <f t="shared" si="265"/>
        <v>67749</v>
      </c>
      <c r="AP270" s="11">
        <f t="shared" si="261"/>
        <v>11071945</v>
      </c>
      <c r="AQ270" s="2" t="str">
        <f t="shared" si="262"/>
        <v>META</v>
      </c>
      <c r="AR270" s="37">
        <f t="shared" si="263"/>
        <v>0</v>
      </c>
      <c r="AS270" s="37">
        <f t="shared" si="264"/>
        <v>0</v>
      </c>
    </row>
    <row r="271" spans="1:45" x14ac:dyDescent="0.25">
      <c r="B271" s="2" t="s">
        <v>31</v>
      </c>
      <c r="C271" s="2">
        <v>2021</v>
      </c>
      <c r="D271" s="1">
        <v>1694</v>
      </c>
      <c r="E271" s="11">
        <v>185189</v>
      </c>
      <c r="F271" s="1">
        <v>465</v>
      </c>
      <c r="G271" s="11">
        <v>58495</v>
      </c>
      <c r="H271" s="1">
        <v>444</v>
      </c>
      <c r="I271" s="11">
        <v>76839</v>
      </c>
      <c r="J271" s="1">
        <v>61768</v>
      </c>
      <c r="K271" s="11">
        <v>10024077</v>
      </c>
      <c r="L271" s="1">
        <v>2731</v>
      </c>
      <c r="M271" s="11">
        <v>444029</v>
      </c>
      <c r="N271" s="1">
        <v>1355</v>
      </c>
      <c r="O271" s="11">
        <v>274236</v>
      </c>
      <c r="P271" s="8">
        <v>0</v>
      </c>
      <c r="Q271" s="11">
        <v>0</v>
      </c>
      <c r="R271" s="50">
        <f t="shared" si="249"/>
        <v>68457</v>
      </c>
      <c r="S271" s="51">
        <f t="shared" si="250"/>
        <v>11062865</v>
      </c>
      <c r="T271" s="2" t="s">
        <v>82</v>
      </c>
      <c r="X271" s="30">
        <v>41004.35</v>
      </c>
      <c r="Y271" s="30">
        <f t="shared" si="267"/>
        <v>0.61947469623205009</v>
      </c>
      <c r="Z271" s="31">
        <v>72090.819999999992</v>
      </c>
      <c r="AA271" s="32">
        <f t="shared" si="266"/>
        <v>7.1917663840770571E-3</v>
      </c>
      <c r="AC271" s="2" t="s">
        <v>31</v>
      </c>
      <c r="AD271" s="2">
        <v>2021</v>
      </c>
      <c r="AE271" s="1">
        <f t="shared" si="251"/>
        <v>2603</v>
      </c>
      <c r="AF271" s="11">
        <f t="shared" si="252"/>
        <v>320523</v>
      </c>
      <c r="AG271" s="1">
        <f t="shared" si="253"/>
        <v>61768</v>
      </c>
      <c r="AH271" s="11">
        <f t="shared" si="254"/>
        <v>10024077</v>
      </c>
      <c r="AI271" s="8">
        <f t="shared" si="255"/>
        <v>2731</v>
      </c>
      <c r="AJ271" s="11">
        <f t="shared" si="256"/>
        <v>444029</v>
      </c>
      <c r="AK271" s="8">
        <f t="shared" si="257"/>
        <v>1355</v>
      </c>
      <c r="AL271" s="11">
        <f t="shared" si="258"/>
        <v>274236</v>
      </c>
      <c r="AM271" s="8">
        <f t="shared" si="259"/>
        <v>0</v>
      </c>
      <c r="AN271" s="11">
        <f t="shared" si="260"/>
        <v>0</v>
      </c>
      <c r="AO271" s="8">
        <f t="shared" si="265"/>
        <v>68457</v>
      </c>
      <c r="AP271" s="11">
        <f t="shared" si="261"/>
        <v>11062865</v>
      </c>
      <c r="AQ271" s="2" t="str">
        <f t="shared" si="262"/>
        <v>META</v>
      </c>
      <c r="AR271" s="37">
        <f t="shared" si="263"/>
        <v>0</v>
      </c>
      <c r="AS271" s="37">
        <f t="shared" si="264"/>
        <v>0</v>
      </c>
    </row>
    <row r="272" spans="1:45" x14ac:dyDescent="0.25">
      <c r="AF272" s="9"/>
      <c r="AH272" s="9"/>
      <c r="AJ272" s="9"/>
      <c r="AL272" s="9"/>
      <c r="AM272" s="9"/>
      <c r="AN272" s="9"/>
      <c r="AP272" s="9"/>
    </row>
    <row r="273" spans="1:57" x14ac:dyDescent="0.25">
      <c r="B273" s="3" t="s">
        <v>12</v>
      </c>
      <c r="C273" s="3"/>
      <c r="D273" s="4">
        <f t="shared" ref="D273:S273" si="268">SUM(D260:D272)</f>
        <v>9663</v>
      </c>
      <c r="E273" s="12">
        <f t="shared" si="268"/>
        <v>1083884</v>
      </c>
      <c r="F273" s="4">
        <f t="shared" si="268"/>
        <v>2941</v>
      </c>
      <c r="G273" s="12">
        <f t="shared" si="268"/>
        <v>355629</v>
      </c>
      <c r="H273" s="4">
        <f t="shared" si="268"/>
        <v>1758</v>
      </c>
      <c r="I273" s="12">
        <f t="shared" si="268"/>
        <v>291081</v>
      </c>
      <c r="J273" s="4">
        <f t="shared" si="268"/>
        <v>439436</v>
      </c>
      <c r="K273" s="12">
        <f t="shared" si="268"/>
        <v>72461799</v>
      </c>
      <c r="L273" s="4">
        <f t="shared" si="268"/>
        <v>20999</v>
      </c>
      <c r="M273" s="12">
        <f t="shared" si="268"/>
        <v>3432493</v>
      </c>
      <c r="N273" s="4">
        <f t="shared" si="268"/>
        <v>9618</v>
      </c>
      <c r="O273" s="12">
        <f t="shared" si="268"/>
        <v>1966797</v>
      </c>
      <c r="P273" s="4">
        <f t="shared" si="268"/>
        <v>0</v>
      </c>
      <c r="Q273" s="12">
        <f t="shared" si="268"/>
        <v>0</v>
      </c>
      <c r="R273" s="4">
        <f t="shared" si="268"/>
        <v>484415</v>
      </c>
      <c r="S273" s="12">
        <f t="shared" si="268"/>
        <v>79591683</v>
      </c>
      <c r="X273" s="12">
        <f>AVERAGE(X260:X272)</f>
        <v>41864.148571428574</v>
      </c>
      <c r="Y273" s="12">
        <f t="shared" ref="Y273:AA273" si="269">AVERAGE(Y260:Y272)</f>
        <v>0.64911320469749589</v>
      </c>
      <c r="Z273" s="12">
        <f t="shared" si="269"/>
        <v>74985.279999999999</v>
      </c>
      <c r="AA273" s="16">
        <f t="shared" si="269"/>
        <v>7.2438527738108022E-3</v>
      </c>
      <c r="AC273" s="3" t="s">
        <v>12</v>
      </c>
      <c r="AD273" s="3"/>
      <c r="AE273" s="4">
        <f t="shared" ref="AE273:AP273" si="270">SUM(AE260:AE272)</f>
        <v>14362</v>
      </c>
      <c r="AF273" s="12">
        <f t="shared" si="270"/>
        <v>1730594</v>
      </c>
      <c r="AG273" s="4">
        <f t="shared" si="270"/>
        <v>439436</v>
      </c>
      <c r="AH273" s="12">
        <f t="shared" si="270"/>
        <v>72461799</v>
      </c>
      <c r="AI273" s="4">
        <f t="shared" si="270"/>
        <v>20999</v>
      </c>
      <c r="AJ273" s="12">
        <f t="shared" si="270"/>
        <v>3432493</v>
      </c>
      <c r="AK273" s="4">
        <f t="shared" si="270"/>
        <v>9618</v>
      </c>
      <c r="AL273" s="12">
        <f t="shared" si="270"/>
        <v>1966797</v>
      </c>
      <c r="AM273" s="4">
        <f t="shared" si="270"/>
        <v>0</v>
      </c>
      <c r="AN273" s="12">
        <f t="shared" si="270"/>
        <v>0</v>
      </c>
      <c r="AO273" s="4">
        <f t="shared" si="270"/>
        <v>484415</v>
      </c>
      <c r="AP273" s="12">
        <f t="shared" si="270"/>
        <v>79591683</v>
      </c>
    </row>
    <row r="274" spans="1:57" x14ac:dyDescent="0.25">
      <c r="J274" s="46" t="str">
        <f>+$B$255</f>
        <v>Aforo e Ingreso - META</v>
      </c>
      <c r="K274" s="9" t="s">
        <v>84</v>
      </c>
      <c r="L274" s="15">
        <f>AVERAGE(L265:L271)</f>
        <v>2999.8571428571427</v>
      </c>
      <c r="M274" s="28">
        <f>AVERAGE(M265:M271)</f>
        <v>490356.14285714284</v>
      </c>
      <c r="R274" s="15">
        <f>AVERAGE(R265:R271)</f>
        <v>69202.142857142855</v>
      </c>
      <c r="S274" s="28">
        <f>AVERAGE(S265:S271)</f>
        <v>11370240.428571429</v>
      </c>
      <c r="T274" s="29"/>
    </row>
    <row r="275" spans="1:57" x14ac:dyDescent="0.25">
      <c r="B275" s="5" t="s">
        <v>14</v>
      </c>
      <c r="J275" s="46" t="str">
        <f>+$B$255</f>
        <v>Aforo e Ingreso - META</v>
      </c>
      <c r="K275" s="9" t="s">
        <v>85</v>
      </c>
      <c r="L275" s="44">
        <f>+L274/$L$295</f>
        <v>9.7866399245647145E-3</v>
      </c>
      <c r="M275" s="44">
        <f>+M274/$M$295</f>
        <v>1.2765664001752601E-2</v>
      </c>
      <c r="R275" s="44">
        <f>+L274/R274</f>
        <v>4.334919438910851E-2</v>
      </c>
      <c r="S275" s="44">
        <f>+M274/S274</f>
        <v>4.3126277402627602E-2</v>
      </c>
    </row>
    <row r="276" spans="1:57" x14ac:dyDescent="0.25">
      <c r="B276" s="5" t="s">
        <v>33</v>
      </c>
      <c r="M276" s="26"/>
    </row>
    <row r="277" spans="1:57" x14ac:dyDescent="0.25">
      <c r="B277" s="5"/>
    </row>
    <row r="278" spans="1:57" x14ac:dyDescent="0.25">
      <c r="D278" s="89" t="s">
        <v>15</v>
      </c>
      <c r="E278" s="90"/>
      <c r="F278" s="89" t="s">
        <v>15</v>
      </c>
      <c r="G278" s="90"/>
      <c r="H278" s="89" t="s">
        <v>16</v>
      </c>
      <c r="I278" s="90"/>
      <c r="J278" s="89" t="s">
        <v>17</v>
      </c>
      <c r="K278" s="93"/>
      <c r="L278" s="89" t="s">
        <v>18</v>
      </c>
      <c r="M278" s="93"/>
      <c r="N278" s="89" t="s">
        <v>13</v>
      </c>
      <c r="O278" s="93"/>
      <c r="P278" s="89" t="s">
        <v>34</v>
      </c>
      <c r="Q278" s="93"/>
      <c r="R278" s="89" t="s">
        <v>46</v>
      </c>
      <c r="S278" s="93"/>
      <c r="T278" s="89" t="s">
        <v>44</v>
      </c>
      <c r="U278" s="93"/>
      <c r="AE278" s="89" t="s">
        <v>69</v>
      </c>
      <c r="AF278" s="90"/>
      <c r="AG278" s="89" t="s">
        <v>17</v>
      </c>
      <c r="AH278" s="93"/>
      <c r="AI278" s="89" t="s">
        <v>18</v>
      </c>
      <c r="AJ278" s="93"/>
      <c r="AK278" s="89" t="s">
        <v>13</v>
      </c>
      <c r="AL278" s="93"/>
      <c r="AM278" s="89" t="s">
        <v>34</v>
      </c>
      <c r="AN278" s="93"/>
      <c r="AO278" s="89" t="s">
        <v>12</v>
      </c>
      <c r="AP278" s="93"/>
    </row>
    <row r="279" spans="1:57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AC279" s="7" t="s">
        <v>0</v>
      </c>
      <c r="AD279" s="7" t="s">
        <v>1</v>
      </c>
      <c r="AE279" s="7" t="s">
        <v>2</v>
      </c>
      <c r="AF279" s="10" t="s">
        <v>3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</row>
    <row r="280" spans="1:57" x14ac:dyDescent="0.25">
      <c r="R280" s="9"/>
      <c r="U280" s="9"/>
      <c r="AF280" s="9"/>
      <c r="AH280" s="9"/>
      <c r="AJ280" s="9"/>
      <c r="AL280" s="9"/>
      <c r="AM280" s="9"/>
      <c r="AN280" s="9"/>
      <c r="AP280" s="9"/>
    </row>
    <row r="281" spans="1:57" x14ac:dyDescent="0.25">
      <c r="B281" s="2" t="s">
        <v>5</v>
      </c>
      <c r="C281" s="2">
        <v>2021</v>
      </c>
      <c r="D281" s="1">
        <f>+D92+D71+D50+D29+D8+D113+D134+D155+D176+D197+D218+D239+D260</f>
        <v>869165</v>
      </c>
      <c r="E281" s="1">
        <f t="shared" ref="E281:Q281" si="271">+E92+E71+E50+E29+E8+E113+E134+E155+E176+E197+E218+E239+E260</f>
        <v>40891491.079999998</v>
      </c>
      <c r="F281" s="1">
        <f t="shared" si="271"/>
        <v>478255</v>
      </c>
      <c r="G281" s="1">
        <f t="shared" si="271"/>
        <v>23329557.390000001</v>
      </c>
      <c r="H281" s="1">
        <f t="shared" si="271"/>
        <v>78181</v>
      </c>
      <c r="I281" s="1">
        <f t="shared" si="271"/>
        <v>4265834.7</v>
      </c>
      <c r="J281" s="1">
        <f t="shared" si="271"/>
        <v>4740004</v>
      </c>
      <c r="K281" s="1">
        <f t="shared" si="271"/>
        <v>364128785.74000001</v>
      </c>
      <c r="L281" s="1">
        <f t="shared" si="271"/>
        <v>386559</v>
      </c>
      <c r="M281" s="1">
        <f t="shared" si="271"/>
        <v>45124591.359999999</v>
      </c>
      <c r="N281" s="1">
        <f t="shared" si="271"/>
        <v>132125</v>
      </c>
      <c r="O281" s="1">
        <f t="shared" si="271"/>
        <v>13979456.49</v>
      </c>
      <c r="P281" s="1">
        <f t="shared" si="271"/>
        <v>0</v>
      </c>
      <c r="Q281" s="1">
        <f t="shared" si="271"/>
        <v>0</v>
      </c>
      <c r="R281" s="8">
        <f>+R113</f>
        <v>25828</v>
      </c>
      <c r="S281" s="11">
        <f>+S113</f>
        <v>1595312</v>
      </c>
      <c r="T281" s="8">
        <f>N281+L281+J281+H281+D281+P281+R281+F281</f>
        <v>6710117</v>
      </c>
      <c r="U281" s="8">
        <f t="shared" ref="U281:U292" si="272">O281+M281+K281+I281+E281+Q281+S281+G281</f>
        <v>493315028.75999999</v>
      </c>
      <c r="V281" s="2" t="s">
        <v>80</v>
      </c>
      <c r="AB281" s="13"/>
      <c r="AC281" s="2" t="s">
        <v>5</v>
      </c>
      <c r="AD281" s="2">
        <v>2021</v>
      </c>
      <c r="AE281" s="1">
        <f t="shared" ref="AE281:AE292" si="273">D281+H281+F281+R281</f>
        <v>1451429</v>
      </c>
      <c r="AF281" s="11">
        <f t="shared" ref="AF281:AF292" si="274">E281+I281+G281+S281</f>
        <v>70082195.170000002</v>
      </c>
      <c r="AG281" s="1">
        <f t="shared" ref="AG281:AG292" si="275">+J281</f>
        <v>4740004</v>
      </c>
      <c r="AH281" s="11">
        <f t="shared" ref="AH281:AH292" si="276">+K281</f>
        <v>364128785.74000001</v>
      </c>
      <c r="AI281" s="8">
        <f t="shared" ref="AI281:AI292" si="277">+L281</f>
        <v>386559</v>
      </c>
      <c r="AJ281" s="11">
        <f t="shared" ref="AJ281:AJ292" si="278">+M281</f>
        <v>45124591.359999999</v>
      </c>
      <c r="AK281" s="8">
        <f t="shared" ref="AK281:AK292" si="279">+N281</f>
        <v>132125</v>
      </c>
      <c r="AL281" s="11">
        <f t="shared" ref="AL281:AL292" si="280">+O281</f>
        <v>13979456.49</v>
      </c>
      <c r="AM281" s="8">
        <f t="shared" ref="AM281:AM292" si="281">+P281</f>
        <v>0</v>
      </c>
      <c r="AN281" s="11">
        <f t="shared" ref="AN281:AN292" si="282">+Q281</f>
        <v>0</v>
      </c>
      <c r="AO281" s="8">
        <f>AM281+AK281+AI281+AG281+AE281</f>
        <v>6710117</v>
      </c>
      <c r="AP281" s="11">
        <f t="shared" ref="AP281:AP292" si="283">AN281+AL281+AJ281+AH281+AF281</f>
        <v>493315028.76000005</v>
      </c>
      <c r="AQ281" s="2" t="s">
        <v>70</v>
      </c>
      <c r="AR281" s="37">
        <f t="shared" ref="AR281:AR292" si="284">+AO281-T281</f>
        <v>0</v>
      </c>
      <c r="AS281" s="37">
        <f t="shared" ref="AS281:AS292" si="285">+AP281-U281</f>
        <v>0</v>
      </c>
      <c r="AT281" s="13"/>
      <c r="AU281" s="40"/>
      <c r="AV281" s="40"/>
      <c r="AW281" s="13"/>
      <c r="AX281" s="40"/>
      <c r="AY281" s="40"/>
      <c r="AZ281" s="13"/>
      <c r="BA281" s="40"/>
      <c r="BB281" s="40"/>
      <c r="BD281" s="41"/>
      <c r="BE281" s="43"/>
    </row>
    <row r="282" spans="1:57" x14ac:dyDescent="0.25">
      <c r="B282" s="2" t="s">
        <v>6</v>
      </c>
      <c r="C282" s="2">
        <v>2021</v>
      </c>
      <c r="D282" s="1">
        <f t="shared" ref="D282:Q282" si="286">+D93+D72+D51+D30+D9+D114+D135+D156+D177+D198+D219+D240+D261</f>
        <v>948465</v>
      </c>
      <c r="E282" s="1">
        <f t="shared" si="286"/>
        <v>46369496.109999999</v>
      </c>
      <c r="F282" s="1">
        <f t="shared" si="286"/>
        <v>540882</v>
      </c>
      <c r="G282" s="1">
        <f t="shared" si="286"/>
        <v>27196592.950000003</v>
      </c>
      <c r="H282" s="1">
        <f t="shared" si="286"/>
        <v>81966</v>
      </c>
      <c r="I282" s="1">
        <f t="shared" si="286"/>
        <v>4764675.1100000003</v>
      </c>
      <c r="J282" s="1">
        <f t="shared" si="286"/>
        <v>5029620</v>
      </c>
      <c r="K282" s="1">
        <f t="shared" si="286"/>
        <v>404324577.92000002</v>
      </c>
      <c r="L282" s="1">
        <f t="shared" si="286"/>
        <v>363925</v>
      </c>
      <c r="M282" s="1">
        <f t="shared" si="286"/>
        <v>46722591.659999996</v>
      </c>
      <c r="N282" s="1">
        <f t="shared" si="286"/>
        <v>137339</v>
      </c>
      <c r="O282" s="1">
        <f t="shared" si="286"/>
        <v>15788989.709999999</v>
      </c>
      <c r="P282" s="1">
        <f t="shared" si="286"/>
        <v>0</v>
      </c>
      <c r="Q282" s="1">
        <f t="shared" si="286"/>
        <v>0</v>
      </c>
      <c r="R282" s="8">
        <f t="shared" ref="R282:S282" si="287">+R114</f>
        <v>32494</v>
      </c>
      <c r="S282" s="11">
        <f t="shared" si="287"/>
        <v>2187015</v>
      </c>
      <c r="T282" s="8">
        <f t="shared" ref="T282:T292" si="288">N282+L282+J282+H282+D282+P282+R282+F282</f>
        <v>7134691</v>
      </c>
      <c r="U282" s="8">
        <f t="shared" si="272"/>
        <v>547353938.46000004</v>
      </c>
      <c r="V282" s="2" t="s">
        <v>80</v>
      </c>
      <c r="AB282" s="13"/>
      <c r="AC282" s="2" t="s">
        <v>6</v>
      </c>
      <c r="AD282" s="2">
        <v>2021</v>
      </c>
      <c r="AE282" s="1">
        <f t="shared" si="273"/>
        <v>1603807</v>
      </c>
      <c r="AF282" s="11">
        <f t="shared" si="274"/>
        <v>80517779.170000002</v>
      </c>
      <c r="AG282" s="1">
        <f t="shared" si="275"/>
        <v>5029620</v>
      </c>
      <c r="AH282" s="11">
        <f t="shared" si="276"/>
        <v>404324577.92000002</v>
      </c>
      <c r="AI282" s="8">
        <f t="shared" si="277"/>
        <v>363925</v>
      </c>
      <c r="AJ282" s="11">
        <f t="shared" si="278"/>
        <v>46722591.659999996</v>
      </c>
      <c r="AK282" s="8">
        <f t="shared" si="279"/>
        <v>137339</v>
      </c>
      <c r="AL282" s="11">
        <f t="shared" si="280"/>
        <v>15788989.709999999</v>
      </c>
      <c r="AM282" s="8">
        <f t="shared" si="281"/>
        <v>0</v>
      </c>
      <c r="AN282" s="11">
        <f t="shared" si="282"/>
        <v>0</v>
      </c>
      <c r="AO282" s="8">
        <f t="shared" ref="AO282:AO292" si="289">AM282+AK282+AI282+AG282+AE282</f>
        <v>7134691</v>
      </c>
      <c r="AP282" s="11">
        <f t="shared" si="283"/>
        <v>547353938.46000004</v>
      </c>
      <c r="AQ282" s="2" t="s">
        <v>70</v>
      </c>
      <c r="AR282" s="37">
        <f t="shared" si="284"/>
        <v>0</v>
      </c>
      <c r="AS282" s="37">
        <f t="shared" si="285"/>
        <v>0</v>
      </c>
      <c r="AT282" s="13"/>
      <c r="AU282" s="40"/>
      <c r="AV282" s="40"/>
      <c r="AW282" s="13"/>
      <c r="AX282" s="40"/>
      <c r="AY282" s="40"/>
      <c r="AZ282" s="13"/>
      <c r="BA282" s="40"/>
      <c r="BB282" s="40"/>
      <c r="BD282" s="41"/>
      <c r="BE282" s="43"/>
    </row>
    <row r="283" spans="1:57" x14ac:dyDescent="0.25">
      <c r="B283" s="2" t="s">
        <v>7</v>
      </c>
      <c r="C283" s="2">
        <v>2021</v>
      </c>
      <c r="D283" s="1">
        <f t="shared" ref="D283:Q283" si="290">+D94+D73+D52+D31+D10+D115+D136+D157+D178+D199+D220+D241+D262</f>
        <v>1176169</v>
      </c>
      <c r="E283" s="1">
        <f t="shared" si="290"/>
        <v>57433972.370000005</v>
      </c>
      <c r="F283" s="1">
        <f t="shared" si="290"/>
        <v>688117</v>
      </c>
      <c r="G283" s="1">
        <f t="shared" si="290"/>
        <v>33669934.829999998</v>
      </c>
      <c r="H283" s="1">
        <f t="shared" si="290"/>
        <v>92721</v>
      </c>
      <c r="I283" s="1">
        <f t="shared" si="290"/>
        <v>5519753.2400000002</v>
      </c>
      <c r="J283" s="1">
        <f t="shared" si="290"/>
        <v>6168253</v>
      </c>
      <c r="K283" s="1">
        <f t="shared" si="290"/>
        <v>485924655.41000003</v>
      </c>
      <c r="L283" s="1">
        <f t="shared" si="290"/>
        <v>408384</v>
      </c>
      <c r="M283" s="1">
        <f t="shared" si="290"/>
        <v>52723310.32</v>
      </c>
      <c r="N283" s="1">
        <f t="shared" si="290"/>
        <v>165811</v>
      </c>
      <c r="O283" s="1">
        <f t="shared" si="290"/>
        <v>18650510.890000001</v>
      </c>
      <c r="P283" s="1">
        <f t="shared" si="290"/>
        <v>0</v>
      </c>
      <c r="Q283" s="1">
        <f t="shared" si="290"/>
        <v>0</v>
      </c>
      <c r="R283" s="8">
        <f t="shared" ref="R283:S283" si="291">+R115</f>
        <v>40662</v>
      </c>
      <c r="S283" s="11">
        <f t="shared" si="291"/>
        <v>2718932</v>
      </c>
      <c r="T283" s="8">
        <f t="shared" si="288"/>
        <v>8740117</v>
      </c>
      <c r="U283" s="8">
        <f t="shared" si="272"/>
        <v>656641069.06000006</v>
      </c>
      <c r="V283" s="2" t="s">
        <v>80</v>
      </c>
      <c r="AB283" s="13"/>
      <c r="AC283" s="2" t="s">
        <v>7</v>
      </c>
      <c r="AD283" s="2">
        <v>2021</v>
      </c>
      <c r="AE283" s="1">
        <f t="shared" si="273"/>
        <v>1997669</v>
      </c>
      <c r="AF283" s="11">
        <f t="shared" si="274"/>
        <v>99342592.439999998</v>
      </c>
      <c r="AG283" s="1">
        <f t="shared" si="275"/>
        <v>6168253</v>
      </c>
      <c r="AH283" s="11">
        <f t="shared" si="276"/>
        <v>485924655.41000003</v>
      </c>
      <c r="AI283" s="8">
        <f t="shared" si="277"/>
        <v>408384</v>
      </c>
      <c r="AJ283" s="11">
        <f t="shared" si="278"/>
        <v>52723310.32</v>
      </c>
      <c r="AK283" s="8">
        <f t="shared" si="279"/>
        <v>165811</v>
      </c>
      <c r="AL283" s="11">
        <f t="shared" si="280"/>
        <v>18650510.890000001</v>
      </c>
      <c r="AM283" s="8">
        <f t="shared" si="281"/>
        <v>0</v>
      </c>
      <c r="AN283" s="11">
        <f t="shared" si="282"/>
        <v>0</v>
      </c>
      <c r="AO283" s="8">
        <f t="shared" si="289"/>
        <v>8740117</v>
      </c>
      <c r="AP283" s="11">
        <f t="shared" si="283"/>
        <v>656641069.05999994</v>
      </c>
      <c r="AQ283" s="2" t="s">
        <v>70</v>
      </c>
      <c r="AR283" s="37">
        <f t="shared" si="284"/>
        <v>0</v>
      </c>
      <c r="AS283" s="37">
        <f t="shared" si="285"/>
        <v>0</v>
      </c>
      <c r="AT283" s="13"/>
      <c r="AU283" s="40"/>
      <c r="AV283" s="40"/>
      <c r="AW283" s="13"/>
      <c r="AX283" s="40"/>
      <c r="AY283" s="40"/>
      <c r="AZ283" s="13"/>
      <c r="BA283" s="40"/>
      <c r="BB283" s="40"/>
      <c r="BD283" s="41"/>
      <c r="BE283" s="43"/>
    </row>
    <row r="284" spans="1:57" x14ac:dyDescent="0.25">
      <c r="B284" s="2" t="s">
        <v>8</v>
      </c>
      <c r="C284" s="2">
        <v>2021</v>
      </c>
      <c r="D284" s="1">
        <f t="shared" ref="D284:Q284" si="292">+D95+D74+D53+D32+D11+D116+D137+D158+D179+D200+D221+D242+D263</f>
        <v>1105771</v>
      </c>
      <c r="E284" s="1">
        <f t="shared" si="292"/>
        <v>53909336.620000005</v>
      </c>
      <c r="F284" s="1">
        <f t="shared" si="292"/>
        <v>648155</v>
      </c>
      <c r="G284" s="1">
        <f t="shared" si="292"/>
        <v>31990736.980000004</v>
      </c>
      <c r="H284" s="1">
        <f t="shared" si="292"/>
        <v>95819</v>
      </c>
      <c r="I284" s="1">
        <f t="shared" si="292"/>
        <v>5754095.4100000001</v>
      </c>
      <c r="J284" s="1">
        <f t="shared" si="292"/>
        <v>5822157</v>
      </c>
      <c r="K284" s="1">
        <f t="shared" si="292"/>
        <v>459363597.92000002</v>
      </c>
      <c r="L284" s="1">
        <f t="shared" si="292"/>
        <v>279723</v>
      </c>
      <c r="M284" s="1">
        <f t="shared" si="292"/>
        <v>34897724.490000002</v>
      </c>
      <c r="N284" s="1">
        <f t="shared" si="292"/>
        <v>179643</v>
      </c>
      <c r="O284" s="1">
        <f t="shared" si="292"/>
        <v>20729800.380000003</v>
      </c>
      <c r="P284" s="1">
        <f t="shared" si="292"/>
        <v>0</v>
      </c>
      <c r="Q284" s="1">
        <f t="shared" si="292"/>
        <v>0</v>
      </c>
      <c r="R284" s="8">
        <f t="shared" ref="R284:S284" si="293">+R116</f>
        <v>113</v>
      </c>
      <c r="S284" s="11">
        <f t="shared" si="293"/>
        <v>10829</v>
      </c>
      <c r="T284" s="8">
        <f t="shared" si="288"/>
        <v>8131381</v>
      </c>
      <c r="U284" s="8">
        <f t="shared" si="272"/>
        <v>606656120.80000007</v>
      </c>
      <c r="V284" s="2" t="s">
        <v>80</v>
      </c>
      <c r="AB284" s="13"/>
      <c r="AC284" s="2" t="s">
        <v>8</v>
      </c>
      <c r="AD284" s="2">
        <v>2021</v>
      </c>
      <c r="AE284" s="1">
        <f t="shared" si="273"/>
        <v>1849858</v>
      </c>
      <c r="AF284" s="11">
        <f t="shared" si="274"/>
        <v>91664998.010000005</v>
      </c>
      <c r="AG284" s="1">
        <f t="shared" si="275"/>
        <v>5822157</v>
      </c>
      <c r="AH284" s="11">
        <f t="shared" si="276"/>
        <v>459363597.92000002</v>
      </c>
      <c r="AI284" s="8">
        <f t="shared" si="277"/>
        <v>279723</v>
      </c>
      <c r="AJ284" s="11">
        <f t="shared" si="278"/>
        <v>34897724.490000002</v>
      </c>
      <c r="AK284" s="8">
        <f t="shared" si="279"/>
        <v>179643</v>
      </c>
      <c r="AL284" s="11">
        <f t="shared" si="280"/>
        <v>20729800.380000003</v>
      </c>
      <c r="AM284" s="8">
        <f t="shared" si="281"/>
        <v>0</v>
      </c>
      <c r="AN284" s="11">
        <f t="shared" si="282"/>
        <v>0</v>
      </c>
      <c r="AO284" s="8">
        <f t="shared" si="289"/>
        <v>8131381</v>
      </c>
      <c r="AP284" s="11">
        <f t="shared" si="283"/>
        <v>606656120.80000007</v>
      </c>
      <c r="AQ284" s="2" t="s">
        <v>70</v>
      </c>
      <c r="AR284" s="37">
        <f t="shared" si="284"/>
        <v>0</v>
      </c>
      <c r="AS284" s="37">
        <f t="shared" si="285"/>
        <v>0</v>
      </c>
      <c r="AT284" s="13"/>
      <c r="AU284" s="40"/>
      <c r="AV284" s="40"/>
      <c r="AW284" s="13"/>
      <c r="AX284" s="40"/>
      <c r="AY284" s="40"/>
      <c r="AZ284" s="13"/>
      <c r="BA284" s="40"/>
      <c r="BB284" s="40"/>
      <c r="BD284" s="41"/>
      <c r="BE284" s="43"/>
    </row>
    <row r="285" spans="1:57" x14ac:dyDescent="0.25">
      <c r="B285" s="2" t="s">
        <v>9</v>
      </c>
      <c r="C285" s="2">
        <v>2021</v>
      </c>
      <c r="D285" s="1">
        <f t="shared" ref="D285:Q285" si="294">+D96+D75+D54+D33+D12+D117+D138+D159+D180+D201+D222+D243+D264</f>
        <v>1273294</v>
      </c>
      <c r="E285" s="1">
        <f t="shared" si="294"/>
        <v>61301644.50999999</v>
      </c>
      <c r="F285" s="1">
        <f t="shared" si="294"/>
        <v>734328</v>
      </c>
      <c r="G285" s="1">
        <f t="shared" si="294"/>
        <v>35473705.039999999</v>
      </c>
      <c r="H285" s="1">
        <f t="shared" si="294"/>
        <v>117377</v>
      </c>
      <c r="I285" s="1">
        <f t="shared" si="294"/>
        <v>6997899.6299999999</v>
      </c>
      <c r="J285" s="1">
        <f t="shared" si="294"/>
        <v>6564358</v>
      </c>
      <c r="K285" s="1">
        <f t="shared" si="294"/>
        <v>501601612.75</v>
      </c>
      <c r="L285" s="1">
        <f t="shared" si="294"/>
        <v>299366</v>
      </c>
      <c r="M285" s="1">
        <f t="shared" si="294"/>
        <v>36864668.57</v>
      </c>
      <c r="N285" s="1">
        <f t="shared" si="294"/>
        <v>191205</v>
      </c>
      <c r="O285" s="1">
        <f t="shared" si="294"/>
        <v>21302692.98</v>
      </c>
      <c r="P285" s="1">
        <f t="shared" si="294"/>
        <v>0</v>
      </c>
      <c r="Q285" s="1">
        <f t="shared" si="294"/>
        <v>0</v>
      </c>
      <c r="R285" s="8">
        <f t="shared" ref="R285:S285" si="295">+R117</f>
        <v>0</v>
      </c>
      <c r="S285" s="11">
        <f t="shared" si="295"/>
        <v>0</v>
      </c>
      <c r="T285" s="8">
        <f t="shared" si="288"/>
        <v>9179928</v>
      </c>
      <c r="U285" s="8">
        <f t="shared" si="272"/>
        <v>663542223.4799999</v>
      </c>
      <c r="V285" s="2" t="s">
        <v>80</v>
      </c>
      <c r="AB285" s="13"/>
      <c r="AC285" s="2" t="s">
        <v>9</v>
      </c>
      <c r="AD285" s="2">
        <v>2021</v>
      </c>
      <c r="AE285" s="1">
        <f t="shared" si="273"/>
        <v>2124999</v>
      </c>
      <c r="AF285" s="11">
        <f t="shared" si="274"/>
        <v>103773249.17999998</v>
      </c>
      <c r="AG285" s="1">
        <f t="shared" si="275"/>
        <v>6564358</v>
      </c>
      <c r="AH285" s="11">
        <f t="shared" si="276"/>
        <v>501601612.75</v>
      </c>
      <c r="AI285" s="8">
        <f t="shared" si="277"/>
        <v>299366</v>
      </c>
      <c r="AJ285" s="11">
        <f t="shared" si="278"/>
        <v>36864668.57</v>
      </c>
      <c r="AK285" s="8">
        <f t="shared" si="279"/>
        <v>191205</v>
      </c>
      <c r="AL285" s="11">
        <f t="shared" si="280"/>
        <v>21302692.98</v>
      </c>
      <c r="AM285" s="8">
        <f t="shared" si="281"/>
        <v>0</v>
      </c>
      <c r="AN285" s="11">
        <f t="shared" si="282"/>
        <v>0</v>
      </c>
      <c r="AO285" s="8">
        <f t="shared" si="289"/>
        <v>9179928</v>
      </c>
      <c r="AP285" s="11">
        <f t="shared" si="283"/>
        <v>663542223.4799999</v>
      </c>
      <c r="AQ285" s="2" t="s">
        <v>70</v>
      </c>
      <c r="AR285" s="37">
        <f t="shared" si="284"/>
        <v>0</v>
      </c>
      <c r="AS285" s="37">
        <f t="shared" si="285"/>
        <v>0</v>
      </c>
      <c r="AT285" s="13"/>
      <c r="AU285" s="40"/>
      <c r="AV285" s="40"/>
      <c r="AW285" s="13"/>
      <c r="AX285" s="40"/>
      <c r="AY285" s="40"/>
      <c r="AZ285" s="13"/>
      <c r="BA285" s="40"/>
      <c r="BB285" s="40"/>
      <c r="BD285" s="41"/>
      <c r="BE285" s="43"/>
    </row>
    <row r="286" spans="1:57" x14ac:dyDescent="0.25">
      <c r="B286" s="2" t="s">
        <v>10</v>
      </c>
      <c r="C286" s="2">
        <v>2021</v>
      </c>
      <c r="D286" s="1">
        <f t="shared" ref="D286:Q286" si="296">+D97+D76+D55+D34+D13+D118+D139+D160+D181+D202+D223+D244+D265</f>
        <v>1364536</v>
      </c>
      <c r="E286" s="1">
        <f t="shared" si="296"/>
        <v>65391717.340000004</v>
      </c>
      <c r="F286" s="1">
        <f t="shared" si="296"/>
        <v>754888</v>
      </c>
      <c r="G286" s="1">
        <f t="shared" si="296"/>
        <v>36159571.75</v>
      </c>
      <c r="H286" s="1">
        <f t="shared" si="296"/>
        <v>121189</v>
      </c>
      <c r="I286" s="1">
        <f>+I97+I76+I55+I34+I13+I118+I139+I160+I181+I202+I223+I244+I265</f>
        <v>7209936.4100000001</v>
      </c>
      <c r="J286" s="1">
        <f t="shared" si="296"/>
        <v>6938761</v>
      </c>
      <c r="K286" s="1">
        <f t="shared" si="296"/>
        <v>524217600.56</v>
      </c>
      <c r="L286" s="1">
        <f t="shared" si="296"/>
        <v>296169</v>
      </c>
      <c r="M286" s="1">
        <f t="shared" si="296"/>
        <v>36669479.759999998</v>
      </c>
      <c r="N286" s="1">
        <f t="shared" si="296"/>
        <v>203497</v>
      </c>
      <c r="O286" s="1">
        <f t="shared" si="296"/>
        <v>22650961.100000001</v>
      </c>
      <c r="P286" s="1">
        <f t="shared" si="296"/>
        <v>0</v>
      </c>
      <c r="Q286" s="1">
        <f t="shared" si="296"/>
        <v>0</v>
      </c>
      <c r="R286" s="8">
        <f t="shared" ref="R286:S286" si="297">+R118</f>
        <v>0</v>
      </c>
      <c r="S286" s="11">
        <f t="shared" si="297"/>
        <v>0</v>
      </c>
      <c r="T286" s="8">
        <f t="shared" si="288"/>
        <v>9679040</v>
      </c>
      <c r="U286" s="8">
        <f t="shared" si="272"/>
        <v>692299266.91999996</v>
      </c>
      <c r="V286" s="2" t="s">
        <v>80</v>
      </c>
      <c r="AB286" s="13"/>
      <c r="AC286" s="2" t="s">
        <v>10</v>
      </c>
      <c r="AD286" s="2">
        <v>2021</v>
      </c>
      <c r="AE286" s="1">
        <f t="shared" si="273"/>
        <v>2240613</v>
      </c>
      <c r="AF286" s="11">
        <f t="shared" si="274"/>
        <v>108761225.5</v>
      </c>
      <c r="AG286" s="1">
        <f t="shared" si="275"/>
        <v>6938761</v>
      </c>
      <c r="AH286" s="11">
        <f t="shared" si="276"/>
        <v>524217600.56</v>
      </c>
      <c r="AI286" s="8">
        <f t="shared" si="277"/>
        <v>296169</v>
      </c>
      <c r="AJ286" s="11">
        <f t="shared" si="278"/>
        <v>36669479.759999998</v>
      </c>
      <c r="AK286" s="8">
        <f t="shared" si="279"/>
        <v>203497</v>
      </c>
      <c r="AL286" s="11">
        <f t="shared" si="280"/>
        <v>22650961.100000001</v>
      </c>
      <c r="AM286" s="8">
        <f t="shared" si="281"/>
        <v>0</v>
      </c>
      <c r="AN286" s="11">
        <f t="shared" si="282"/>
        <v>0</v>
      </c>
      <c r="AO286" s="8">
        <f t="shared" si="289"/>
        <v>9679040</v>
      </c>
      <c r="AP286" s="11">
        <f t="shared" si="283"/>
        <v>692299266.91999996</v>
      </c>
      <c r="AQ286" s="2" t="s">
        <v>70</v>
      </c>
      <c r="AR286" s="37">
        <f t="shared" si="284"/>
        <v>0</v>
      </c>
      <c r="AS286" s="37">
        <f t="shared" si="285"/>
        <v>0</v>
      </c>
      <c r="AT286" s="13"/>
      <c r="AU286" s="40"/>
      <c r="AV286" s="40"/>
      <c r="AW286" s="13"/>
      <c r="AX286" s="40"/>
      <c r="AY286" s="40"/>
      <c r="AZ286" s="13"/>
      <c r="BA286" s="40"/>
      <c r="BB286" s="40"/>
      <c r="BD286" s="41"/>
      <c r="BE286" s="43"/>
    </row>
    <row r="287" spans="1:57" x14ac:dyDescent="0.25">
      <c r="B287" s="2" t="s">
        <v>11</v>
      </c>
      <c r="C287" s="2">
        <v>2021</v>
      </c>
      <c r="D287" s="1">
        <f t="shared" ref="D287:Q287" si="298">+D98+D77+D56+D35+D14+D119+D140+D161+D182+D203+D224+D245+D266</f>
        <v>1397540</v>
      </c>
      <c r="E287" s="1">
        <f t="shared" si="298"/>
        <v>68134525.579999998</v>
      </c>
      <c r="F287" s="1">
        <f t="shared" si="298"/>
        <v>745480</v>
      </c>
      <c r="G287" s="1">
        <f t="shared" si="298"/>
        <v>36047580.919999994</v>
      </c>
      <c r="H287" s="1">
        <f t="shared" si="298"/>
        <v>117783</v>
      </c>
      <c r="I287" s="1">
        <f t="shared" si="298"/>
        <v>6895996.5300000003</v>
      </c>
      <c r="J287" s="1">
        <f t="shared" si="298"/>
        <v>6950337</v>
      </c>
      <c r="K287" s="1">
        <f t="shared" si="298"/>
        <v>534177120.61000001</v>
      </c>
      <c r="L287" s="1">
        <f t="shared" si="298"/>
        <v>291916</v>
      </c>
      <c r="M287" s="1">
        <f t="shared" si="298"/>
        <v>36949292.890000001</v>
      </c>
      <c r="N287" s="1">
        <f t="shared" si="298"/>
        <v>207951</v>
      </c>
      <c r="O287" s="1">
        <f t="shared" si="298"/>
        <v>23093316.48</v>
      </c>
      <c r="P287" s="1">
        <f t="shared" si="298"/>
        <v>0</v>
      </c>
      <c r="Q287" s="1">
        <f t="shared" si="298"/>
        <v>0</v>
      </c>
      <c r="R287" s="8">
        <f t="shared" ref="R287:S287" si="299">+R119</f>
        <v>2</v>
      </c>
      <c r="S287" s="11">
        <f t="shared" si="299"/>
        <v>217</v>
      </c>
      <c r="T287" s="8">
        <f t="shared" si="288"/>
        <v>9711009</v>
      </c>
      <c r="U287" s="8">
        <f t="shared" si="272"/>
        <v>705298050.00999999</v>
      </c>
      <c r="V287" s="2" t="s">
        <v>80</v>
      </c>
      <c r="AC287" s="2" t="s">
        <v>11</v>
      </c>
      <c r="AD287" s="2">
        <v>2021</v>
      </c>
      <c r="AE287" s="1">
        <f t="shared" si="273"/>
        <v>2260805</v>
      </c>
      <c r="AF287" s="11">
        <f t="shared" si="274"/>
        <v>111078320.03</v>
      </c>
      <c r="AG287" s="1">
        <f t="shared" si="275"/>
        <v>6950337</v>
      </c>
      <c r="AH287" s="11">
        <f t="shared" si="276"/>
        <v>534177120.61000001</v>
      </c>
      <c r="AI287" s="8">
        <f t="shared" si="277"/>
        <v>291916</v>
      </c>
      <c r="AJ287" s="11">
        <f t="shared" si="278"/>
        <v>36949292.890000001</v>
      </c>
      <c r="AK287" s="8">
        <f t="shared" si="279"/>
        <v>207951</v>
      </c>
      <c r="AL287" s="11">
        <f t="shared" si="280"/>
        <v>23093316.48</v>
      </c>
      <c r="AM287" s="8">
        <f t="shared" si="281"/>
        <v>0</v>
      </c>
      <c r="AN287" s="11">
        <f t="shared" si="282"/>
        <v>0</v>
      </c>
      <c r="AO287" s="8">
        <f t="shared" si="289"/>
        <v>9711009</v>
      </c>
      <c r="AP287" s="11">
        <f t="shared" si="283"/>
        <v>705298050.00999999</v>
      </c>
      <c r="AQ287" s="2" t="s">
        <v>70</v>
      </c>
      <c r="AR287" s="37">
        <f t="shared" si="284"/>
        <v>0</v>
      </c>
      <c r="AS287" s="37">
        <f t="shared" si="285"/>
        <v>0</v>
      </c>
      <c r="AT287" s="13"/>
      <c r="AU287" s="40"/>
      <c r="AV287" s="40"/>
      <c r="AW287" s="13"/>
      <c r="AX287" s="40"/>
      <c r="AY287" s="40"/>
      <c r="AZ287" s="13"/>
      <c r="BA287" s="40"/>
      <c r="BB287" s="40"/>
      <c r="BD287" s="41"/>
      <c r="BE287" s="43"/>
    </row>
    <row r="288" spans="1:57" x14ac:dyDescent="0.25">
      <c r="B288" s="2" t="s">
        <v>4</v>
      </c>
      <c r="C288" s="2">
        <v>2021</v>
      </c>
      <c r="D288" s="1">
        <f t="shared" ref="D288:Q288" si="300">+D99+D78+D57+D36+D15+D120+D141+D162+D183+D204+D225+D246+D267</f>
        <v>1363729</v>
      </c>
      <c r="E288" s="1">
        <f t="shared" si="300"/>
        <v>66454350.509999983</v>
      </c>
      <c r="F288" s="1">
        <f t="shared" si="300"/>
        <v>734919</v>
      </c>
      <c r="G288" s="1">
        <f t="shared" si="300"/>
        <v>35138689.640000001</v>
      </c>
      <c r="H288" s="1">
        <f t="shared" si="300"/>
        <v>125077</v>
      </c>
      <c r="I288" s="1">
        <f t="shared" si="300"/>
        <v>7542301.9799999995</v>
      </c>
      <c r="J288" s="1">
        <f t="shared" si="300"/>
        <v>6914715</v>
      </c>
      <c r="K288" s="1">
        <f t="shared" si="300"/>
        <v>527454054.03000003</v>
      </c>
      <c r="L288" s="1">
        <f t="shared" si="300"/>
        <v>284562</v>
      </c>
      <c r="M288" s="1">
        <f t="shared" si="300"/>
        <v>35802570.700000003</v>
      </c>
      <c r="N288" s="1">
        <f t="shared" si="300"/>
        <v>211547</v>
      </c>
      <c r="O288" s="1">
        <f t="shared" si="300"/>
        <v>23368888.219999999</v>
      </c>
      <c r="P288" s="1">
        <f t="shared" si="300"/>
        <v>0</v>
      </c>
      <c r="Q288" s="1">
        <f t="shared" si="300"/>
        <v>0</v>
      </c>
      <c r="R288" s="8">
        <f t="shared" ref="R288:S288" si="301">+R120</f>
        <v>0</v>
      </c>
      <c r="S288" s="11">
        <f t="shared" si="301"/>
        <v>0</v>
      </c>
      <c r="T288" s="8">
        <f t="shared" si="288"/>
        <v>9634549</v>
      </c>
      <c r="U288" s="8">
        <f t="shared" si="272"/>
        <v>695760855.08000004</v>
      </c>
      <c r="V288" s="2" t="s">
        <v>80</v>
      </c>
      <c r="AC288" s="2" t="s">
        <v>4</v>
      </c>
      <c r="AD288" s="2">
        <v>2021</v>
      </c>
      <c r="AE288" s="1">
        <f t="shared" si="273"/>
        <v>2223725</v>
      </c>
      <c r="AF288" s="11">
        <f t="shared" si="274"/>
        <v>109135342.12999998</v>
      </c>
      <c r="AG288" s="1">
        <f t="shared" si="275"/>
        <v>6914715</v>
      </c>
      <c r="AH288" s="11">
        <f t="shared" si="276"/>
        <v>527454054.03000003</v>
      </c>
      <c r="AI288" s="8">
        <f t="shared" si="277"/>
        <v>284562</v>
      </c>
      <c r="AJ288" s="11">
        <f t="shared" si="278"/>
        <v>35802570.700000003</v>
      </c>
      <c r="AK288" s="8">
        <f t="shared" si="279"/>
        <v>211547</v>
      </c>
      <c r="AL288" s="11">
        <f t="shared" si="280"/>
        <v>23368888.219999999</v>
      </c>
      <c r="AM288" s="8">
        <f t="shared" si="281"/>
        <v>0</v>
      </c>
      <c r="AN288" s="11">
        <f t="shared" si="282"/>
        <v>0</v>
      </c>
      <c r="AO288" s="8">
        <f t="shared" si="289"/>
        <v>9634549</v>
      </c>
      <c r="AP288" s="11">
        <f t="shared" si="283"/>
        <v>695760855.08000004</v>
      </c>
      <c r="AQ288" s="2" t="s">
        <v>70</v>
      </c>
      <c r="AR288" s="37">
        <f t="shared" si="284"/>
        <v>0</v>
      </c>
      <c r="AS288" s="37">
        <f t="shared" si="285"/>
        <v>0</v>
      </c>
      <c r="AT288" s="13"/>
      <c r="AU288" s="40"/>
      <c r="AV288" s="40"/>
      <c r="AW288" s="13"/>
      <c r="AX288" s="40"/>
      <c r="AY288" s="40"/>
      <c r="AZ288" s="13"/>
      <c r="BA288" s="40"/>
      <c r="BB288" s="40"/>
      <c r="BD288" s="41"/>
      <c r="BE288" s="43"/>
    </row>
    <row r="289" spans="1:57" x14ac:dyDescent="0.25">
      <c r="B289" s="2" t="s">
        <v>28</v>
      </c>
      <c r="C289" s="2">
        <v>2021</v>
      </c>
      <c r="D289" s="1">
        <f t="shared" ref="D289:Q289" si="302">+D100+D79+D58+D37+D16+D121+D142+D163+D184+D205+D226+D247+D268</f>
        <v>1400895</v>
      </c>
      <c r="E289" s="1">
        <f t="shared" si="302"/>
        <v>66996174.18</v>
      </c>
      <c r="F289" s="1">
        <f t="shared" si="302"/>
        <v>776641</v>
      </c>
      <c r="G289" s="1">
        <f t="shared" si="302"/>
        <v>36587692.539999999</v>
      </c>
      <c r="H289" s="1">
        <f t="shared" si="302"/>
        <v>144716</v>
      </c>
      <c r="I289" s="1">
        <f t="shared" si="302"/>
        <v>9146670.0099999998</v>
      </c>
      <c r="J289" s="1">
        <f t="shared" si="302"/>
        <v>7065997</v>
      </c>
      <c r="K289" s="1">
        <f t="shared" si="302"/>
        <v>525443939.98999995</v>
      </c>
      <c r="L289" s="1">
        <f t="shared" si="302"/>
        <v>255519</v>
      </c>
      <c r="M289" s="1">
        <f t="shared" si="302"/>
        <v>32128576.91</v>
      </c>
      <c r="N289" s="1">
        <f t="shared" si="302"/>
        <v>213200</v>
      </c>
      <c r="O289" s="1">
        <f t="shared" si="302"/>
        <v>23030580.359999999</v>
      </c>
      <c r="P289" s="1">
        <f t="shared" si="302"/>
        <v>0</v>
      </c>
      <c r="Q289" s="1">
        <f t="shared" si="302"/>
        <v>0</v>
      </c>
      <c r="R289" s="8">
        <f t="shared" ref="R289:S289" si="303">+R121</f>
        <v>8</v>
      </c>
      <c r="S289" s="11">
        <f t="shared" si="303"/>
        <v>370</v>
      </c>
      <c r="T289" s="8">
        <f t="shared" si="288"/>
        <v>9856976</v>
      </c>
      <c r="U289" s="8">
        <f t="shared" si="272"/>
        <v>693334003.98999989</v>
      </c>
      <c r="V289" s="2" t="s">
        <v>80</v>
      </c>
      <c r="AC289" s="2" t="s">
        <v>28</v>
      </c>
      <c r="AD289" s="2">
        <v>2021</v>
      </c>
      <c r="AE289" s="1">
        <f t="shared" si="273"/>
        <v>2322260</v>
      </c>
      <c r="AF289" s="11">
        <f t="shared" si="274"/>
        <v>112730906.72999999</v>
      </c>
      <c r="AG289" s="1">
        <f t="shared" si="275"/>
        <v>7065997</v>
      </c>
      <c r="AH289" s="11">
        <f t="shared" si="276"/>
        <v>525443939.98999995</v>
      </c>
      <c r="AI289" s="8">
        <f t="shared" si="277"/>
        <v>255519</v>
      </c>
      <c r="AJ289" s="11">
        <f t="shared" si="278"/>
        <v>32128576.91</v>
      </c>
      <c r="AK289" s="8">
        <f t="shared" si="279"/>
        <v>213200</v>
      </c>
      <c r="AL289" s="11">
        <f t="shared" si="280"/>
        <v>23030580.359999999</v>
      </c>
      <c r="AM289" s="8">
        <f t="shared" si="281"/>
        <v>0</v>
      </c>
      <c r="AN289" s="11">
        <f t="shared" si="282"/>
        <v>0</v>
      </c>
      <c r="AO289" s="8">
        <f t="shared" si="289"/>
        <v>9856976</v>
      </c>
      <c r="AP289" s="11">
        <f t="shared" si="283"/>
        <v>693334003.99000001</v>
      </c>
      <c r="AQ289" s="2" t="s">
        <v>70</v>
      </c>
      <c r="AR289" s="37">
        <f t="shared" si="284"/>
        <v>0</v>
      </c>
      <c r="AS289" s="37">
        <f t="shared" si="285"/>
        <v>0</v>
      </c>
      <c r="AT289" s="13"/>
      <c r="AU289" s="40"/>
      <c r="AV289" s="40"/>
      <c r="AW289" s="13"/>
      <c r="AX289" s="40"/>
      <c r="AY289" s="40"/>
      <c r="AZ289" s="13"/>
      <c r="BA289" s="40"/>
      <c r="BB289" s="40"/>
      <c r="BD289" s="41"/>
      <c r="BE289" s="43"/>
    </row>
    <row r="290" spans="1:57" x14ac:dyDescent="0.25">
      <c r="B290" s="2" t="s">
        <v>29</v>
      </c>
      <c r="C290" s="2">
        <v>2021</v>
      </c>
      <c r="D290" s="1">
        <f t="shared" ref="D290:Q290" si="304">+D101+D80+D59+D38+D17+D122+D143+D164+D185+D206+D227+D248+D269</f>
        <v>1578420</v>
      </c>
      <c r="E290" s="1">
        <f t="shared" si="304"/>
        <v>75110092.030000001</v>
      </c>
      <c r="F290" s="1">
        <f t="shared" si="304"/>
        <v>876244</v>
      </c>
      <c r="G290" s="1">
        <f t="shared" si="304"/>
        <v>40975680.840000004</v>
      </c>
      <c r="H290" s="1">
        <f t="shared" si="304"/>
        <v>155519</v>
      </c>
      <c r="I290" s="1">
        <f t="shared" si="304"/>
        <v>10185484.109999999</v>
      </c>
      <c r="J290" s="1">
        <f t="shared" si="304"/>
        <v>7919837</v>
      </c>
      <c r="K290" s="1">
        <f t="shared" si="304"/>
        <v>580778021.47000003</v>
      </c>
      <c r="L290" s="1">
        <f t="shared" si="304"/>
        <v>275216</v>
      </c>
      <c r="M290" s="1">
        <f t="shared" si="304"/>
        <v>34569145.289999999</v>
      </c>
      <c r="N290" s="1">
        <f t="shared" si="304"/>
        <v>233861</v>
      </c>
      <c r="O290" s="1">
        <f t="shared" si="304"/>
        <v>25142009.460000001</v>
      </c>
      <c r="P290" s="1">
        <f t="shared" si="304"/>
        <v>0</v>
      </c>
      <c r="Q290" s="1">
        <f t="shared" si="304"/>
        <v>0</v>
      </c>
      <c r="R290" s="8">
        <f t="shared" ref="R290:S290" si="305">+R122</f>
        <v>14</v>
      </c>
      <c r="S290" s="11">
        <f t="shared" si="305"/>
        <v>798</v>
      </c>
      <c r="T290" s="8">
        <f t="shared" si="288"/>
        <v>11039111</v>
      </c>
      <c r="U290" s="8">
        <f t="shared" si="272"/>
        <v>766761231.20000005</v>
      </c>
      <c r="V290" s="2" t="s">
        <v>80</v>
      </c>
      <c r="AC290" s="2" t="s">
        <v>29</v>
      </c>
      <c r="AD290" s="2">
        <v>2021</v>
      </c>
      <c r="AE290" s="1">
        <f t="shared" si="273"/>
        <v>2610197</v>
      </c>
      <c r="AF290" s="11">
        <f t="shared" si="274"/>
        <v>126272054.98</v>
      </c>
      <c r="AG290" s="1">
        <f t="shared" si="275"/>
        <v>7919837</v>
      </c>
      <c r="AH290" s="11">
        <f t="shared" si="276"/>
        <v>580778021.47000003</v>
      </c>
      <c r="AI290" s="8">
        <f t="shared" si="277"/>
        <v>275216</v>
      </c>
      <c r="AJ290" s="11">
        <f t="shared" si="278"/>
        <v>34569145.289999999</v>
      </c>
      <c r="AK290" s="8">
        <f t="shared" si="279"/>
        <v>233861</v>
      </c>
      <c r="AL290" s="11">
        <f t="shared" si="280"/>
        <v>25142009.460000001</v>
      </c>
      <c r="AM290" s="8">
        <f t="shared" si="281"/>
        <v>0</v>
      </c>
      <c r="AN290" s="11">
        <f t="shared" si="282"/>
        <v>0</v>
      </c>
      <c r="AO290" s="8">
        <f t="shared" si="289"/>
        <v>11039111</v>
      </c>
      <c r="AP290" s="11">
        <f t="shared" si="283"/>
        <v>766761231.20000005</v>
      </c>
      <c r="AQ290" s="2" t="s">
        <v>70</v>
      </c>
      <c r="AR290" s="37">
        <f t="shared" si="284"/>
        <v>0</v>
      </c>
      <c r="AS290" s="37">
        <f t="shared" si="285"/>
        <v>0</v>
      </c>
      <c r="AT290" s="13"/>
      <c r="AU290" s="40"/>
      <c r="AV290" s="40"/>
      <c r="AW290" s="13"/>
      <c r="AX290" s="40"/>
      <c r="AY290" s="40"/>
      <c r="AZ290" s="13"/>
      <c r="BA290" s="40"/>
      <c r="BB290" s="40"/>
    </row>
    <row r="291" spans="1:57" x14ac:dyDescent="0.25">
      <c r="B291" s="2" t="s">
        <v>30</v>
      </c>
      <c r="C291" s="2">
        <v>2021</v>
      </c>
      <c r="D291" s="1">
        <f t="shared" ref="D291:Q291" si="306">+D102+D81+D60+D39+D18+D123+D144+D165+D186+D207+D228+D249+D270</f>
        <v>1590287</v>
      </c>
      <c r="E291" s="1">
        <f t="shared" si="306"/>
        <v>75814258.400000006</v>
      </c>
      <c r="F291" s="1">
        <f t="shared" si="306"/>
        <v>869438</v>
      </c>
      <c r="G291" s="1">
        <f t="shared" si="306"/>
        <v>40782304.670000002</v>
      </c>
      <c r="H291" s="1">
        <f t="shared" si="306"/>
        <v>144744</v>
      </c>
      <c r="I291" s="1">
        <f t="shared" si="306"/>
        <v>10050523.01</v>
      </c>
      <c r="J291" s="1">
        <f t="shared" si="306"/>
        <v>8004830</v>
      </c>
      <c r="K291" s="1">
        <f t="shared" si="306"/>
        <v>578050997.87</v>
      </c>
      <c r="L291" s="1">
        <f t="shared" si="306"/>
        <v>264418</v>
      </c>
      <c r="M291" s="1">
        <f t="shared" si="306"/>
        <v>33484709.350000001</v>
      </c>
      <c r="N291" s="1">
        <f t="shared" si="306"/>
        <v>238453</v>
      </c>
      <c r="O291" s="1">
        <f t="shared" si="306"/>
        <v>25342494.600000001</v>
      </c>
      <c r="P291" s="1">
        <f t="shared" si="306"/>
        <v>0</v>
      </c>
      <c r="Q291" s="1">
        <f t="shared" si="306"/>
        <v>0</v>
      </c>
      <c r="R291" s="8">
        <f t="shared" ref="R291:S291" si="307">+R123</f>
        <v>0</v>
      </c>
      <c r="S291" s="11">
        <f t="shared" si="307"/>
        <v>0</v>
      </c>
      <c r="T291" s="8">
        <f t="shared" si="288"/>
        <v>11112170</v>
      </c>
      <c r="U291" s="8">
        <f t="shared" si="272"/>
        <v>763525287.89999998</v>
      </c>
      <c r="V291" s="2" t="s">
        <v>80</v>
      </c>
      <c r="AC291" s="2" t="s">
        <v>30</v>
      </c>
      <c r="AD291" s="2">
        <v>2021</v>
      </c>
      <c r="AE291" s="1">
        <f t="shared" si="273"/>
        <v>2604469</v>
      </c>
      <c r="AF291" s="11">
        <f t="shared" si="274"/>
        <v>126647086.08000001</v>
      </c>
      <c r="AG291" s="1">
        <f t="shared" si="275"/>
        <v>8004830</v>
      </c>
      <c r="AH291" s="11">
        <f t="shared" si="276"/>
        <v>578050997.87</v>
      </c>
      <c r="AI291" s="8">
        <f t="shared" si="277"/>
        <v>264418</v>
      </c>
      <c r="AJ291" s="11">
        <f t="shared" si="278"/>
        <v>33484709.350000001</v>
      </c>
      <c r="AK291" s="8">
        <f t="shared" si="279"/>
        <v>238453</v>
      </c>
      <c r="AL291" s="11">
        <f t="shared" si="280"/>
        <v>25342494.600000001</v>
      </c>
      <c r="AM291" s="8">
        <f t="shared" si="281"/>
        <v>0</v>
      </c>
      <c r="AN291" s="11">
        <f t="shared" si="282"/>
        <v>0</v>
      </c>
      <c r="AO291" s="8">
        <f t="shared" si="289"/>
        <v>11112170</v>
      </c>
      <c r="AP291" s="11">
        <f t="shared" si="283"/>
        <v>763525287.9000001</v>
      </c>
      <c r="AQ291" s="2" t="s">
        <v>70</v>
      </c>
      <c r="AR291" s="37">
        <f t="shared" si="284"/>
        <v>0</v>
      </c>
      <c r="AS291" s="37">
        <f t="shared" si="285"/>
        <v>0</v>
      </c>
      <c r="AT291" s="13"/>
      <c r="AU291" s="40"/>
      <c r="AV291" s="40"/>
      <c r="AW291" s="13"/>
      <c r="AX291" s="40"/>
      <c r="AY291" s="40"/>
      <c r="AZ291" s="13"/>
      <c r="BA291" s="40"/>
      <c r="BB291" s="40"/>
    </row>
    <row r="292" spans="1:57" x14ac:dyDescent="0.25">
      <c r="B292" s="2" t="s">
        <v>31</v>
      </c>
      <c r="C292" s="2">
        <v>2021</v>
      </c>
      <c r="D292" s="1">
        <f t="shared" ref="D292:Q292" si="308">+D103+D82+D61+D40+D19+D124+D145+D166+D187+D208+D229+D250+D271</f>
        <v>1686077</v>
      </c>
      <c r="E292" s="1">
        <f t="shared" si="308"/>
        <v>81242288.63000001</v>
      </c>
      <c r="F292" s="1">
        <f t="shared" si="308"/>
        <v>889023</v>
      </c>
      <c r="G292" s="1">
        <f t="shared" si="308"/>
        <v>41748517.379999995</v>
      </c>
      <c r="H292" s="1">
        <f t="shared" si="308"/>
        <v>140803</v>
      </c>
      <c r="I292" s="1">
        <f t="shared" si="308"/>
        <v>10566480.68</v>
      </c>
      <c r="J292" s="1">
        <f t="shared" si="308"/>
        <v>8335804</v>
      </c>
      <c r="K292" s="1">
        <f t="shared" si="308"/>
        <v>599676323.37</v>
      </c>
      <c r="L292" s="1">
        <f t="shared" si="308"/>
        <v>272552</v>
      </c>
      <c r="M292" s="1">
        <f t="shared" si="308"/>
        <v>35008708.519999996</v>
      </c>
      <c r="N292" s="1">
        <f t="shared" si="308"/>
        <v>250632</v>
      </c>
      <c r="O292" s="1">
        <f t="shared" si="308"/>
        <v>26454462.48</v>
      </c>
      <c r="P292" s="1">
        <f t="shared" si="308"/>
        <v>0</v>
      </c>
      <c r="Q292" s="1">
        <f t="shared" si="308"/>
        <v>0</v>
      </c>
      <c r="R292" s="8">
        <f t="shared" ref="R292:S292" si="309">+R124</f>
        <v>4</v>
      </c>
      <c r="S292" s="11">
        <f t="shared" si="309"/>
        <v>228</v>
      </c>
      <c r="T292" s="8">
        <f t="shared" si="288"/>
        <v>11574895</v>
      </c>
      <c r="U292" s="8">
        <f t="shared" si="272"/>
        <v>794697009.05999994</v>
      </c>
      <c r="V292" s="2" t="s">
        <v>80</v>
      </c>
      <c r="AC292" s="2" t="s">
        <v>31</v>
      </c>
      <c r="AD292" s="2">
        <v>2021</v>
      </c>
      <c r="AE292" s="1">
        <f t="shared" si="273"/>
        <v>2715907</v>
      </c>
      <c r="AF292" s="11">
        <f t="shared" si="274"/>
        <v>133557514.69</v>
      </c>
      <c r="AG292" s="1">
        <f t="shared" si="275"/>
        <v>8335804</v>
      </c>
      <c r="AH292" s="11">
        <f t="shared" si="276"/>
        <v>599676323.37</v>
      </c>
      <c r="AI292" s="8">
        <f t="shared" si="277"/>
        <v>272552</v>
      </c>
      <c r="AJ292" s="11">
        <f t="shared" si="278"/>
        <v>35008708.519999996</v>
      </c>
      <c r="AK292" s="8">
        <f t="shared" si="279"/>
        <v>250632</v>
      </c>
      <c r="AL292" s="11">
        <f t="shared" si="280"/>
        <v>26454462.48</v>
      </c>
      <c r="AM292" s="8">
        <f t="shared" si="281"/>
        <v>0</v>
      </c>
      <c r="AN292" s="11">
        <f t="shared" si="282"/>
        <v>0</v>
      </c>
      <c r="AO292" s="8">
        <f t="shared" si="289"/>
        <v>11574895</v>
      </c>
      <c r="AP292" s="11">
        <f t="shared" si="283"/>
        <v>794697009.05999994</v>
      </c>
      <c r="AQ292" s="2" t="s">
        <v>70</v>
      </c>
      <c r="AR292" s="37">
        <f t="shared" si="284"/>
        <v>0</v>
      </c>
      <c r="AS292" s="37">
        <f t="shared" si="285"/>
        <v>0</v>
      </c>
      <c r="AT292" s="13"/>
      <c r="AU292" s="40"/>
      <c r="AV292" s="40"/>
      <c r="AW292" s="13"/>
      <c r="AX292" s="40"/>
      <c r="AY292" s="40"/>
      <c r="AZ292" s="13"/>
      <c r="BA292" s="40"/>
      <c r="BB292" s="40"/>
    </row>
    <row r="293" spans="1:57" x14ac:dyDescent="0.25">
      <c r="R293" s="9"/>
      <c r="U293" s="9"/>
      <c r="AF293" s="9"/>
      <c r="AH293" s="9"/>
      <c r="AJ293" s="9"/>
      <c r="AL293" s="9"/>
      <c r="AM293" s="9"/>
      <c r="AN293" s="9"/>
      <c r="AP293" s="9"/>
    </row>
    <row r="294" spans="1:57" x14ac:dyDescent="0.25">
      <c r="B294" s="3" t="s">
        <v>12</v>
      </c>
      <c r="C294" s="3"/>
      <c r="D294" s="4">
        <f t="shared" ref="D294:Q294" si="310">SUM(D281:D293)</f>
        <v>15754348</v>
      </c>
      <c r="E294" s="12">
        <f t="shared" si="310"/>
        <v>759049347.3599999</v>
      </c>
      <c r="F294" s="4">
        <f t="shared" si="310"/>
        <v>8736370</v>
      </c>
      <c r="G294" s="12">
        <f t="shared" si="310"/>
        <v>419100564.93000001</v>
      </c>
      <c r="H294" s="4">
        <f t="shared" si="310"/>
        <v>1415895</v>
      </c>
      <c r="I294" s="12">
        <f t="shared" si="310"/>
        <v>88899650.819999993</v>
      </c>
      <c r="J294" s="4">
        <f t="shared" si="310"/>
        <v>80454673</v>
      </c>
      <c r="K294" s="12">
        <f t="shared" si="310"/>
        <v>6085141287.6400003</v>
      </c>
      <c r="L294" s="4">
        <f t="shared" si="310"/>
        <v>3678309</v>
      </c>
      <c r="M294" s="12">
        <f t="shared" si="310"/>
        <v>460945369.82000005</v>
      </c>
      <c r="N294" s="4">
        <f t="shared" si="310"/>
        <v>2365264</v>
      </c>
      <c r="O294" s="12">
        <f t="shared" si="310"/>
        <v>259534163.15000001</v>
      </c>
      <c r="P294" s="4">
        <f t="shared" si="310"/>
        <v>0</v>
      </c>
      <c r="Q294" s="12">
        <f t="shared" si="310"/>
        <v>0</v>
      </c>
      <c r="R294" s="4">
        <f>SUM(R281:R293)</f>
        <v>99125</v>
      </c>
      <c r="S294" s="12">
        <f>SUM(S281:S293)</f>
        <v>6513701</v>
      </c>
      <c r="T294" s="4">
        <f>SUM(T281:T293)</f>
        <v>112503984</v>
      </c>
      <c r="U294" s="12">
        <f>SUM(U281:U293)</f>
        <v>8079184084.7199993</v>
      </c>
      <c r="AC294" s="3" t="s">
        <v>12</v>
      </c>
      <c r="AD294" s="3"/>
      <c r="AE294" s="4">
        <f t="shared" ref="AE294:AP294" si="311">SUM(AE281:AE293)</f>
        <v>26005738</v>
      </c>
      <c r="AF294" s="12">
        <f t="shared" si="311"/>
        <v>1273563264.1100001</v>
      </c>
      <c r="AG294" s="4">
        <f t="shared" si="311"/>
        <v>80454673</v>
      </c>
      <c r="AH294" s="12">
        <f t="shared" si="311"/>
        <v>6085141287.6400003</v>
      </c>
      <c r="AI294" s="4">
        <f t="shared" si="311"/>
        <v>3678309</v>
      </c>
      <c r="AJ294" s="12">
        <f t="shared" si="311"/>
        <v>460945369.82000005</v>
      </c>
      <c r="AK294" s="4">
        <f t="shared" si="311"/>
        <v>2365264</v>
      </c>
      <c r="AL294" s="12">
        <f t="shared" si="311"/>
        <v>259534163.15000001</v>
      </c>
      <c r="AM294" s="4">
        <f t="shared" si="311"/>
        <v>0</v>
      </c>
      <c r="AN294" s="12">
        <f t="shared" si="311"/>
        <v>0</v>
      </c>
      <c r="AO294" s="4">
        <f t="shared" si="311"/>
        <v>112503984</v>
      </c>
      <c r="AP294" s="12">
        <f t="shared" si="311"/>
        <v>8079184084.7199993</v>
      </c>
    </row>
    <row r="295" spans="1:57" x14ac:dyDescent="0.25">
      <c r="D295" s="39"/>
      <c r="H295" s="15"/>
      <c r="J295" s="46" t="str">
        <f>+$B$276</f>
        <v>Aforo e Ingreso - ACUMULADO</v>
      </c>
      <c r="K295" s="9" t="s">
        <v>84</v>
      </c>
      <c r="L295" s="15">
        <f>AVERAGE(L281:L292)</f>
        <v>306525.75</v>
      </c>
      <c r="M295" s="28">
        <f>AVERAGE(M281:M292)</f>
        <v>38412114.151666671</v>
      </c>
    </row>
    <row r="296" spans="1:57" x14ac:dyDescent="0.25">
      <c r="B296" s="5" t="s">
        <v>14</v>
      </c>
      <c r="J296" s="46" t="str">
        <f>+$B$276</f>
        <v>Aforo e Ingreso - ACUMULADO</v>
      </c>
      <c r="K296" s="9" t="s">
        <v>85</v>
      </c>
      <c r="L296" s="44">
        <f>+L295/$L$295</f>
        <v>1</v>
      </c>
      <c r="M296" s="44">
        <f>+M295/$M$295</f>
        <v>1</v>
      </c>
    </row>
    <row r="297" spans="1:57" x14ac:dyDescent="0.25">
      <c r="B297" s="5" t="s">
        <v>47</v>
      </c>
    </row>
    <row r="298" spans="1:57" x14ac:dyDescent="0.25">
      <c r="B298" s="5"/>
      <c r="F298" s="39"/>
      <c r="G298" s="39"/>
      <c r="J298" s="9"/>
    </row>
    <row r="299" spans="1:57" x14ac:dyDescent="0.25">
      <c r="D299" s="89" t="s">
        <v>53</v>
      </c>
      <c r="E299" s="90"/>
      <c r="F299" s="89" t="s">
        <v>54</v>
      </c>
      <c r="G299" s="90"/>
      <c r="H299" s="89" t="s">
        <v>18</v>
      </c>
      <c r="I299" s="90"/>
      <c r="J299" s="89" t="s">
        <v>52</v>
      </c>
      <c r="K299" s="90"/>
      <c r="L299" s="89" t="s">
        <v>13</v>
      </c>
      <c r="M299" s="90"/>
      <c r="N299" s="89" t="s">
        <v>34</v>
      </c>
      <c r="O299" s="90"/>
      <c r="P299" s="89" t="s">
        <v>43</v>
      </c>
      <c r="Q299" s="93"/>
      <c r="T299" s="89" t="s">
        <v>45</v>
      </c>
      <c r="U299" s="93"/>
      <c r="Z299" s="25"/>
    </row>
    <row r="300" spans="1:57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T300" s="7" t="s">
        <v>2</v>
      </c>
      <c r="U300" s="10" t="s">
        <v>3</v>
      </c>
      <c r="Z300" s="25"/>
    </row>
    <row r="301" spans="1:57" x14ac:dyDescent="0.25">
      <c r="F301"/>
      <c r="P301"/>
      <c r="U301" s="9"/>
      <c r="Z301" s="25"/>
    </row>
    <row r="302" spans="1:57" x14ac:dyDescent="0.25">
      <c r="B302" s="2" t="s">
        <v>5</v>
      </c>
      <c r="C302" s="2">
        <v>2021</v>
      </c>
      <c r="D302" s="1">
        <v>177328</v>
      </c>
      <c r="E302" s="11">
        <v>7887983.5299999993</v>
      </c>
      <c r="F302" s="1">
        <v>698025</v>
      </c>
      <c r="G302" s="11">
        <v>72650629</v>
      </c>
      <c r="H302" s="1">
        <v>30812</v>
      </c>
      <c r="I302" s="11">
        <v>1457481</v>
      </c>
      <c r="J302" s="1">
        <v>571737</v>
      </c>
      <c r="K302" s="11">
        <v>68276297</v>
      </c>
      <c r="L302" s="8">
        <v>212796</v>
      </c>
      <c r="M302" s="11">
        <v>16162465</v>
      </c>
      <c r="N302" s="8">
        <v>0</v>
      </c>
      <c r="O302" s="11">
        <v>0</v>
      </c>
      <c r="P302" s="8">
        <f t="shared" ref="P302:Q313" si="312">+L302+H302+F302+D302+N302+J302</f>
        <v>1690698</v>
      </c>
      <c r="Q302" s="11">
        <f t="shared" si="312"/>
        <v>166434855.53</v>
      </c>
      <c r="T302" s="20">
        <f t="shared" ref="T302:U313" si="313">+P302+T281</f>
        <v>8400815</v>
      </c>
      <c r="U302" s="21">
        <f>+Q302+U281</f>
        <v>659749884.28999996</v>
      </c>
      <c r="AR302" s="13"/>
      <c r="AS302" s="40"/>
      <c r="AT302" s="40"/>
      <c r="AU302" s="13"/>
      <c r="AV302" s="41"/>
      <c r="AW302" s="42"/>
    </row>
    <row r="303" spans="1:57" x14ac:dyDescent="0.25">
      <c r="B303" s="2" t="s">
        <v>6</v>
      </c>
      <c r="C303" s="2">
        <v>2021</v>
      </c>
      <c r="D303" s="1">
        <v>193720</v>
      </c>
      <c r="E303" s="11">
        <v>8513119.1500000004</v>
      </c>
      <c r="F303" s="1">
        <v>688138</v>
      </c>
      <c r="G303" s="11">
        <v>73911397</v>
      </c>
      <c r="H303" s="1">
        <v>21648</v>
      </c>
      <c r="I303" s="11">
        <v>1042199</v>
      </c>
      <c r="J303" s="1">
        <v>563318</v>
      </c>
      <c r="K303" s="11">
        <v>68461289</v>
      </c>
      <c r="L303" s="8">
        <v>223467</v>
      </c>
      <c r="M303" s="11">
        <v>17137448.719999999</v>
      </c>
      <c r="N303" s="8">
        <v>0</v>
      </c>
      <c r="O303" s="11">
        <v>0</v>
      </c>
      <c r="P303" s="8">
        <f t="shared" si="312"/>
        <v>1690291</v>
      </c>
      <c r="Q303" s="11">
        <f t="shared" si="312"/>
        <v>169065452.87</v>
      </c>
      <c r="T303" s="20">
        <f t="shared" si="313"/>
        <v>8824982</v>
      </c>
      <c r="U303" s="21">
        <f t="shared" si="313"/>
        <v>716419391.33000004</v>
      </c>
      <c r="AR303" s="13"/>
      <c r="AS303" s="40"/>
      <c r="AT303" s="40"/>
      <c r="AU303" s="13"/>
      <c r="AV303" s="41"/>
      <c r="AW303" s="42"/>
    </row>
    <row r="304" spans="1:57" x14ac:dyDescent="0.25">
      <c r="B304" s="2" t="s">
        <v>7</v>
      </c>
      <c r="C304" s="2">
        <v>2021</v>
      </c>
      <c r="D304" s="1">
        <v>247863</v>
      </c>
      <c r="E304" s="11">
        <v>11107034.569999998</v>
      </c>
      <c r="F304" s="1">
        <v>852838</v>
      </c>
      <c r="G304" s="11">
        <v>92084186</v>
      </c>
      <c r="H304" s="1">
        <v>27940</v>
      </c>
      <c r="I304" s="11">
        <v>1355499</v>
      </c>
      <c r="J304" s="1">
        <v>703183</v>
      </c>
      <c r="K304" s="11">
        <v>84209908</v>
      </c>
      <c r="L304" s="8">
        <v>272896</v>
      </c>
      <c r="M304" s="11">
        <v>20435777</v>
      </c>
      <c r="N304" s="8">
        <v>0</v>
      </c>
      <c r="O304" s="11">
        <v>0</v>
      </c>
      <c r="P304" s="8">
        <f>+L304+H304+F304+D304+N304+J304</f>
        <v>2104720</v>
      </c>
      <c r="Q304" s="11">
        <f t="shared" si="312"/>
        <v>209192404.56999999</v>
      </c>
      <c r="T304" s="20">
        <f t="shared" si="313"/>
        <v>10844837</v>
      </c>
      <c r="U304" s="21">
        <f t="shared" si="313"/>
        <v>865833473.63000011</v>
      </c>
      <c r="AR304" s="13"/>
      <c r="AS304" s="40"/>
      <c r="AT304" s="40"/>
      <c r="AU304" s="13"/>
      <c r="AV304" s="41"/>
      <c r="AW304" s="42"/>
    </row>
    <row r="305" spans="2:49" x14ac:dyDescent="0.25">
      <c r="B305" s="2" t="s">
        <v>8</v>
      </c>
      <c r="C305" s="2">
        <v>2021</v>
      </c>
      <c r="D305" s="1">
        <v>236026</v>
      </c>
      <c r="E305" s="11">
        <v>10317106.450000001</v>
      </c>
      <c r="F305" s="1">
        <v>827313</v>
      </c>
      <c r="G305" s="11">
        <v>90645673</v>
      </c>
      <c r="H305" s="1">
        <v>28538</v>
      </c>
      <c r="I305" s="11">
        <v>1414095</v>
      </c>
      <c r="J305" s="1">
        <v>696285</v>
      </c>
      <c r="K305" s="11">
        <v>84649220</v>
      </c>
      <c r="L305" s="8">
        <v>264238</v>
      </c>
      <c r="M305" s="11">
        <v>19834128</v>
      </c>
      <c r="N305" s="8">
        <v>0</v>
      </c>
      <c r="O305" s="11">
        <v>0</v>
      </c>
      <c r="P305" s="8">
        <f>+L305+H305+F305+D305+N305+J305</f>
        <v>2052400</v>
      </c>
      <c r="Q305" s="11">
        <f t="shared" si="312"/>
        <v>206860222.44999999</v>
      </c>
      <c r="T305" s="20">
        <f t="shared" si="313"/>
        <v>10183781</v>
      </c>
      <c r="U305" s="21">
        <f t="shared" si="313"/>
        <v>813516343.25</v>
      </c>
      <c r="AR305" s="13"/>
      <c r="AS305" s="40"/>
      <c r="AT305" s="40"/>
      <c r="AU305" s="13"/>
      <c r="AV305" s="41"/>
      <c r="AW305" s="42"/>
    </row>
    <row r="306" spans="2:49" x14ac:dyDescent="0.25">
      <c r="B306" s="2" t="s">
        <v>9</v>
      </c>
      <c r="C306" s="2">
        <v>2021</v>
      </c>
      <c r="D306" s="1">
        <v>281182</v>
      </c>
      <c r="E306" s="11">
        <v>11493744.360000003</v>
      </c>
      <c r="F306" s="1">
        <v>891230</v>
      </c>
      <c r="G306" s="11">
        <v>93464648</v>
      </c>
      <c r="H306" s="1">
        <v>31660</v>
      </c>
      <c r="I306" s="11">
        <v>1645700</v>
      </c>
      <c r="J306" s="1">
        <v>720989</v>
      </c>
      <c r="K306" s="11">
        <v>89541330</v>
      </c>
      <c r="L306" s="8">
        <v>291835</v>
      </c>
      <c r="M306" s="11">
        <v>21688707</v>
      </c>
      <c r="N306" s="8">
        <v>0</v>
      </c>
      <c r="O306" s="11">
        <v>0</v>
      </c>
      <c r="P306" s="8">
        <f t="shared" si="312"/>
        <v>2216896</v>
      </c>
      <c r="Q306" s="11">
        <f t="shared" si="312"/>
        <v>217834129.36000001</v>
      </c>
      <c r="T306" s="20">
        <f t="shared" si="313"/>
        <v>11396824</v>
      </c>
      <c r="U306" s="21">
        <f t="shared" si="313"/>
        <v>881376352.83999991</v>
      </c>
      <c r="AR306" s="13"/>
      <c r="AS306" s="40"/>
      <c r="AT306" s="40"/>
      <c r="AU306" s="13"/>
      <c r="AV306" s="41"/>
      <c r="AW306" s="42"/>
    </row>
    <row r="307" spans="2:49" x14ac:dyDescent="0.25">
      <c r="B307" s="2" t="s">
        <v>10</v>
      </c>
      <c r="C307" s="2">
        <v>2021</v>
      </c>
      <c r="D307" s="1">
        <v>286838</v>
      </c>
      <c r="E307" s="11">
        <v>10876464.610000003</v>
      </c>
      <c r="F307" s="1">
        <v>883750</v>
      </c>
      <c r="G307" s="11">
        <v>95053389</v>
      </c>
      <c r="H307" s="1">
        <v>30644</v>
      </c>
      <c r="I307" s="11">
        <v>1595666</v>
      </c>
      <c r="J307" s="1">
        <v>685800</v>
      </c>
      <c r="K307" s="11">
        <v>88359827</v>
      </c>
      <c r="L307" s="8">
        <v>290577</v>
      </c>
      <c r="M307" s="11">
        <v>21441053</v>
      </c>
      <c r="N307" s="8">
        <v>0</v>
      </c>
      <c r="O307" s="11">
        <v>0</v>
      </c>
      <c r="P307" s="8">
        <f t="shared" si="312"/>
        <v>2177609</v>
      </c>
      <c r="Q307" s="11">
        <f t="shared" si="312"/>
        <v>217326399.61000001</v>
      </c>
      <c r="T307" s="20">
        <f t="shared" si="313"/>
        <v>11856649</v>
      </c>
      <c r="U307" s="21">
        <f t="shared" si="313"/>
        <v>909625666.52999997</v>
      </c>
      <c r="AR307" s="13"/>
      <c r="AS307" s="40"/>
      <c r="AT307" s="40"/>
      <c r="AU307" s="13"/>
      <c r="AV307" s="41"/>
      <c r="AW307" s="42"/>
    </row>
    <row r="308" spans="2:49" x14ac:dyDescent="0.25">
      <c r="B308" s="2" t="s">
        <v>11</v>
      </c>
      <c r="C308" s="2">
        <v>2021</v>
      </c>
      <c r="D308" s="1">
        <v>293285</v>
      </c>
      <c r="E308" s="11">
        <v>11997226.959999999</v>
      </c>
      <c r="F308" s="1">
        <v>941226</v>
      </c>
      <c r="G308" s="11">
        <v>99760657</v>
      </c>
      <c r="H308" s="1">
        <v>33441</v>
      </c>
      <c r="I308" s="11">
        <v>1729685</v>
      </c>
      <c r="J308" s="1">
        <v>771596</v>
      </c>
      <c r="K308" s="11">
        <v>96049630</v>
      </c>
      <c r="L308" s="8">
        <v>306956</v>
      </c>
      <c r="M308" s="11">
        <v>23210162</v>
      </c>
      <c r="N308" s="8">
        <v>0</v>
      </c>
      <c r="O308" s="11">
        <v>0</v>
      </c>
      <c r="P308" s="8">
        <f t="shared" si="312"/>
        <v>2346504</v>
      </c>
      <c r="Q308" s="11">
        <f t="shared" si="312"/>
        <v>232747360.96000001</v>
      </c>
      <c r="T308" s="20">
        <f t="shared" si="313"/>
        <v>12057513</v>
      </c>
      <c r="U308" s="21">
        <f t="shared" si="313"/>
        <v>938045410.97000003</v>
      </c>
      <c r="AR308" s="13"/>
      <c r="AS308" s="40"/>
      <c r="AT308" s="40"/>
      <c r="AU308" s="13"/>
      <c r="AV308" s="41"/>
      <c r="AW308" s="42"/>
    </row>
    <row r="309" spans="2:49" x14ac:dyDescent="0.25">
      <c r="B309" s="2" t="s">
        <v>4</v>
      </c>
      <c r="C309" s="2">
        <v>2021</v>
      </c>
      <c r="D309" s="1">
        <v>300309</v>
      </c>
      <c r="E309" s="11">
        <v>12808666.509999998</v>
      </c>
      <c r="F309" s="1">
        <v>900342</v>
      </c>
      <c r="G309" s="11">
        <v>97732511</v>
      </c>
      <c r="H309" s="1">
        <v>34233</v>
      </c>
      <c r="I309" s="11">
        <v>1736371</v>
      </c>
      <c r="J309" s="1">
        <v>741563</v>
      </c>
      <c r="K309" s="11">
        <v>95068265</v>
      </c>
      <c r="L309" s="8">
        <v>307628</v>
      </c>
      <c r="M309" s="11">
        <v>23355605</v>
      </c>
      <c r="N309" s="8">
        <v>0</v>
      </c>
      <c r="O309" s="11">
        <v>0</v>
      </c>
      <c r="P309" s="8">
        <f t="shared" si="312"/>
        <v>2284075</v>
      </c>
      <c r="Q309" s="11">
        <f t="shared" si="312"/>
        <v>230701418.50999999</v>
      </c>
      <c r="T309" s="20">
        <f t="shared" si="313"/>
        <v>11918624</v>
      </c>
      <c r="U309" s="21">
        <f t="shared" si="313"/>
        <v>926462273.59000003</v>
      </c>
      <c r="AR309" s="13"/>
      <c r="AS309" s="40"/>
      <c r="AT309" s="40"/>
      <c r="AU309" s="13"/>
      <c r="AV309" s="41"/>
      <c r="AW309" s="42"/>
    </row>
    <row r="310" spans="2:49" x14ac:dyDescent="0.25">
      <c r="B310" s="2" t="s">
        <v>28</v>
      </c>
      <c r="C310" s="2">
        <v>2021</v>
      </c>
      <c r="D310" s="1">
        <v>314852</v>
      </c>
      <c r="E310" s="11">
        <v>12419838.819999998</v>
      </c>
      <c r="F310" s="1">
        <v>978126</v>
      </c>
      <c r="G310" s="11">
        <v>100858135</v>
      </c>
      <c r="H310" s="1">
        <v>35309</v>
      </c>
      <c r="I310" s="11">
        <v>1829179</v>
      </c>
      <c r="J310" s="1">
        <v>688821</v>
      </c>
      <c r="K310" s="11">
        <v>89022771</v>
      </c>
      <c r="L310" s="8">
        <v>315754</v>
      </c>
      <c r="M310" s="11">
        <v>24411709</v>
      </c>
      <c r="N310" s="8">
        <v>0</v>
      </c>
      <c r="O310" s="11">
        <v>0</v>
      </c>
      <c r="P310" s="8">
        <f t="shared" si="312"/>
        <v>2332862</v>
      </c>
      <c r="Q310" s="11">
        <f t="shared" si="312"/>
        <v>228541632.81999999</v>
      </c>
      <c r="T310" s="20">
        <f t="shared" si="313"/>
        <v>12189838</v>
      </c>
      <c r="U310" s="21">
        <f t="shared" si="313"/>
        <v>921875636.80999994</v>
      </c>
      <c r="AR310" s="13"/>
      <c r="AS310" s="40"/>
      <c r="AT310" s="40"/>
      <c r="AU310" s="13"/>
      <c r="AV310" s="41"/>
      <c r="AW310" s="42"/>
    </row>
    <row r="311" spans="2:49" x14ac:dyDescent="0.25">
      <c r="B311" s="2" t="s">
        <v>29</v>
      </c>
      <c r="C311" s="2">
        <v>2021</v>
      </c>
      <c r="D311" s="1">
        <v>381023</v>
      </c>
      <c r="E311" s="11">
        <v>14420867.26</v>
      </c>
      <c r="F311" s="1">
        <v>996294</v>
      </c>
      <c r="G311" s="11">
        <v>109355454</v>
      </c>
      <c r="H311" s="1">
        <v>36786</v>
      </c>
      <c r="I311" s="11">
        <v>1917334</v>
      </c>
      <c r="J311" s="1">
        <v>779938</v>
      </c>
      <c r="K311" s="11">
        <v>101786151</v>
      </c>
      <c r="L311" s="8">
        <v>358781</v>
      </c>
      <c r="M311" s="11">
        <v>27297399</v>
      </c>
      <c r="N311" s="8">
        <v>0</v>
      </c>
      <c r="O311" s="11">
        <v>0</v>
      </c>
      <c r="P311" s="8">
        <f t="shared" si="312"/>
        <v>2552822</v>
      </c>
      <c r="Q311" s="11">
        <f t="shared" si="312"/>
        <v>254777205.25999999</v>
      </c>
      <c r="T311" s="20">
        <f t="shared" si="313"/>
        <v>13591933</v>
      </c>
      <c r="U311" s="21">
        <f t="shared" si="313"/>
        <v>1021538436.46</v>
      </c>
      <c r="AR311" s="13"/>
      <c r="AS311" s="40"/>
      <c r="AT311" s="40"/>
      <c r="AU311" s="13"/>
      <c r="AV311" s="40"/>
      <c r="AW311" s="40"/>
    </row>
    <row r="312" spans="2:49" x14ac:dyDescent="0.25">
      <c r="B312" s="2" t="s">
        <v>30</v>
      </c>
      <c r="C312" s="2">
        <v>2021</v>
      </c>
      <c r="D312" s="1">
        <v>409475</v>
      </c>
      <c r="E312" s="11">
        <v>21205266.289999995</v>
      </c>
      <c r="F312" s="1">
        <v>1128637</v>
      </c>
      <c r="G312" s="11">
        <v>127682085</v>
      </c>
      <c r="H312" s="1">
        <v>41077</v>
      </c>
      <c r="I312" s="11">
        <v>2189048</v>
      </c>
      <c r="J312" s="1">
        <v>822529</v>
      </c>
      <c r="K312" s="11">
        <v>109146046</v>
      </c>
      <c r="L312" s="8">
        <v>373873</v>
      </c>
      <c r="M312" s="11">
        <v>29521223</v>
      </c>
      <c r="N312" s="8">
        <v>0</v>
      </c>
      <c r="O312" s="11">
        <v>0</v>
      </c>
      <c r="P312" s="8">
        <f t="shared" si="312"/>
        <v>2775591</v>
      </c>
      <c r="Q312" s="11">
        <f t="shared" si="312"/>
        <v>289743668.28999996</v>
      </c>
      <c r="T312" s="20">
        <f t="shared" si="313"/>
        <v>13887761</v>
      </c>
      <c r="U312" s="21">
        <f t="shared" si="313"/>
        <v>1053268956.1899999</v>
      </c>
      <c r="AR312" s="13"/>
      <c r="AS312" s="40"/>
      <c r="AT312" s="40"/>
      <c r="AU312" s="13"/>
      <c r="AV312" s="40"/>
      <c r="AW312" s="40"/>
    </row>
    <row r="313" spans="2:49" x14ac:dyDescent="0.25">
      <c r="B313" s="2" t="s">
        <v>31</v>
      </c>
      <c r="C313" s="2">
        <v>2021</v>
      </c>
      <c r="D313" s="1">
        <v>383182</v>
      </c>
      <c r="E313" s="11">
        <v>15221831.49</v>
      </c>
      <c r="F313" s="1">
        <v>1226411</v>
      </c>
      <c r="G313" s="11">
        <v>146149163</v>
      </c>
      <c r="H313" s="1">
        <v>54216</v>
      </c>
      <c r="I313" s="11">
        <v>2810829</v>
      </c>
      <c r="J313" s="1">
        <v>996754</v>
      </c>
      <c r="K313" s="11">
        <v>131973623</v>
      </c>
      <c r="L313" s="8">
        <v>409849</v>
      </c>
      <c r="M313" s="11">
        <v>34149882</v>
      </c>
      <c r="N313" s="8">
        <v>0</v>
      </c>
      <c r="O313" s="11">
        <v>0</v>
      </c>
      <c r="P313" s="8">
        <f t="shared" si="312"/>
        <v>3070412</v>
      </c>
      <c r="Q313" s="11">
        <f t="shared" si="312"/>
        <v>330305328.49000001</v>
      </c>
      <c r="T313" s="20">
        <f t="shared" si="313"/>
        <v>14645307</v>
      </c>
      <c r="U313" s="21">
        <f t="shared" si="313"/>
        <v>1125002337.55</v>
      </c>
      <c r="AR313" s="13"/>
      <c r="AS313" s="40"/>
      <c r="AT313" s="40"/>
      <c r="AU313" s="13"/>
      <c r="AV313" s="40"/>
      <c r="AW313" s="40"/>
    </row>
    <row r="314" spans="2:49" x14ac:dyDescent="0.25">
      <c r="F314" s="39"/>
      <c r="P314"/>
      <c r="U314" s="9"/>
    </row>
    <row r="315" spans="2:49" x14ac:dyDescent="0.25">
      <c r="B315" s="3" t="s">
        <v>12</v>
      </c>
      <c r="C315" s="3"/>
      <c r="D315" s="4">
        <f>SUM(D302:D314)</f>
        <v>3505083</v>
      </c>
      <c r="E315" s="12">
        <f t="shared" ref="E315:Q315" si="314">SUM(E302:E314)</f>
        <v>148269149.99999997</v>
      </c>
      <c r="F315" s="4">
        <f t="shared" si="314"/>
        <v>11012330</v>
      </c>
      <c r="G315" s="12">
        <f t="shared" si="314"/>
        <v>1199347927</v>
      </c>
      <c r="H315" s="4">
        <f t="shared" si="314"/>
        <v>406304</v>
      </c>
      <c r="I315" s="12">
        <f t="shared" si="314"/>
        <v>20723086</v>
      </c>
      <c r="J315" s="4">
        <f>SUM(J302:J314)</f>
        <v>8742513</v>
      </c>
      <c r="K315" s="12">
        <f>SUM(K302:K314)</f>
        <v>1106544357</v>
      </c>
      <c r="L315" s="4">
        <f t="shared" si="314"/>
        <v>3628650</v>
      </c>
      <c r="M315" s="12">
        <f t="shared" si="314"/>
        <v>278645558.72000003</v>
      </c>
      <c r="N315" s="4">
        <f t="shared" si="314"/>
        <v>0</v>
      </c>
      <c r="O315" s="12">
        <f t="shared" si="314"/>
        <v>0</v>
      </c>
      <c r="P315" s="4">
        <f t="shared" si="314"/>
        <v>27294880</v>
      </c>
      <c r="Q315" s="12">
        <f t="shared" si="314"/>
        <v>2753530078.7200003</v>
      </c>
      <c r="R315" s="13"/>
      <c r="T315" s="22">
        <f>SUM(T302:T314)</f>
        <v>139798864</v>
      </c>
      <c r="U315" s="23">
        <f>SUM(U302:U314)</f>
        <v>10832714163.440001</v>
      </c>
    </row>
    <row r="316" spans="2:49" x14ac:dyDescent="0.25">
      <c r="F316" s="39">
        <f>+F311+D311</f>
        <v>1377317</v>
      </c>
      <c r="G316" s="9">
        <f>+G311+E311</f>
        <v>123776321.26000001</v>
      </c>
      <c r="H316" s="39"/>
      <c r="J316" s="39">
        <f t="shared" ref="J316:K316" si="315">+J315</f>
        <v>8742513</v>
      </c>
      <c r="K316" s="9">
        <f t="shared" si="315"/>
        <v>1106544357</v>
      </c>
      <c r="L316" s="39"/>
      <c r="N316" s="39"/>
      <c r="P316" s="9">
        <f>+N316+L316+J316+H316+F316</f>
        <v>10119830</v>
      </c>
      <c r="Q316" s="9">
        <f>+O316+M316+K316+I316+G316</f>
        <v>1230320678.26</v>
      </c>
      <c r="R316" s="9"/>
    </row>
    <row r="317" spans="2:49" x14ac:dyDescent="0.25">
      <c r="F317"/>
      <c r="N317" s="9"/>
      <c r="P317" s="29">
        <f>+P316/P315</f>
        <v>0.370759277930513</v>
      </c>
      <c r="Q317" s="29">
        <f>+Q316/Q315</f>
        <v>0.44681577578114712</v>
      </c>
      <c r="R317" s="9"/>
      <c r="S317"/>
    </row>
    <row r="318" spans="2:49" x14ac:dyDescent="0.25">
      <c r="B318" s="5" t="s">
        <v>14</v>
      </c>
      <c r="F318"/>
      <c r="N318" s="9"/>
      <c r="P318"/>
      <c r="S318"/>
    </row>
    <row r="319" spans="2:49" x14ac:dyDescent="0.25">
      <c r="B319" s="5" t="s">
        <v>74</v>
      </c>
      <c r="F319"/>
      <c r="N319" s="9"/>
      <c r="P319"/>
      <c r="S319"/>
    </row>
    <row r="320" spans="2:49" x14ac:dyDescent="0.25">
      <c r="F320"/>
      <c r="N320" s="9"/>
      <c r="P320"/>
      <c r="Q320"/>
      <c r="S320"/>
    </row>
    <row r="321" spans="2:19" x14ac:dyDescent="0.25">
      <c r="D321" s="89" t="s">
        <v>15</v>
      </c>
      <c r="E321" s="90"/>
      <c r="F321" s="89" t="s">
        <v>72</v>
      </c>
      <c r="G321" s="90"/>
      <c r="H321" s="89" t="s">
        <v>16</v>
      </c>
      <c r="I321" s="90"/>
      <c r="J321" s="89" t="s">
        <v>73</v>
      </c>
      <c r="K321" s="90"/>
      <c r="L321" s="89" t="s">
        <v>70</v>
      </c>
      <c r="M321" s="90"/>
      <c r="N321" s="9"/>
      <c r="P321"/>
      <c r="Q321"/>
      <c r="S321"/>
    </row>
    <row r="322" spans="2:19" x14ac:dyDescent="0.25">
      <c r="B322" s="7" t="s">
        <v>0</v>
      </c>
      <c r="C322" s="7" t="s">
        <v>1</v>
      </c>
      <c r="D322" s="7" t="s">
        <v>2</v>
      </c>
      <c r="E322" s="10" t="s">
        <v>3</v>
      </c>
      <c r="F322" s="7" t="s">
        <v>2</v>
      </c>
      <c r="G322" s="10" t="s">
        <v>3</v>
      </c>
      <c r="H322" s="7" t="s">
        <v>2</v>
      </c>
      <c r="I322" s="10" t="s">
        <v>3</v>
      </c>
      <c r="J322" s="7" t="s">
        <v>2</v>
      </c>
      <c r="K322" s="10" t="s">
        <v>3</v>
      </c>
      <c r="L322" s="7" t="s">
        <v>2</v>
      </c>
      <c r="M322" s="10" t="s">
        <v>3</v>
      </c>
      <c r="N322" s="9"/>
      <c r="P322"/>
      <c r="Q322"/>
      <c r="S322"/>
    </row>
    <row r="323" spans="2:19" x14ac:dyDescent="0.25">
      <c r="N323" s="9"/>
      <c r="P323"/>
      <c r="Q323"/>
      <c r="S323"/>
    </row>
    <row r="324" spans="2:19" x14ac:dyDescent="0.25">
      <c r="B324" s="2" t="s">
        <v>5</v>
      </c>
      <c r="C324" s="2">
        <v>2021</v>
      </c>
      <c r="D324" s="1">
        <v>111692</v>
      </c>
      <c r="E324" s="11">
        <v>5324906.13</v>
      </c>
      <c r="F324" s="1">
        <v>60136</v>
      </c>
      <c r="G324" s="11">
        <v>2425783.8800000004</v>
      </c>
      <c r="H324" s="1">
        <v>5500</v>
      </c>
      <c r="I324" s="11">
        <v>137293.51999999996</v>
      </c>
      <c r="J324" s="45">
        <v>0</v>
      </c>
      <c r="K324" s="11">
        <v>0</v>
      </c>
      <c r="L324" s="1">
        <f>+D324+F324+H324+J324</f>
        <v>177328</v>
      </c>
      <c r="M324" s="11">
        <f>+E324+G324+I324+K324</f>
        <v>7887983.5299999993</v>
      </c>
      <c r="N324" s="39">
        <f>+L324-D302</f>
        <v>0</v>
      </c>
      <c r="O324" s="13">
        <f>+M324-E302</f>
        <v>0</v>
      </c>
      <c r="P324"/>
      <c r="Q324"/>
    </row>
    <row r="325" spans="2:19" x14ac:dyDescent="0.25">
      <c r="B325" s="2" t="s">
        <v>6</v>
      </c>
      <c r="C325" s="2">
        <v>2021</v>
      </c>
      <c r="D325" s="1">
        <v>118968</v>
      </c>
      <c r="E325" s="11">
        <v>5627812.6800000006</v>
      </c>
      <c r="F325" s="1">
        <v>68583</v>
      </c>
      <c r="G325" s="11">
        <v>2728600.2700000005</v>
      </c>
      <c r="H325" s="1">
        <v>6169</v>
      </c>
      <c r="I325" s="11">
        <v>156706.19999999998</v>
      </c>
      <c r="J325" s="45">
        <v>0</v>
      </c>
      <c r="K325" s="11">
        <v>0</v>
      </c>
      <c r="L325" s="1">
        <f t="shared" ref="L325:M335" si="316">+D325+F325+H325+J325</f>
        <v>193720</v>
      </c>
      <c r="M325" s="11">
        <f t="shared" si="316"/>
        <v>8513119.1500000004</v>
      </c>
      <c r="N325" s="39">
        <f>+L325-D303</f>
        <v>0</v>
      </c>
      <c r="O325" s="13">
        <f t="shared" ref="O325" si="317">+M325-E303</f>
        <v>0</v>
      </c>
      <c r="P325"/>
      <c r="Q325"/>
    </row>
    <row r="326" spans="2:19" x14ac:dyDescent="0.25">
      <c r="B326" s="2" t="s">
        <v>7</v>
      </c>
      <c r="C326" s="2">
        <v>2021</v>
      </c>
      <c r="D326" s="1">
        <v>152424</v>
      </c>
      <c r="E326" s="11">
        <v>7455253.830000001</v>
      </c>
      <c r="F326" s="1">
        <v>87948</v>
      </c>
      <c r="G326" s="11">
        <v>3459211.6500000008</v>
      </c>
      <c r="H326" s="1">
        <v>7488</v>
      </c>
      <c r="I326" s="11">
        <v>192244.33999999997</v>
      </c>
      <c r="J326" s="1">
        <v>3</v>
      </c>
      <c r="K326" s="11">
        <v>324.75</v>
      </c>
      <c r="L326" s="1">
        <f t="shared" si="316"/>
        <v>247863</v>
      </c>
      <c r="M326" s="11">
        <f t="shared" si="316"/>
        <v>11107034.570000002</v>
      </c>
      <c r="N326" s="39">
        <f t="shared" ref="N326:O334" si="318">+L326-D304</f>
        <v>0</v>
      </c>
      <c r="O326" s="13">
        <f t="shared" si="318"/>
        <v>0</v>
      </c>
      <c r="P326"/>
      <c r="Q326"/>
    </row>
    <row r="327" spans="2:19" x14ac:dyDescent="0.25">
      <c r="B327" s="2" t="s">
        <v>8</v>
      </c>
      <c r="C327" s="2">
        <v>2021</v>
      </c>
      <c r="D327" s="1">
        <v>145530</v>
      </c>
      <c r="E327" s="11">
        <v>6929407.4400000013</v>
      </c>
      <c r="F327" s="1">
        <v>83180</v>
      </c>
      <c r="G327" s="11">
        <v>3203123.96</v>
      </c>
      <c r="H327" s="1">
        <v>7315</v>
      </c>
      <c r="I327" s="11">
        <v>184571.21</v>
      </c>
      <c r="J327" s="1">
        <v>1</v>
      </c>
      <c r="K327" s="11">
        <v>3.84</v>
      </c>
      <c r="L327" s="1">
        <f t="shared" si="316"/>
        <v>236026</v>
      </c>
      <c r="M327" s="11">
        <f t="shared" si="316"/>
        <v>10317106.450000003</v>
      </c>
      <c r="N327" s="39">
        <f t="shared" si="318"/>
        <v>0</v>
      </c>
      <c r="O327" s="13">
        <f t="shared" si="318"/>
        <v>0</v>
      </c>
      <c r="P327"/>
      <c r="Q327"/>
    </row>
    <row r="328" spans="2:19" x14ac:dyDescent="0.25">
      <c r="B328" s="2" t="s">
        <v>9</v>
      </c>
      <c r="C328" s="2">
        <v>2021</v>
      </c>
      <c r="D328" s="1">
        <v>170186</v>
      </c>
      <c r="E328" s="11">
        <v>7626828.1899999985</v>
      </c>
      <c r="F328" s="1">
        <v>100706</v>
      </c>
      <c r="G328" s="11">
        <v>3616870.44</v>
      </c>
      <c r="H328" s="1">
        <v>10285</v>
      </c>
      <c r="I328" s="11">
        <v>250008.09000000005</v>
      </c>
      <c r="J328" s="1">
        <v>5</v>
      </c>
      <c r="K328" s="11">
        <v>37.64</v>
      </c>
      <c r="L328" s="1">
        <f t="shared" si="316"/>
        <v>281182</v>
      </c>
      <c r="M328" s="11">
        <f t="shared" si="316"/>
        <v>11493744.359999999</v>
      </c>
      <c r="N328" s="39">
        <f t="shared" si="318"/>
        <v>0</v>
      </c>
      <c r="O328" s="13">
        <f t="shared" si="318"/>
        <v>0</v>
      </c>
      <c r="P328"/>
      <c r="Q328"/>
    </row>
    <row r="329" spans="2:19" x14ac:dyDescent="0.25">
      <c r="B329" s="2" t="s">
        <v>10</v>
      </c>
      <c r="C329" s="2">
        <v>2021</v>
      </c>
      <c r="D329" s="1">
        <v>173270</v>
      </c>
      <c r="E329" s="11">
        <v>7216667.1999999983</v>
      </c>
      <c r="F329" s="1">
        <v>102201</v>
      </c>
      <c r="G329" s="11">
        <v>3389655.9299999997</v>
      </c>
      <c r="H329" s="1">
        <v>11367</v>
      </c>
      <c r="I329" s="11">
        <v>270141.48000000004</v>
      </c>
      <c r="J329" s="1">
        <v>0</v>
      </c>
      <c r="K329" s="11">
        <v>0</v>
      </c>
      <c r="L329" s="1">
        <f t="shared" si="316"/>
        <v>286838</v>
      </c>
      <c r="M329" s="11">
        <f t="shared" si="316"/>
        <v>10876464.609999999</v>
      </c>
      <c r="N329" s="39">
        <f t="shared" si="318"/>
        <v>0</v>
      </c>
      <c r="O329" s="13">
        <f t="shared" si="318"/>
        <v>0</v>
      </c>
      <c r="P329"/>
      <c r="Q329"/>
    </row>
    <row r="330" spans="2:19" x14ac:dyDescent="0.25">
      <c r="B330" s="2" t="s">
        <v>11</v>
      </c>
      <c r="C330" s="2">
        <v>2021</v>
      </c>
      <c r="D330" s="1">
        <v>180431</v>
      </c>
      <c r="E330" s="11">
        <v>8046799.330000001</v>
      </c>
      <c r="F330" s="1">
        <v>101576</v>
      </c>
      <c r="G330" s="11">
        <v>3672703.22</v>
      </c>
      <c r="H330" s="1">
        <v>11278</v>
      </c>
      <c r="I330" s="11">
        <v>277724.40999999997</v>
      </c>
      <c r="J330" s="1">
        <v>0</v>
      </c>
      <c r="K330" s="11">
        <v>0</v>
      </c>
      <c r="L330" s="1">
        <f t="shared" si="316"/>
        <v>293285</v>
      </c>
      <c r="M330" s="11">
        <f t="shared" si="316"/>
        <v>11997226.960000001</v>
      </c>
      <c r="N330" s="39">
        <f t="shared" si="318"/>
        <v>0</v>
      </c>
      <c r="O330" s="13">
        <f t="shared" si="318"/>
        <v>0</v>
      </c>
      <c r="P330"/>
      <c r="Q330"/>
    </row>
    <row r="331" spans="2:19" x14ac:dyDescent="0.25">
      <c r="B331" s="2" t="s">
        <v>4</v>
      </c>
      <c r="C331" s="2">
        <v>2021</v>
      </c>
      <c r="D331" s="1">
        <v>179621</v>
      </c>
      <c r="E331" s="11">
        <v>8315875.9900000002</v>
      </c>
      <c r="F331" s="1">
        <v>108506</v>
      </c>
      <c r="G331" s="11">
        <v>4145587.36</v>
      </c>
      <c r="H331" s="1">
        <v>12181</v>
      </c>
      <c r="I331" s="11">
        <v>347194.25999999995</v>
      </c>
      <c r="J331" s="1">
        <v>1</v>
      </c>
      <c r="K331" s="11">
        <v>8.9</v>
      </c>
      <c r="L331" s="1">
        <f t="shared" si="316"/>
        <v>300309</v>
      </c>
      <c r="M331" s="11">
        <f t="shared" si="316"/>
        <v>12808666.51</v>
      </c>
      <c r="N331" s="39">
        <f t="shared" si="318"/>
        <v>0</v>
      </c>
      <c r="O331" s="13">
        <f t="shared" si="318"/>
        <v>0</v>
      </c>
      <c r="P331"/>
      <c r="Q331"/>
    </row>
    <row r="332" spans="2:19" x14ac:dyDescent="0.25">
      <c r="B332" s="2" t="s">
        <v>28</v>
      </c>
      <c r="C332" s="2">
        <v>2021</v>
      </c>
      <c r="D332" s="1">
        <v>185078</v>
      </c>
      <c r="E332" s="11">
        <v>8027418.1500000004</v>
      </c>
      <c r="F332" s="1">
        <v>116289</v>
      </c>
      <c r="G332" s="11">
        <v>4032886.2500000005</v>
      </c>
      <c r="H332" s="1">
        <v>13484</v>
      </c>
      <c r="I332" s="11">
        <v>359525.51999999996</v>
      </c>
      <c r="J332" s="1">
        <v>1</v>
      </c>
      <c r="K332" s="11">
        <v>8.9</v>
      </c>
      <c r="L332" s="1">
        <f t="shared" si="316"/>
        <v>314852</v>
      </c>
      <c r="M332" s="11">
        <f t="shared" si="316"/>
        <v>12419838.82</v>
      </c>
      <c r="N332" s="39">
        <f t="shared" si="318"/>
        <v>0</v>
      </c>
      <c r="O332" s="13">
        <f t="shared" si="318"/>
        <v>0</v>
      </c>
      <c r="P332"/>
      <c r="Q332"/>
    </row>
    <row r="333" spans="2:19" x14ac:dyDescent="0.25">
      <c r="B333" s="2" t="s">
        <v>29</v>
      </c>
      <c r="C333" s="2">
        <v>2021</v>
      </c>
      <c r="D333" s="1">
        <v>223678</v>
      </c>
      <c r="E333" s="11">
        <v>9350767.2200000007</v>
      </c>
      <c r="F333" s="1">
        <v>141408</v>
      </c>
      <c r="G333" s="11">
        <v>4661015.2699999996</v>
      </c>
      <c r="H333" s="1">
        <v>15937</v>
      </c>
      <c r="I333" s="11">
        <v>409084.77</v>
      </c>
      <c r="J333" s="1">
        <v>0</v>
      </c>
      <c r="K333" s="11">
        <v>0</v>
      </c>
      <c r="L333" s="1">
        <f t="shared" si="316"/>
        <v>381023</v>
      </c>
      <c r="M333" s="11">
        <f t="shared" si="316"/>
        <v>14420867.26</v>
      </c>
      <c r="N333" s="39">
        <f t="shared" si="318"/>
        <v>0</v>
      </c>
      <c r="O333" s="13">
        <f t="shared" si="318"/>
        <v>0</v>
      </c>
      <c r="P333"/>
      <c r="Q333"/>
    </row>
    <row r="334" spans="2:19" x14ac:dyDescent="0.25">
      <c r="B334" s="2" t="s">
        <v>30</v>
      </c>
      <c r="C334" s="2">
        <v>2021</v>
      </c>
      <c r="D334" s="1">
        <v>243499</v>
      </c>
      <c r="E334" s="11">
        <v>13329747.779999999</v>
      </c>
      <c r="F334" s="1">
        <v>148939</v>
      </c>
      <c r="G334" s="11">
        <v>7007282.8399999989</v>
      </c>
      <c r="H334" s="1">
        <v>17034</v>
      </c>
      <c r="I334" s="11">
        <v>868211.97</v>
      </c>
      <c r="J334" s="1">
        <v>3</v>
      </c>
      <c r="K334" s="11">
        <v>23.700000000000003</v>
      </c>
      <c r="L334" s="1">
        <f t="shared" si="316"/>
        <v>409475</v>
      </c>
      <c r="M334" s="11">
        <f t="shared" si="316"/>
        <v>21205266.289999995</v>
      </c>
      <c r="N334" s="39">
        <f t="shared" si="318"/>
        <v>0</v>
      </c>
      <c r="O334" s="13">
        <f t="shared" si="318"/>
        <v>0</v>
      </c>
      <c r="P334"/>
      <c r="Q334"/>
    </row>
    <row r="335" spans="2:19" x14ac:dyDescent="0.25">
      <c r="B335" s="2" t="s">
        <v>31</v>
      </c>
      <c r="C335" s="2">
        <v>2021</v>
      </c>
      <c r="D335" s="1">
        <v>235161</v>
      </c>
      <c r="E335" s="11">
        <v>10321123.520000001</v>
      </c>
      <c r="F335" s="1">
        <v>136413</v>
      </c>
      <c r="G335" s="11">
        <v>4601709.8099999987</v>
      </c>
      <c r="H335" s="1">
        <v>11606</v>
      </c>
      <c r="I335" s="11">
        <v>298971.84000000003</v>
      </c>
      <c r="J335" s="1">
        <v>2</v>
      </c>
      <c r="K335" s="11">
        <v>26.32</v>
      </c>
      <c r="L335" s="1">
        <f t="shared" si="316"/>
        <v>383182</v>
      </c>
      <c r="M335" s="11">
        <f t="shared" si="316"/>
        <v>15221831.49</v>
      </c>
      <c r="N335" s="39">
        <f>+L335-D313</f>
        <v>0</v>
      </c>
      <c r="O335" s="13">
        <f>+M335-E313</f>
        <v>0</v>
      </c>
      <c r="P335"/>
      <c r="Q335"/>
    </row>
    <row r="336" spans="2:19" x14ac:dyDescent="0.25">
      <c r="P336"/>
      <c r="Q336"/>
    </row>
    <row r="337" spans="2:17" x14ac:dyDescent="0.25">
      <c r="B337" s="88" t="s">
        <v>12</v>
      </c>
      <c r="C337" s="88"/>
      <c r="D337" s="4">
        <f>SUM(D324:D336)</f>
        <v>2119538</v>
      </c>
      <c r="E337" s="12">
        <f>SUM(E324:E336)</f>
        <v>97572607.459999993</v>
      </c>
      <c r="F337" s="4">
        <f t="shared" ref="F337:M337" si="319">SUM(F324:F336)</f>
        <v>1255885</v>
      </c>
      <c r="G337" s="12">
        <f t="shared" si="319"/>
        <v>46944430.879999995</v>
      </c>
      <c r="H337" s="4">
        <f t="shared" si="319"/>
        <v>129644</v>
      </c>
      <c r="I337" s="12">
        <f t="shared" si="319"/>
        <v>3751677.6099999994</v>
      </c>
      <c r="J337" s="4">
        <f t="shared" si="319"/>
        <v>16</v>
      </c>
      <c r="K337" s="12">
        <f t="shared" si="319"/>
        <v>434.0499999999999</v>
      </c>
      <c r="L337" s="4">
        <f t="shared" si="319"/>
        <v>3505083</v>
      </c>
      <c r="M337" s="12">
        <f t="shared" si="319"/>
        <v>148269150</v>
      </c>
      <c r="P337"/>
      <c r="Q337"/>
    </row>
    <row r="339" spans="2:17" x14ac:dyDescent="0.25">
      <c r="B339" s="5" t="s">
        <v>14</v>
      </c>
    </row>
    <row r="340" spans="2:17" x14ac:dyDescent="0.25">
      <c r="B340" s="5" t="s">
        <v>75</v>
      </c>
    </row>
    <row r="342" spans="2:17" x14ac:dyDescent="0.25">
      <c r="D342" s="89" t="s">
        <v>15</v>
      </c>
      <c r="E342" s="90"/>
      <c r="F342" s="89" t="s">
        <v>72</v>
      </c>
      <c r="G342" s="90"/>
      <c r="H342" s="89" t="s">
        <v>16</v>
      </c>
      <c r="I342" s="90"/>
      <c r="J342" s="89" t="s">
        <v>73</v>
      </c>
      <c r="K342" s="90"/>
      <c r="L342" s="89" t="s">
        <v>70</v>
      </c>
      <c r="M342" s="90"/>
      <c r="N342" s="9"/>
    </row>
    <row r="343" spans="2:17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</row>
    <row r="344" spans="2:17" x14ac:dyDescent="0.25">
      <c r="N344" s="9"/>
    </row>
    <row r="345" spans="2:17" x14ac:dyDescent="0.25">
      <c r="B345" s="2" t="s">
        <v>5</v>
      </c>
      <c r="C345" s="2">
        <v>2021</v>
      </c>
      <c r="D345" s="1">
        <v>362758</v>
      </c>
      <c r="E345" s="11">
        <v>39766345</v>
      </c>
      <c r="F345" s="1">
        <v>263689</v>
      </c>
      <c r="G345" s="11">
        <v>25625671</v>
      </c>
      <c r="H345" s="1">
        <v>71571</v>
      </c>
      <c r="I345" s="11">
        <v>7258170</v>
      </c>
      <c r="J345" s="1">
        <v>7</v>
      </c>
      <c r="K345" s="11">
        <v>443</v>
      </c>
      <c r="L345" s="1">
        <f>+D345+F345+H345+J345</f>
        <v>698025</v>
      </c>
      <c r="M345" s="11">
        <f>+E345+G345+I345+K345</f>
        <v>72650629</v>
      </c>
      <c r="N345" s="39">
        <f>+L345-F302</f>
        <v>0</v>
      </c>
      <c r="O345" s="13">
        <f>+M345-G302</f>
        <v>0</v>
      </c>
    </row>
    <row r="346" spans="2:17" x14ac:dyDescent="0.25">
      <c r="B346" s="2" t="s">
        <v>6</v>
      </c>
      <c r="C346" s="2">
        <v>2021</v>
      </c>
      <c r="D346" s="1">
        <v>352221</v>
      </c>
      <c r="E346" s="11">
        <v>39776626</v>
      </c>
      <c r="F346" s="1">
        <v>264262</v>
      </c>
      <c r="G346" s="11">
        <v>26465167</v>
      </c>
      <c r="H346" s="1">
        <v>71645</v>
      </c>
      <c r="I346" s="11">
        <v>7668618</v>
      </c>
      <c r="J346" s="1">
        <v>10</v>
      </c>
      <c r="K346" s="11">
        <v>986</v>
      </c>
      <c r="L346" s="1">
        <f t="shared" ref="L346:M356" si="320">+D346+F346+H346+J346</f>
        <v>688138</v>
      </c>
      <c r="M346" s="11">
        <f t="shared" si="320"/>
        <v>73911397</v>
      </c>
      <c r="N346" s="39">
        <f t="shared" ref="N346:O355" si="321">+L346-F303</f>
        <v>0</v>
      </c>
      <c r="O346" s="13">
        <f t="shared" si="321"/>
        <v>0</v>
      </c>
    </row>
    <row r="347" spans="2:17" x14ac:dyDescent="0.25">
      <c r="B347" s="2" t="s">
        <v>7</v>
      </c>
      <c r="C347" s="2">
        <v>2021</v>
      </c>
      <c r="D347" s="1">
        <v>445458</v>
      </c>
      <c r="E347" s="11">
        <v>50720402</v>
      </c>
      <c r="F347" s="1">
        <v>327850</v>
      </c>
      <c r="G347" s="11">
        <v>32556387</v>
      </c>
      <c r="H347" s="1">
        <v>79522</v>
      </c>
      <c r="I347" s="11">
        <v>8806780</v>
      </c>
      <c r="J347" s="1">
        <v>8</v>
      </c>
      <c r="K347" s="11">
        <v>617</v>
      </c>
      <c r="L347" s="1">
        <f t="shared" si="320"/>
        <v>852838</v>
      </c>
      <c r="M347" s="11">
        <f t="shared" si="320"/>
        <v>92084186</v>
      </c>
      <c r="N347" s="39">
        <f t="shared" si="321"/>
        <v>0</v>
      </c>
      <c r="O347" s="13">
        <f t="shared" si="321"/>
        <v>0</v>
      </c>
    </row>
    <row r="348" spans="2:17" x14ac:dyDescent="0.25">
      <c r="B348" s="2" t="s">
        <v>8</v>
      </c>
      <c r="C348" s="2">
        <v>2021</v>
      </c>
      <c r="D348" s="1">
        <v>429176</v>
      </c>
      <c r="E348" s="11">
        <v>49382454</v>
      </c>
      <c r="F348" s="1">
        <v>312097</v>
      </c>
      <c r="G348" s="11">
        <v>32102765</v>
      </c>
      <c r="H348" s="1">
        <v>86034</v>
      </c>
      <c r="I348" s="11">
        <v>9159776</v>
      </c>
      <c r="J348" s="1">
        <v>6</v>
      </c>
      <c r="K348" s="11">
        <v>678</v>
      </c>
      <c r="L348" s="1">
        <f t="shared" si="320"/>
        <v>827313</v>
      </c>
      <c r="M348" s="11">
        <f t="shared" si="320"/>
        <v>90645673</v>
      </c>
      <c r="N348" s="39">
        <f t="shared" si="321"/>
        <v>0</v>
      </c>
      <c r="O348" s="13">
        <f t="shared" si="321"/>
        <v>0</v>
      </c>
    </row>
    <row r="349" spans="2:17" x14ac:dyDescent="0.25">
      <c r="B349" s="2" t="s">
        <v>9</v>
      </c>
      <c r="C349" s="2">
        <v>2021</v>
      </c>
      <c r="D349" s="1">
        <v>466862</v>
      </c>
      <c r="E349" s="11">
        <v>52164051</v>
      </c>
      <c r="F349" s="1">
        <v>325451</v>
      </c>
      <c r="G349" s="11">
        <v>30977915</v>
      </c>
      <c r="H349" s="1">
        <v>98905</v>
      </c>
      <c r="I349" s="11">
        <v>10321477</v>
      </c>
      <c r="J349" s="1">
        <v>12</v>
      </c>
      <c r="K349" s="11">
        <v>1205</v>
      </c>
      <c r="L349" s="1">
        <f t="shared" si="320"/>
        <v>891230</v>
      </c>
      <c r="M349" s="11">
        <f t="shared" si="320"/>
        <v>93464648</v>
      </c>
      <c r="N349" s="39">
        <f t="shared" si="321"/>
        <v>0</v>
      </c>
      <c r="O349" s="13">
        <f t="shared" si="321"/>
        <v>0</v>
      </c>
    </row>
    <row r="350" spans="2:17" x14ac:dyDescent="0.25">
      <c r="B350" s="2" t="s">
        <v>10</v>
      </c>
      <c r="C350" s="2">
        <v>2021</v>
      </c>
      <c r="D350" s="1">
        <v>474677</v>
      </c>
      <c r="E350" s="11">
        <v>53555511</v>
      </c>
      <c r="F350" s="1">
        <v>312219</v>
      </c>
      <c r="G350" s="11">
        <v>30255939</v>
      </c>
      <c r="H350" s="1">
        <v>96847</v>
      </c>
      <c r="I350" s="11">
        <v>11241383</v>
      </c>
      <c r="J350" s="1">
        <v>7</v>
      </c>
      <c r="K350" s="11">
        <v>556</v>
      </c>
      <c r="L350" s="1">
        <f t="shared" si="320"/>
        <v>883750</v>
      </c>
      <c r="M350" s="11">
        <f t="shared" si="320"/>
        <v>95053389</v>
      </c>
      <c r="N350" s="39">
        <f t="shared" si="321"/>
        <v>0</v>
      </c>
      <c r="O350" s="13">
        <f t="shared" si="321"/>
        <v>0</v>
      </c>
    </row>
    <row r="351" spans="2:17" x14ac:dyDescent="0.25">
      <c r="B351" s="2" t="s">
        <v>11</v>
      </c>
      <c r="C351" s="2">
        <v>2021</v>
      </c>
      <c r="D351" s="1">
        <v>518936</v>
      </c>
      <c r="E351" s="11">
        <v>57465797</v>
      </c>
      <c r="F351" s="1">
        <v>328166</v>
      </c>
      <c r="G351" s="11">
        <v>31645748</v>
      </c>
      <c r="H351" s="1">
        <v>94119</v>
      </c>
      <c r="I351" s="11">
        <v>10648642</v>
      </c>
      <c r="J351" s="1">
        <v>5</v>
      </c>
      <c r="K351" s="11">
        <v>470</v>
      </c>
      <c r="L351" s="1">
        <f t="shared" si="320"/>
        <v>941226</v>
      </c>
      <c r="M351" s="11">
        <f t="shared" si="320"/>
        <v>99760657</v>
      </c>
      <c r="N351" s="39">
        <f t="shared" si="321"/>
        <v>0</v>
      </c>
      <c r="O351" s="13">
        <f t="shared" si="321"/>
        <v>0</v>
      </c>
    </row>
    <row r="352" spans="2:17" x14ac:dyDescent="0.25">
      <c r="B352" s="2" t="s">
        <v>4</v>
      </c>
      <c r="C352" s="2">
        <v>2021</v>
      </c>
      <c r="D352" s="1">
        <v>493054</v>
      </c>
      <c r="E352" s="11">
        <v>55839895</v>
      </c>
      <c r="F352" s="1">
        <v>309211</v>
      </c>
      <c r="G352" s="11">
        <v>30678994</v>
      </c>
      <c r="H352" s="1">
        <v>98075</v>
      </c>
      <c r="I352" s="11">
        <v>11213396</v>
      </c>
      <c r="J352" s="1">
        <v>2</v>
      </c>
      <c r="K352" s="11">
        <v>226</v>
      </c>
      <c r="L352" s="1">
        <f t="shared" si="320"/>
        <v>900342</v>
      </c>
      <c r="M352" s="11">
        <f t="shared" si="320"/>
        <v>97732511</v>
      </c>
      <c r="N352" s="39">
        <f t="shared" si="321"/>
        <v>0</v>
      </c>
      <c r="O352" s="13">
        <f t="shared" si="321"/>
        <v>0</v>
      </c>
    </row>
    <row r="353" spans="2:15" x14ac:dyDescent="0.25">
      <c r="B353" s="2" t="s">
        <v>28</v>
      </c>
      <c r="C353" s="2">
        <v>2021</v>
      </c>
      <c r="D353" s="1">
        <v>529269</v>
      </c>
      <c r="E353" s="11">
        <v>56471705</v>
      </c>
      <c r="F353" s="1">
        <v>344431</v>
      </c>
      <c r="G353" s="11">
        <v>32111233</v>
      </c>
      <c r="H353" s="1">
        <v>104412</v>
      </c>
      <c r="I353" s="11">
        <v>12274117</v>
      </c>
      <c r="J353" s="1">
        <v>14</v>
      </c>
      <c r="K353" s="11">
        <v>1080</v>
      </c>
      <c r="L353" s="1">
        <f t="shared" si="320"/>
        <v>978126</v>
      </c>
      <c r="M353" s="11">
        <f t="shared" si="320"/>
        <v>100858135</v>
      </c>
      <c r="N353" s="39">
        <f t="shared" si="321"/>
        <v>0</v>
      </c>
      <c r="O353" s="13">
        <f t="shared" si="321"/>
        <v>0</v>
      </c>
    </row>
    <row r="354" spans="2:15" x14ac:dyDescent="0.25">
      <c r="B354" s="2" t="s">
        <v>29</v>
      </c>
      <c r="C354" s="2">
        <v>2021</v>
      </c>
      <c r="D354" s="1">
        <v>538880</v>
      </c>
      <c r="E354" s="11">
        <v>60159791</v>
      </c>
      <c r="F354" s="1">
        <v>338304</v>
      </c>
      <c r="G354" s="11">
        <v>33725438</v>
      </c>
      <c r="H354" s="1">
        <v>119104</v>
      </c>
      <c r="I354" s="11">
        <v>15469651</v>
      </c>
      <c r="J354" s="1">
        <v>6</v>
      </c>
      <c r="K354" s="11">
        <v>574</v>
      </c>
      <c r="L354" s="1">
        <f t="shared" si="320"/>
        <v>996294</v>
      </c>
      <c r="M354" s="11">
        <f t="shared" si="320"/>
        <v>109355454</v>
      </c>
      <c r="N354" s="39">
        <f t="shared" si="321"/>
        <v>0</v>
      </c>
      <c r="O354" s="13">
        <f t="shared" si="321"/>
        <v>0</v>
      </c>
    </row>
    <row r="355" spans="2:15" x14ac:dyDescent="0.25">
      <c r="B355" s="2" t="s">
        <v>30</v>
      </c>
      <c r="C355" s="2">
        <v>2021</v>
      </c>
      <c r="D355" s="1">
        <v>592236</v>
      </c>
      <c r="E355" s="11">
        <v>65360900</v>
      </c>
      <c r="F355" s="1">
        <v>369188</v>
      </c>
      <c r="G355" s="11">
        <v>37105895</v>
      </c>
      <c r="H355" s="1">
        <v>167204</v>
      </c>
      <c r="I355" s="11">
        <v>25214580</v>
      </c>
      <c r="J355" s="1">
        <v>9</v>
      </c>
      <c r="K355" s="11">
        <v>710</v>
      </c>
      <c r="L355" s="1">
        <f t="shared" si="320"/>
        <v>1128637</v>
      </c>
      <c r="M355" s="11">
        <f t="shared" si="320"/>
        <v>127682085</v>
      </c>
      <c r="N355" s="39">
        <f t="shared" si="321"/>
        <v>0</v>
      </c>
      <c r="O355" s="13">
        <f t="shared" si="321"/>
        <v>0</v>
      </c>
    </row>
    <row r="356" spans="2:15" x14ac:dyDescent="0.25">
      <c r="B356" s="2" t="s">
        <v>31</v>
      </c>
      <c r="C356" s="2">
        <v>2021</v>
      </c>
      <c r="D356" s="1">
        <v>637424</v>
      </c>
      <c r="E356" s="11">
        <v>71653704</v>
      </c>
      <c r="F356" s="1">
        <v>373624</v>
      </c>
      <c r="G356" s="11">
        <v>37277108</v>
      </c>
      <c r="H356" s="1">
        <v>215353</v>
      </c>
      <c r="I356" s="11">
        <v>37217271</v>
      </c>
      <c r="J356" s="1">
        <v>10</v>
      </c>
      <c r="K356" s="11">
        <v>1080</v>
      </c>
      <c r="L356" s="1">
        <f t="shared" si="320"/>
        <v>1226411</v>
      </c>
      <c r="M356" s="11">
        <f t="shared" si="320"/>
        <v>146149163</v>
      </c>
      <c r="N356" s="39">
        <f>+L356-F313</f>
        <v>0</v>
      </c>
      <c r="O356" s="13">
        <f>+M356-G313</f>
        <v>0</v>
      </c>
    </row>
    <row r="358" spans="2:15" x14ac:dyDescent="0.25">
      <c r="B358" s="88" t="s">
        <v>12</v>
      </c>
      <c r="C358" s="88"/>
      <c r="D358" s="4">
        <f>SUM(D345:D357)</f>
        <v>5840951</v>
      </c>
      <c r="E358" s="12">
        <f>SUM(E345:E357)</f>
        <v>652317181</v>
      </c>
      <c r="F358" s="4">
        <f t="shared" ref="F358:M358" si="322">SUM(F345:F357)</f>
        <v>3868492</v>
      </c>
      <c r="G358" s="12">
        <f t="shared" si="322"/>
        <v>380528260</v>
      </c>
      <c r="H358" s="4">
        <f t="shared" si="322"/>
        <v>1302791</v>
      </c>
      <c r="I358" s="12">
        <f t="shared" si="322"/>
        <v>166493861</v>
      </c>
      <c r="J358" s="4">
        <f t="shared" si="322"/>
        <v>96</v>
      </c>
      <c r="K358" s="12">
        <f t="shared" si="322"/>
        <v>8625</v>
      </c>
      <c r="L358" s="4">
        <f t="shared" si="322"/>
        <v>11012330</v>
      </c>
      <c r="M358" s="12">
        <f t="shared" si="322"/>
        <v>1199347927</v>
      </c>
    </row>
    <row r="360" spans="2:15" x14ac:dyDescent="0.25">
      <c r="B360" s="5" t="s">
        <v>14</v>
      </c>
    </row>
    <row r="361" spans="2:15" x14ac:dyDescent="0.25">
      <c r="B361" s="5" t="s">
        <v>76</v>
      </c>
    </row>
    <row r="363" spans="2:15" x14ac:dyDescent="0.25">
      <c r="D363" s="89" t="s">
        <v>15</v>
      </c>
      <c r="E363" s="90"/>
      <c r="F363" s="89" t="s">
        <v>72</v>
      </c>
      <c r="G363" s="90"/>
      <c r="H363" s="89" t="s">
        <v>16</v>
      </c>
      <c r="I363" s="90"/>
      <c r="J363" s="89" t="s">
        <v>73</v>
      </c>
      <c r="K363" s="90"/>
      <c r="L363" s="89" t="s">
        <v>70</v>
      </c>
      <c r="M363" s="90"/>
      <c r="N363" s="9"/>
    </row>
    <row r="364" spans="2:15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5" x14ac:dyDescent="0.25">
      <c r="N365" s="9"/>
    </row>
    <row r="366" spans="2:15" x14ac:dyDescent="0.25">
      <c r="B366" s="2" t="s">
        <v>5</v>
      </c>
      <c r="C366" s="2">
        <v>2021</v>
      </c>
      <c r="D366" s="1">
        <v>20215</v>
      </c>
      <c r="E366" s="11">
        <v>838165</v>
      </c>
      <c r="F366" s="1">
        <v>6972</v>
      </c>
      <c r="G366" s="11">
        <v>455323</v>
      </c>
      <c r="H366" s="1">
        <v>3625</v>
      </c>
      <c r="I366" s="11">
        <v>163993</v>
      </c>
      <c r="J366" s="1">
        <v>0</v>
      </c>
      <c r="K366" s="11">
        <v>0</v>
      </c>
      <c r="L366" s="1">
        <f>+D366+F366+H366+J366</f>
        <v>30812</v>
      </c>
      <c r="M366" s="11">
        <f>+E366+G366+I366+K366</f>
        <v>1457481</v>
      </c>
      <c r="N366" s="39">
        <f>+L366-H302</f>
        <v>0</v>
      </c>
      <c r="O366" s="13">
        <f>+M366-I302</f>
        <v>0</v>
      </c>
    </row>
    <row r="367" spans="2:15" x14ac:dyDescent="0.25">
      <c r="B367" s="2" t="s">
        <v>6</v>
      </c>
      <c r="C367" s="2">
        <v>2021</v>
      </c>
      <c r="D367" s="1">
        <v>15167</v>
      </c>
      <c r="E367" s="11">
        <v>676145</v>
      </c>
      <c r="F367" s="1">
        <v>4056</v>
      </c>
      <c r="G367" s="11">
        <v>253437</v>
      </c>
      <c r="H367" s="1">
        <v>2425</v>
      </c>
      <c r="I367" s="11">
        <v>112617</v>
      </c>
      <c r="J367" s="1">
        <v>0</v>
      </c>
      <c r="K367" s="11">
        <v>0</v>
      </c>
      <c r="L367" s="1">
        <f t="shared" ref="L367:M377" si="323">+D367+F367+H367+J367</f>
        <v>21648</v>
      </c>
      <c r="M367" s="11">
        <f t="shared" si="323"/>
        <v>1042199</v>
      </c>
      <c r="N367" s="39">
        <f t="shared" ref="N367:O377" si="324">+L367-H303</f>
        <v>0</v>
      </c>
      <c r="O367" s="13">
        <f t="shared" si="324"/>
        <v>0</v>
      </c>
    </row>
    <row r="368" spans="2:15" x14ac:dyDescent="0.25">
      <c r="B368" s="2" t="s">
        <v>7</v>
      </c>
      <c r="C368" s="2">
        <v>2021</v>
      </c>
      <c r="D368" s="1">
        <v>17959</v>
      </c>
      <c r="E368" s="11">
        <v>794179</v>
      </c>
      <c r="F368" s="1">
        <v>5985</v>
      </c>
      <c r="G368" s="11">
        <v>383033</v>
      </c>
      <c r="H368" s="1">
        <v>3996</v>
      </c>
      <c r="I368" s="11">
        <v>178287</v>
      </c>
      <c r="J368" s="1">
        <v>0</v>
      </c>
      <c r="K368" s="11">
        <v>0</v>
      </c>
      <c r="L368" s="1">
        <f t="shared" si="323"/>
        <v>27940</v>
      </c>
      <c r="M368" s="11">
        <f t="shared" si="323"/>
        <v>1355499</v>
      </c>
      <c r="N368" s="39">
        <f t="shared" si="324"/>
        <v>0</v>
      </c>
      <c r="O368" s="13">
        <f t="shared" si="324"/>
        <v>0</v>
      </c>
    </row>
    <row r="369" spans="2:15" x14ac:dyDescent="0.25">
      <c r="B369" s="2" t="s">
        <v>8</v>
      </c>
      <c r="C369" s="2">
        <v>2021</v>
      </c>
      <c r="D369" s="1">
        <v>17243</v>
      </c>
      <c r="E369" s="11">
        <v>767923</v>
      </c>
      <c r="F369" s="1">
        <v>6916</v>
      </c>
      <c r="G369" s="11">
        <v>443329</v>
      </c>
      <c r="H369" s="1">
        <v>4379</v>
      </c>
      <c r="I369" s="11">
        <v>202843</v>
      </c>
      <c r="J369" s="1">
        <v>0</v>
      </c>
      <c r="K369" s="11">
        <v>0</v>
      </c>
      <c r="L369" s="1">
        <f t="shared" si="323"/>
        <v>28538</v>
      </c>
      <c r="M369" s="11">
        <f t="shared" si="323"/>
        <v>1414095</v>
      </c>
      <c r="N369" s="39">
        <f t="shared" si="324"/>
        <v>0</v>
      </c>
      <c r="O369" s="13">
        <f t="shared" si="324"/>
        <v>0</v>
      </c>
    </row>
    <row r="370" spans="2:15" x14ac:dyDescent="0.25">
      <c r="B370" s="2" t="s">
        <v>9</v>
      </c>
      <c r="C370" s="2">
        <v>2021</v>
      </c>
      <c r="D370" s="1">
        <v>18706</v>
      </c>
      <c r="E370" s="11">
        <v>864143</v>
      </c>
      <c r="F370" s="1">
        <v>7687</v>
      </c>
      <c r="G370" s="11">
        <v>518350</v>
      </c>
      <c r="H370" s="1">
        <v>5267</v>
      </c>
      <c r="I370" s="11">
        <v>263207</v>
      </c>
      <c r="J370" s="1">
        <v>0</v>
      </c>
      <c r="K370" s="11">
        <v>0</v>
      </c>
      <c r="L370" s="1">
        <f t="shared" si="323"/>
        <v>31660</v>
      </c>
      <c r="M370" s="11">
        <f t="shared" si="323"/>
        <v>1645700</v>
      </c>
      <c r="N370" s="39">
        <f t="shared" si="324"/>
        <v>0</v>
      </c>
      <c r="O370" s="13">
        <f t="shared" si="324"/>
        <v>0</v>
      </c>
    </row>
    <row r="371" spans="2:15" x14ac:dyDescent="0.25">
      <c r="B371" s="2" t="s">
        <v>10</v>
      </c>
      <c r="C371" s="2">
        <v>2021</v>
      </c>
      <c r="D371" s="1">
        <v>17736</v>
      </c>
      <c r="E371" s="11">
        <v>834168</v>
      </c>
      <c r="F371" s="1">
        <v>7287</v>
      </c>
      <c r="G371" s="11">
        <v>488256</v>
      </c>
      <c r="H371" s="1">
        <v>5621</v>
      </c>
      <c r="I371" s="11">
        <v>273242</v>
      </c>
      <c r="J371" s="1">
        <v>0</v>
      </c>
      <c r="K371" s="11">
        <v>0</v>
      </c>
      <c r="L371" s="1">
        <f t="shared" si="323"/>
        <v>30644</v>
      </c>
      <c r="M371" s="11">
        <f t="shared" si="323"/>
        <v>1595666</v>
      </c>
      <c r="N371" s="39">
        <f t="shared" si="324"/>
        <v>0</v>
      </c>
      <c r="O371" s="13">
        <f t="shared" si="324"/>
        <v>0</v>
      </c>
    </row>
    <row r="372" spans="2:15" x14ac:dyDescent="0.25">
      <c r="B372" s="2" t="s">
        <v>11</v>
      </c>
      <c r="C372" s="2">
        <v>2021</v>
      </c>
      <c r="D372" s="1">
        <v>19519</v>
      </c>
      <c r="E372" s="11">
        <v>900708</v>
      </c>
      <c r="F372" s="1">
        <v>8129</v>
      </c>
      <c r="G372" s="11">
        <v>542632</v>
      </c>
      <c r="H372" s="1">
        <v>5793</v>
      </c>
      <c r="I372" s="11">
        <v>286345</v>
      </c>
      <c r="J372" s="1">
        <v>0</v>
      </c>
      <c r="K372" s="11">
        <v>0</v>
      </c>
      <c r="L372" s="1">
        <f t="shared" si="323"/>
        <v>33441</v>
      </c>
      <c r="M372" s="11">
        <f t="shared" si="323"/>
        <v>1729685</v>
      </c>
      <c r="N372" s="39">
        <f t="shared" si="324"/>
        <v>0</v>
      </c>
      <c r="O372" s="13">
        <f t="shared" si="324"/>
        <v>0</v>
      </c>
    </row>
    <row r="373" spans="2:15" x14ac:dyDescent="0.25">
      <c r="B373" s="2" t="s">
        <v>4</v>
      </c>
      <c r="C373" s="2">
        <v>2021</v>
      </c>
      <c r="D373" s="1">
        <v>20661</v>
      </c>
      <c r="E373" s="11">
        <v>944767</v>
      </c>
      <c r="F373" s="1">
        <v>7746</v>
      </c>
      <c r="G373" s="11">
        <v>507015</v>
      </c>
      <c r="H373" s="1">
        <v>5826</v>
      </c>
      <c r="I373" s="11">
        <v>284589</v>
      </c>
      <c r="J373" s="1">
        <v>0</v>
      </c>
      <c r="K373" s="11">
        <v>0</v>
      </c>
      <c r="L373" s="1">
        <f t="shared" si="323"/>
        <v>34233</v>
      </c>
      <c r="M373" s="11">
        <f t="shared" si="323"/>
        <v>1736371</v>
      </c>
      <c r="N373" s="39">
        <f t="shared" si="324"/>
        <v>0</v>
      </c>
      <c r="O373" s="13">
        <f t="shared" si="324"/>
        <v>0</v>
      </c>
    </row>
    <row r="374" spans="2:15" x14ac:dyDescent="0.25">
      <c r="B374" s="2" t="s">
        <v>28</v>
      </c>
      <c r="C374" s="2">
        <v>2021</v>
      </c>
      <c r="D374" s="1">
        <v>20630</v>
      </c>
      <c r="E374" s="11">
        <v>964279</v>
      </c>
      <c r="F374" s="1">
        <v>8260</v>
      </c>
      <c r="G374" s="11">
        <v>550403</v>
      </c>
      <c r="H374" s="1">
        <v>6419</v>
      </c>
      <c r="I374" s="11">
        <v>314497</v>
      </c>
      <c r="J374" s="1">
        <v>0</v>
      </c>
      <c r="K374" s="11">
        <v>0</v>
      </c>
      <c r="L374" s="1">
        <f t="shared" si="323"/>
        <v>35309</v>
      </c>
      <c r="M374" s="11">
        <f t="shared" si="323"/>
        <v>1829179</v>
      </c>
      <c r="N374" s="39">
        <f t="shared" si="324"/>
        <v>0</v>
      </c>
      <c r="O374" s="13">
        <f t="shared" si="324"/>
        <v>0</v>
      </c>
    </row>
    <row r="375" spans="2:15" x14ac:dyDescent="0.25">
      <c r="B375" s="2" t="s">
        <v>29</v>
      </c>
      <c r="C375" s="2">
        <v>2021</v>
      </c>
      <c r="D375" s="1">
        <v>21530</v>
      </c>
      <c r="E375" s="11">
        <v>1030488</v>
      </c>
      <c r="F375" s="1">
        <v>8187</v>
      </c>
      <c r="G375" s="11">
        <v>529856</v>
      </c>
      <c r="H375" s="1">
        <v>7069</v>
      </c>
      <c r="I375" s="11">
        <v>356990</v>
      </c>
      <c r="J375" s="1">
        <v>0</v>
      </c>
      <c r="K375" s="11">
        <v>0</v>
      </c>
      <c r="L375" s="1">
        <f t="shared" si="323"/>
        <v>36786</v>
      </c>
      <c r="M375" s="11">
        <f t="shared" si="323"/>
        <v>1917334</v>
      </c>
      <c r="N375" s="39">
        <f t="shared" si="324"/>
        <v>0</v>
      </c>
      <c r="O375" s="13">
        <f t="shared" si="324"/>
        <v>0</v>
      </c>
    </row>
    <row r="376" spans="2:15" x14ac:dyDescent="0.25">
      <c r="B376" s="2" t="s">
        <v>30</v>
      </c>
      <c r="C376" s="2">
        <v>2021</v>
      </c>
      <c r="D376" s="1">
        <v>23149</v>
      </c>
      <c r="E376" s="11">
        <v>1139497</v>
      </c>
      <c r="F376" s="1">
        <v>8416</v>
      </c>
      <c r="G376" s="11">
        <v>546620</v>
      </c>
      <c r="H376" s="1">
        <v>9512</v>
      </c>
      <c r="I376" s="11">
        <v>502931</v>
      </c>
      <c r="J376" s="1">
        <v>0</v>
      </c>
      <c r="K376" s="11">
        <v>0</v>
      </c>
      <c r="L376" s="1">
        <f t="shared" si="323"/>
        <v>41077</v>
      </c>
      <c r="M376" s="11">
        <f t="shared" si="323"/>
        <v>2189048</v>
      </c>
      <c r="N376" s="39">
        <f t="shared" si="324"/>
        <v>0</v>
      </c>
      <c r="O376" s="13">
        <f t="shared" si="324"/>
        <v>0</v>
      </c>
    </row>
    <row r="377" spans="2:15" x14ac:dyDescent="0.25">
      <c r="B377" s="2" t="s">
        <v>31</v>
      </c>
      <c r="C377" s="2">
        <v>2021</v>
      </c>
      <c r="D377" s="1">
        <v>30319</v>
      </c>
      <c r="E377" s="11">
        <v>1406175</v>
      </c>
      <c r="F377" s="1">
        <v>9299</v>
      </c>
      <c r="G377" s="11">
        <v>565246</v>
      </c>
      <c r="H377" s="1">
        <v>14598</v>
      </c>
      <c r="I377" s="11">
        <v>839408</v>
      </c>
      <c r="J377" s="1">
        <v>0</v>
      </c>
      <c r="K377" s="11">
        <v>0</v>
      </c>
      <c r="L377" s="1">
        <f t="shared" si="323"/>
        <v>54216</v>
      </c>
      <c r="M377" s="11">
        <f t="shared" si="323"/>
        <v>2810829</v>
      </c>
      <c r="N377" s="39">
        <f t="shared" si="324"/>
        <v>0</v>
      </c>
      <c r="O377" s="13">
        <f t="shared" si="324"/>
        <v>0</v>
      </c>
    </row>
    <row r="379" spans="2:15" x14ac:dyDescent="0.25">
      <c r="B379" s="88" t="s">
        <v>12</v>
      </c>
      <c r="C379" s="88"/>
      <c r="D379" s="4">
        <f>SUM(D366:D378)</f>
        <v>242834</v>
      </c>
      <c r="E379" s="12">
        <f>SUM(E366:E378)</f>
        <v>11160637</v>
      </c>
      <c r="F379" s="4">
        <f t="shared" ref="F379:M379" si="325">SUM(F366:F378)</f>
        <v>88940</v>
      </c>
      <c r="G379" s="12">
        <f t="shared" si="325"/>
        <v>5783500</v>
      </c>
      <c r="H379" s="4">
        <f t="shared" si="325"/>
        <v>74530</v>
      </c>
      <c r="I379" s="12">
        <f t="shared" si="325"/>
        <v>3778949</v>
      </c>
      <c r="J379" s="4">
        <f t="shared" si="325"/>
        <v>0</v>
      </c>
      <c r="K379" s="12">
        <f t="shared" si="325"/>
        <v>0</v>
      </c>
      <c r="L379" s="4">
        <f t="shared" si="325"/>
        <v>406304</v>
      </c>
      <c r="M379" s="12">
        <f t="shared" si="325"/>
        <v>20723086</v>
      </c>
    </row>
    <row r="381" spans="2:15" x14ac:dyDescent="0.25">
      <c r="B381" s="5" t="s">
        <v>14</v>
      </c>
    </row>
    <row r="382" spans="2:15" x14ac:dyDescent="0.25">
      <c r="B382" s="5" t="s">
        <v>77</v>
      </c>
    </row>
    <row r="384" spans="2:15" x14ac:dyDescent="0.25">
      <c r="D384" s="89" t="s">
        <v>15</v>
      </c>
      <c r="E384" s="90"/>
      <c r="F384" s="89" t="s">
        <v>72</v>
      </c>
      <c r="G384" s="90"/>
      <c r="H384" s="89" t="s">
        <v>16</v>
      </c>
      <c r="I384" s="90"/>
      <c r="J384" s="89" t="s">
        <v>73</v>
      </c>
      <c r="K384" s="90"/>
      <c r="L384" s="89" t="s">
        <v>70</v>
      </c>
      <c r="M384" s="90"/>
      <c r="N384" s="9"/>
    </row>
    <row r="385" spans="2:15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x14ac:dyDescent="0.25">
      <c r="N386" s="9"/>
    </row>
    <row r="387" spans="2:15" x14ac:dyDescent="0.25">
      <c r="B387" s="2" t="s">
        <v>5</v>
      </c>
      <c r="C387" s="2">
        <v>2021</v>
      </c>
      <c r="D387" s="1">
        <v>355561</v>
      </c>
      <c r="E387" s="11">
        <v>38993545</v>
      </c>
      <c r="F387" s="1">
        <v>175647</v>
      </c>
      <c r="G387" s="11">
        <v>23107339</v>
      </c>
      <c r="H387" s="1">
        <v>40529</v>
      </c>
      <c r="I387" s="11">
        <v>6175413</v>
      </c>
      <c r="J387" s="45">
        <v>0</v>
      </c>
      <c r="K387" s="11">
        <v>0</v>
      </c>
      <c r="L387" s="1">
        <f>+D387+F387+H387+J387</f>
        <v>571737</v>
      </c>
      <c r="M387" s="11">
        <f>+E387+G387+I387+K387</f>
        <v>68276297</v>
      </c>
      <c r="N387" s="39">
        <f>+L387-J302</f>
        <v>0</v>
      </c>
      <c r="O387" s="13">
        <f>+M387-K302</f>
        <v>0</v>
      </c>
    </row>
    <row r="388" spans="2:15" x14ac:dyDescent="0.25">
      <c r="B388" s="2" t="s">
        <v>6</v>
      </c>
      <c r="C388" s="2">
        <v>2021</v>
      </c>
      <c r="D388" s="1">
        <v>356802</v>
      </c>
      <c r="E388" s="11">
        <v>39463882</v>
      </c>
      <c r="F388" s="1">
        <v>167203</v>
      </c>
      <c r="G388" s="11">
        <v>22849211</v>
      </c>
      <c r="H388" s="1">
        <v>39313</v>
      </c>
      <c r="I388" s="11">
        <v>6148196</v>
      </c>
      <c r="J388" s="45">
        <v>0</v>
      </c>
      <c r="K388" s="11">
        <v>0</v>
      </c>
      <c r="L388" s="1">
        <f t="shared" ref="L388:M398" si="326">+D388+F388+H388+J388</f>
        <v>563318</v>
      </c>
      <c r="M388" s="11">
        <f t="shared" si="326"/>
        <v>68461289</v>
      </c>
      <c r="N388" s="39">
        <f t="shared" ref="N388:O398" si="327">+L388-J303</f>
        <v>0</v>
      </c>
      <c r="O388" s="13">
        <f t="shared" si="327"/>
        <v>0</v>
      </c>
    </row>
    <row r="389" spans="2:15" x14ac:dyDescent="0.25">
      <c r="B389" s="2" t="s">
        <v>7</v>
      </c>
      <c r="C389" s="2">
        <v>2021</v>
      </c>
      <c r="D389" s="1">
        <v>453204</v>
      </c>
      <c r="E389" s="11">
        <v>49691924</v>
      </c>
      <c r="F389" s="1">
        <v>205432</v>
      </c>
      <c r="G389" s="11">
        <v>27454840</v>
      </c>
      <c r="H389" s="1">
        <v>44535</v>
      </c>
      <c r="I389" s="11">
        <v>7061726</v>
      </c>
      <c r="J389" s="1">
        <v>12</v>
      </c>
      <c r="K389" s="11">
        <v>1418</v>
      </c>
      <c r="L389" s="1">
        <f t="shared" si="326"/>
        <v>703183</v>
      </c>
      <c r="M389" s="11">
        <f t="shared" si="326"/>
        <v>84209908</v>
      </c>
      <c r="N389" s="39">
        <f t="shared" si="327"/>
        <v>0</v>
      </c>
      <c r="O389" s="13">
        <f t="shared" si="327"/>
        <v>0</v>
      </c>
    </row>
    <row r="390" spans="2:15" x14ac:dyDescent="0.25">
      <c r="B390" s="2" t="s">
        <v>8</v>
      </c>
      <c r="C390" s="2">
        <v>2021</v>
      </c>
      <c r="D390" s="1">
        <v>443920</v>
      </c>
      <c r="E390" s="11">
        <v>49112440</v>
      </c>
      <c r="F390" s="1">
        <v>208252</v>
      </c>
      <c r="G390" s="11">
        <v>28608993</v>
      </c>
      <c r="H390" s="1">
        <v>44113</v>
      </c>
      <c r="I390" s="11">
        <v>6927787</v>
      </c>
      <c r="J390" s="45">
        <v>0</v>
      </c>
      <c r="K390" s="11">
        <v>0</v>
      </c>
      <c r="L390" s="1">
        <f t="shared" si="326"/>
        <v>696285</v>
      </c>
      <c r="M390" s="11">
        <f t="shared" si="326"/>
        <v>84649220</v>
      </c>
      <c r="N390" s="39">
        <f t="shared" si="327"/>
        <v>0</v>
      </c>
      <c r="O390" s="13">
        <f t="shared" si="327"/>
        <v>0</v>
      </c>
    </row>
    <row r="391" spans="2:15" x14ac:dyDescent="0.25">
      <c r="B391" s="2" t="s">
        <v>9</v>
      </c>
      <c r="C391" s="2">
        <v>2021</v>
      </c>
      <c r="D391" s="1">
        <v>456754</v>
      </c>
      <c r="E391" s="11">
        <v>51475337</v>
      </c>
      <c r="F391" s="1">
        <v>209857</v>
      </c>
      <c r="G391" s="11">
        <v>29256973</v>
      </c>
      <c r="H391" s="1">
        <v>54378</v>
      </c>
      <c r="I391" s="11">
        <v>8809020</v>
      </c>
      <c r="J391" s="45">
        <v>0</v>
      </c>
      <c r="K391" s="11">
        <v>0</v>
      </c>
      <c r="L391" s="1">
        <f t="shared" si="326"/>
        <v>720989</v>
      </c>
      <c r="M391" s="11">
        <f t="shared" si="326"/>
        <v>89541330</v>
      </c>
      <c r="N391" s="39">
        <f t="shared" si="327"/>
        <v>0</v>
      </c>
      <c r="O391" s="13">
        <f t="shared" si="327"/>
        <v>0</v>
      </c>
    </row>
    <row r="392" spans="2:15" x14ac:dyDescent="0.25">
      <c r="B392" s="2" t="s">
        <v>10</v>
      </c>
      <c r="C392" s="2">
        <v>2021</v>
      </c>
      <c r="D392" s="1">
        <v>432519</v>
      </c>
      <c r="E392" s="11">
        <v>50589740</v>
      </c>
      <c r="F392" s="1">
        <v>194648</v>
      </c>
      <c r="G392" s="11">
        <v>27954523</v>
      </c>
      <c r="H392" s="1">
        <v>58629</v>
      </c>
      <c r="I392" s="11">
        <v>9815196</v>
      </c>
      <c r="J392" s="1">
        <v>4</v>
      </c>
      <c r="K392" s="11">
        <v>368</v>
      </c>
      <c r="L392" s="1">
        <f t="shared" si="326"/>
        <v>685800</v>
      </c>
      <c r="M392" s="11">
        <f t="shared" si="326"/>
        <v>88359827</v>
      </c>
      <c r="N392" s="39">
        <f t="shared" si="327"/>
        <v>0</v>
      </c>
      <c r="O392" s="13">
        <f t="shared" si="327"/>
        <v>0</v>
      </c>
    </row>
    <row r="393" spans="2:15" x14ac:dyDescent="0.25">
      <c r="B393" s="2" t="s">
        <v>11</v>
      </c>
      <c r="C393" s="2">
        <v>2021</v>
      </c>
      <c r="D393" s="1">
        <v>496833</v>
      </c>
      <c r="E393" s="11">
        <v>56793063</v>
      </c>
      <c r="F393" s="1">
        <v>215844</v>
      </c>
      <c r="G393" s="11">
        <v>29788043</v>
      </c>
      <c r="H393" s="1">
        <v>58915</v>
      </c>
      <c r="I393" s="11">
        <v>9468156</v>
      </c>
      <c r="J393" s="1">
        <v>4</v>
      </c>
      <c r="K393" s="11">
        <v>368</v>
      </c>
      <c r="L393" s="1">
        <f t="shared" si="326"/>
        <v>771596</v>
      </c>
      <c r="M393" s="11">
        <f t="shared" si="326"/>
        <v>96049630</v>
      </c>
      <c r="N393" s="39">
        <f t="shared" si="327"/>
        <v>0</v>
      </c>
      <c r="O393" s="13">
        <f t="shared" si="327"/>
        <v>0</v>
      </c>
    </row>
    <row r="394" spans="2:15" x14ac:dyDescent="0.25">
      <c r="B394" s="2" t="s">
        <v>4</v>
      </c>
      <c r="C394" s="2">
        <v>2021</v>
      </c>
      <c r="D394" s="1">
        <v>476095</v>
      </c>
      <c r="E394" s="11">
        <v>56004174</v>
      </c>
      <c r="F394" s="1">
        <v>206090</v>
      </c>
      <c r="G394" s="11">
        <v>29600193</v>
      </c>
      <c r="H394" s="1">
        <v>59378</v>
      </c>
      <c r="I394" s="11">
        <v>9463898</v>
      </c>
      <c r="J394" s="1">
        <v>0</v>
      </c>
      <c r="K394" s="11">
        <v>0</v>
      </c>
      <c r="L394" s="1">
        <f t="shared" si="326"/>
        <v>741563</v>
      </c>
      <c r="M394" s="11">
        <f t="shared" si="326"/>
        <v>95068265</v>
      </c>
      <c r="N394" s="39">
        <f t="shared" si="327"/>
        <v>0</v>
      </c>
      <c r="O394" s="13">
        <f t="shared" si="327"/>
        <v>0</v>
      </c>
    </row>
    <row r="395" spans="2:15" x14ac:dyDescent="0.25">
      <c r="B395" s="2" t="s">
        <v>28</v>
      </c>
      <c r="C395" s="2">
        <v>2021</v>
      </c>
      <c r="D395" s="1">
        <v>436221</v>
      </c>
      <c r="E395" s="11">
        <v>51220772</v>
      </c>
      <c r="F395" s="1">
        <v>193081</v>
      </c>
      <c r="G395" s="11">
        <v>28122433</v>
      </c>
      <c r="H395" s="1">
        <v>59519</v>
      </c>
      <c r="I395" s="11">
        <v>9679566</v>
      </c>
      <c r="J395" s="1">
        <v>0</v>
      </c>
      <c r="K395" s="11">
        <v>0</v>
      </c>
      <c r="L395" s="1">
        <f t="shared" si="326"/>
        <v>688821</v>
      </c>
      <c r="M395" s="11">
        <f t="shared" si="326"/>
        <v>89022771</v>
      </c>
      <c r="N395" s="39">
        <f t="shared" si="327"/>
        <v>0</v>
      </c>
      <c r="O395" s="13">
        <f t="shared" si="327"/>
        <v>0</v>
      </c>
    </row>
    <row r="396" spans="2:15" x14ac:dyDescent="0.25">
      <c r="B396" s="2" t="s">
        <v>29</v>
      </c>
      <c r="C396" s="2">
        <v>2021</v>
      </c>
      <c r="D396" s="1">
        <v>490141</v>
      </c>
      <c r="E396" s="11">
        <v>57485697</v>
      </c>
      <c r="F396" s="1">
        <v>215396</v>
      </c>
      <c r="G396" s="11">
        <v>31537650</v>
      </c>
      <c r="H396" s="1">
        <v>74401</v>
      </c>
      <c r="I396" s="11">
        <v>12762804</v>
      </c>
      <c r="J396" s="1">
        <v>0</v>
      </c>
      <c r="K396" s="11">
        <v>0</v>
      </c>
      <c r="L396" s="1">
        <f t="shared" si="326"/>
        <v>779938</v>
      </c>
      <c r="M396" s="11">
        <f t="shared" si="326"/>
        <v>101786151</v>
      </c>
      <c r="N396" s="39">
        <f t="shared" si="327"/>
        <v>0</v>
      </c>
      <c r="O396" s="13">
        <f t="shared" si="327"/>
        <v>0</v>
      </c>
    </row>
    <row r="397" spans="2:15" x14ac:dyDescent="0.25">
      <c r="B397" s="2" t="s">
        <v>30</v>
      </c>
      <c r="C397" s="2">
        <v>2021</v>
      </c>
      <c r="D397" s="1">
        <v>501968</v>
      </c>
      <c r="E397" s="11">
        <v>58815041</v>
      </c>
      <c r="F397" s="1">
        <v>221991</v>
      </c>
      <c r="G397" s="11">
        <v>32728571</v>
      </c>
      <c r="H397" s="1">
        <v>98570</v>
      </c>
      <c r="I397" s="11">
        <v>17602434</v>
      </c>
      <c r="J397" s="1">
        <v>0</v>
      </c>
      <c r="K397" s="11">
        <v>0</v>
      </c>
      <c r="L397" s="1">
        <f t="shared" si="326"/>
        <v>822529</v>
      </c>
      <c r="M397" s="11">
        <f t="shared" si="326"/>
        <v>109146046</v>
      </c>
      <c r="N397" s="39">
        <f t="shared" si="327"/>
        <v>0</v>
      </c>
      <c r="O397" s="13">
        <f t="shared" si="327"/>
        <v>0</v>
      </c>
    </row>
    <row r="398" spans="2:15" x14ac:dyDescent="0.25">
      <c r="B398" s="2" t="s">
        <v>31</v>
      </c>
      <c r="C398" s="2">
        <v>2021</v>
      </c>
      <c r="D398" s="1">
        <v>606084</v>
      </c>
      <c r="E398" s="11">
        <v>69890377</v>
      </c>
      <c r="F398" s="1">
        <v>244279</v>
      </c>
      <c r="G398" s="11">
        <v>35165867</v>
      </c>
      <c r="H398" s="1">
        <v>146391</v>
      </c>
      <c r="I398" s="11">
        <v>26917379</v>
      </c>
      <c r="J398" s="1">
        <v>0</v>
      </c>
      <c r="K398" s="11">
        <v>0</v>
      </c>
      <c r="L398" s="1">
        <f t="shared" si="326"/>
        <v>996754</v>
      </c>
      <c r="M398" s="11">
        <f t="shared" si="326"/>
        <v>131973623</v>
      </c>
      <c r="N398" s="39">
        <f t="shared" si="327"/>
        <v>0</v>
      </c>
      <c r="O398" s="13">
        <f t="shared" si="327"/>
        <v>0</v>
      </c>
    </row>
    <row r="400" spans="2:15" x14ac:dyDescent="0.25">
      <c r="B400" s="88" t="s">
        <v>12</v>
      </c>
      <c r="C400" s="88"/>
      <c r="D400" s="4">
        <f>SUM(D387:D399)</f>
        <v>5506102</v>
      </c>
      <c r="E400" s="12">
        <f>SUM(E387:E399)</f>
        <v>629535992</v>
      </c>
      <c r="F400" s="4">
        <f t="shared" ref="F400:M400" si="328">SUM(F387:F399)</f>
        <v>2457720</v>
      </c>
      <c r="G400" s="12">
        <f t="shared" si="328"/>
        <v>346174636</v>
      </c>
      <c r="H400" s="4">
        <f t="shared" si="328"/>
        <v>778671</v>
      </c>
      <c r="I400" s="12">
        <f t="shared" si="328"/>
        <v>130831575</v>
      </c>
      <c r="J400" s="4">
        <f t="shared" si="328"/>
        <v>20</v>
      </c>
      <c r="K400" s="12">
        <f t="shared" si="328"/>
        <v>2154</v>
      </c>
      <c r="L400" s="4">
        <f t="shared" si="328"/>
        <v>8742513</v>
      </c>
      <c r="M400" s="12">
        <f t="shared" si="328"/>
        <v>1106544357</v>
      </c>
    </row>
    <row r="402" spans="2:15" x14ac:dyDescent="0.25">
      <c r="B402" s="5" t="s">
        <v>14</v>
      </c>
    </row>
    <row r="403" spans="2:15" x14ac:dyDescent="0.25">
      <c r="B403" s="5" t="s">
        <v>78</v>
      </c>
    </row>
    <row r="405" spans="2:15" x14ac:dyDescent="0.25">
      <c r="D405" s="89" t="s">
        <v>15</v>
      </c>
      <c r="E405" s="90"/>
      <c r="F405" s="89" t="s">
        <v>72</v>
      </c>
      <c r="G405" s="90"/>
      <c r="H405" s="89" t="s">
        <v>16</v>
      </c>
      <c r="I405" s="90"/>
      <c r="J405" s="89" t="s">
        <v>73</v>
      </c>
      <c r="K405" s="90"/>
      <c r="L405" s="89" t="s">
        <v>70</v>
      </c>
      <c r="M405" s="90"/>
      <c r="N405" s="9"/>
    </row>
    <row r="406" spans="2:15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x14ac:dyDescent="0.25">
      <c r="N407" s="9"/>
    </row>
    <row r="408" spans="2:15" x14ac:dyDescent="0.25">
      <c r="B408" s="2" t="s">
        <v>5</v>
      </c>
      <c r="C408" s="2">
        <v>2021</v>
      </c>
      <c r="D408" s="1">
        <v>117644</v>
      </c>
      <c r="E408" s="11">
        <v>8649814</v>
      </c>
      <c r="F408" s="1">
        <v>77799</v>
      </c>
      <c r="G408" s="11">
        <v>5878429</v>
      </c>
      <c r="H408" s="1">
        <v>17348</v>
      </c>
      <c r="I408" s="11">
        <v>1633997</v>
      </c>
      <c r="J408" s="1">
        <v>5</v>
      </c>
      <c r="K408" s="11">
        <v>225</v>
      </c>
      <c r="L408" s="1">
        <f>+D408+F408+H408+J408</f>
        <v>212796</v>
      </c>
      <c r="M408" s="11">
        <f>+E408+G408+I408+K408</f>
        <v>16162465</v>
      </c>
      <c r="N408" s="39">
        <f>+L408-L302</f>
        <v>0</v>
      </c>
      <c r="O408" s="13">
        <f>+M408-M302</f>
        <v>0</v>
      </c>
    </row>
    <row r="409" spans="2:15" x14ac:dyDescent="0.25">
      <c r="B409" s="2" t="s">
        <v>6</v>
      </c>
      <c r="C409" s="2">
        <v>2021</v>
      </c>
      <c r="D409" s="1">
        <v>123212</v>
      </c>
      <c r="E409" s="11">
        <v>9301872.879999999</v>
      </c>
      <c r="F409" s="1">
        <v>82530</v>
      </c>
      <c r="G409" s="11">
        <v>6167835.8399999999</v>
      </c>
      <c r="H409" s="1">
        <v>17723</v>
      </c>
      <c r="I409" s="11">
        <v>1667440</v>
      </c>
      <c r="J409" s="1">
        <v>2</v>
      </c>
      <c r="K409" s="11">
        <v>300</v>
      </c>
      <c r="L409" s="1">
        <f t="shared" ref="L409:M419" si="329">+D409+F409+H409+J409</f>
        <v>223467</v>
      </c>
      <c r="M409" s="11">
        <f t="shared" si="329"/>
        <v>17137448.719999999</v>
      </c>
      <c r="N409" s="39">
        <f t="shared" ref="N409:O419" si="330">+L409-L303</f>
        <v>0</v>
      </c>
      <c r="O409" s="13">
        <f t="shared" si="330"/>
        <v>0</v>
      </c>
    </row>
    <row r="410" spans="2:15" x14ac:dyDescent="0.25">
      <c r="B410" s="2" t="s">
        <v>7</v>
      </c>
      <c r="C410" s="2">
        <v>2021</v>
      </c>
      <c r="D410" s="1">
        <v>149585</v>
      </c>
      <c r="E410" s="11">
        <v>11019702</v>
      </c>
      <c r="F410" s="1">
        <v>102885</v>
      </c>
      <c r="G410" s="11">
        <v>7417368</v>
      </c>
      <c r="H410" s="1">
        <v>20426</v>
      </c>
      <c r="I410" s="11">
        <v>1998707</v>
      </c>
      <c r="J410" s="1">
        <v>0</v>
      </c>
      <c r="K410" s="11">
        <v>0</v>
      </c>
      <c r="L410" s="1">
        <f t="shared" si="329"/>
        <v>272896</v>
      </c>
      <c r="M410" s="11">
        <f t="shared" si="329"/>
        <v>20435777</v>
      </c>
      <c r="N410" s="39">
        <f t="shared" si="330"/>
        <v>0</v>
      </c>
      <c r="O410" s="13">
        <f t="shared" si="330"/>
        <v>0</v>
      </c>
    </row>
    <row r="411" spans="2:15" x14ac:dyDescent="0.25">
      <c r="B411" s="2" t="s">
        <v>8</v>
      </c>
      <c r="C411" s="2">
        <v>2021</v>
      </c>
      <c r="D411" s="1">
        <v>145155</v>
      </c>
      <c r="E411" s="11">
        <v>10693810</v>
      </c>
      <c r="F411" s="1">
        <v>99028</v>
      </c>
      <c r="G411" s="11">
        <v>7188619</v>
      </c>
      <c r="H411" s="1">
        <v>20053</v>
      </c>
      <c r="I411" s="11">
        <v>1951609</v>
      </c>
      <c r="J411" s="1">
        <v>2</v>
      </c>
      <c r="K411" s="11">
        <v>90</v>
      </c>
      <c r="L411" s="1">
        <f t="shared" si="329"/>
        <v>264238</v>
      </c>
      <c r="M411" s="11">
        <f>+E411+G411+I411+K411</f>
        <v>19834128</v>
      </c>
      <c r="N411" s="39">
        <f t="shared" si="330"/>
        <v>0</v>
      </c>
      <c r="O411" s="13">
        <f t="shared" si="330"/>
        <v>0</v>
      </c>
    </row>
    <row r="412" spans="2:15" x14ac:dyDescent="0.25">
      <c r="B412" s="2" t="s">
        <v>9</v>
      </c>
      <c r="C412" s="2">
        <v>2021</v>
      </c>
      <c r="D412" s="1">
        <v>160788</v>
      </c>
      <c r="E412" s="11">
        <v>11781349</v>
      </c>
      <c r="F412" s="1">
        <v>107790</v>
      </c>
      <c r="G412" s="11">
        <v>7650609</v>
      </c>
      <c r="H412" s="1">
        <v>23257</v>
      </c>
      <c r="I412" s="11">
        <v>2256749</v>
      </c>
      <c r="J412" s="1">
        <v>0</v>
      </c>
      <c r="K412" s="11">
        <v>0</v>
      </c>
      <c r="L412" s="1">
        <f t="shared" si="329"/>
        <v>291835</v>
      </c>
      <c r="M412" s="11">
        <f t="shared" si="329"/>
        <v>21688707</v>
      </c>
      <c r="N412" s="39">
        <f t="shared" si="330"/>
        <v>0</v>
      </c>
      <c r="O412" s="13">
        <f t="shared" si="330"/>
        <v>0</v>
      </c>
    </row>
    <row r="413" spans="2:15" x14ac:dyDescent="0.25">
      <c r="B413" s="2" t="s">
        <v>10</v>
      </c>
      <c r="C413" s="2">
        <v>2021</v>
      </c>
      <c r="D413" s="1">
        <v>159766</v>
      </c>
      <c r="E413" s="11">
        <v>11570565</v>
      </c>
      <c r="F413" s="1">
        <v>106547</v>
      </c>
      <c r="G413" s="11">
        <v>7458043</v>
      </c>
      <c r="H413" s="1">
        <v>24263</v>
      </c>
      <c r="I413" s="11">
        <v>2412436</v>
      </c>
      <c r="J413" s="1">
        <v>1</v>
      </c>
      <c r="K413" s="11">
        <v>9</v>
      </c>
      <c r="L413" s="1">
        <f t="shared" si="329"/>
        <v>290577</v>
      </c>
      <c r="M413" s="11">
        <f t="shared" si="329"/>
        <v>21441053</v>
      </c>
      <c r="N413" s="39">
        <f t="shared" si="330"/>
        <v>0</v>
      </c>
      <c r="O413" s="13">
        <f t="shared" si="330"/>
        <v>0</v>
      </c>
    </row>
    <row r="414" spans="2:15" x14ac:dyDescent="0.25">
      <c r="B414" s="2" t="s">
        <v>11</v>
      </c>
      <c r="C414" s="2">
        <v>2021</v>
      </c>
      <c r="D414" s="1">
        <v>171949</v>
      </c>
      <c r="E414" s="11">
        <v>12715742</v>
      </c>
      <c r="F414" s="1">
        <v>109515</v>
      </c>
      <c r="G414" s="11">
        <v>7961649</v>
      </c>
      <c r="H414" s="1">
        <v>25492</v>
      </c>
      <c r="I414" s="11">
        <v>2532771</v>
      </c>
      <c r="J414" s="1">
        <v>0</v>
      </c>
      <c r="K414" s="11">
        <v>0</v>
      </c>
      <c r="L414" s="1">
        <f t="shared" si="329"/>
        <v>306956</v>
      </c>
      <c r="M414" s="11">
        <f t="shared" si="329"/>
        <v>23210162</v>
      </c>
      <c r="N414" s="39">
        <f t="shared" si="330"/>
        <v>0</v>
      </c>
      <c r="O414" s="13">
        <f t="shared" si="330"/>
        <v>0</v>
      </c>
    </row>
    <row r="415" spans="2:15" x14ac:dyDescent="0.25">
      <c r="B415" s="2" t="s">
        <v>4</v>
      </c>
      <c r="C415" s="2">
        <v>2021</v>
      </c>
      <c r="D415" s="1">
        <v>171520</v>
      </c>
      <c r="E415" s="11">
        <v>12933197</v>
      </c>
      <c r="F415" s="1">
        <v>109549</v>
      </c>
      <c r="G415" s="11">
        <v>7742103</v>
      </c>
      <c r="H415" s="1">
        <v>26559</v>
      </c>
      <c r="I415" s="11">
        <v>2680305</v>
      </c>
      <c r="J415" s="1">
        <v>0</v>
      </c>
      <c r="K415" s="11">
        <v>0</v>
      </c>
      <c r="L415" s="1">
        <f t="shared" si="329"/>
        <v>307628</v>
      </c>
      <c r="M415" s="11">
        <f t="shared" si="329"/>
        <v>23355605</v>
      </c>
      <c r="N415" s="39">
        <f t="shared" si="330"/>
        <v>0</v>
      </c>
      <c r="O415" s="13">
        <f t="shared" si="330"/>
        <v>0</v>
      </c>
    </row>
    <row r="416" spans="2:15" x14ac:dyDescent="0.25">
      <c r="B416" s="2" t="s">
        <v>28</v>
      </c>
      <c r="C416" s="2">
        <v>2021</v>
      </c>
      <c r="D416" s="1">
        <v>167019</v>
      </c>
      <c r="E416" s="11">
        <v>12731397</v>
      </c>
      <c r="F416" s="1">
        <v>110092</v>
      </c>
      <c r="G416" s="11">
        <v>7604014</v>
      </c>
      <c r="H416" s="1">
        <v>38643</v>
      </c>
      <c r="I416" s="11">
        <v>4076298</v>
      </c>
      <c r="J416" s="1">
        <v>0</v>
      </c>
      <c r="K416" s="11">
        <v>0</v>
      </c>
      <c r="L416" s="1">
        <f t="shared" si="329"/>
        <v>315754</v>
      </c>
      <c r="M416" s="11">
        <f t="shared" si="329"/>
        <v>24411709</v>
      </c>
      <c r="N416" s="39">
        <f t="shared" si="330"/>
        <v>0</v>
      </c>
      <c r="O416" s="13">
        <f t="shared" si="330"/>
        <v>0</v>
      </c>
    </row>
    <row r="417" spans="2:15" x14ac:dyDescent="0.25">
      <c r="B417" s="2" t="s">
        <v>29</v>
      </c>
      <c r="C417" s="2">
        <v>2021</v>
      </c>
      <c r="D417" s="1">
        <v>190389</v>
      </c>
      <c r="E417" s="11">
        <v>14158361</v>
      </c>
      <c r="F417" s="1">
        <v>122580</v>
      </c>
      <c r="G417" s="11">
        <v>8074870</v>
      </c>
      <c r="H417" s="1">
        <v>45812</v>
      </c>
      <c r="I417" s="11">
        <v>5064168</v>
      </c>
      <c r="J417" s="1">
        <v>0</v>
      </c>
      <c r="K417" s="11">
        <v>0</v>
      </c>
      <c r="L417" s="1">
        <f t="shared" si="329"/>
        <v>358781</v>
      </c>
      <c r="M417" s="11">
        <f t="shared" si="329"/>
        <v>27297399</v>
      </c>
      <c r="N417" s="39">
        <f t="shared" si="330"/>
        <v>0</v>
      </c>
      <c r="O417" s="13">
        <f t="shared" si="330"/>
        <v>0</v>
      </c>
    </row>
    <row r="418" spans="2:15" x14ac:dyDescent="0.25">
      <c r="B418" s="2" t="s">
        <v>30</v>
      </c>
      <c r="C418" s="2">
        <v>2021</v>
      </c>
      <c r="D418" s="1">
        <v>192229</v>
      </c>
      <c r="E418" s="11">
        <v>13984124</v>
      </c>
      <c r="F418" s="1">
        <v>124864</v>
      </c>
      <c r="G418" s="11">
        <v>8338251</v>
      </c>
      <c r="H418" s="1">
        <v>56774</v>
      </c>
      <c r="I418" s="11">
        <v>7198567</v>
      </c>
      <c r="J418" s="1">
        <v>6</v>
      </c>
      <c r="K418" s="11">
        <v>281</v>
      </c>
      <c r="L418" s="1">
        <f t="shared" si="329"/>
        <v>373873</v>
      </c>
      <c r="M418" s="11">
        <f t="shared" si="329"/>
        <v>29521223</v>
      </c>
      <c r="N418" s="39">
        <f t="shared" si="330"/>
        <v>0</v>
      </c>
      <c r="O418" s="13">
        <f t="shared" si="330"/>
        <v>0</v>
      </c>
    </row>
    <row r="419" spans="2:15" x14ac:dyDescent="0.25">
      <c r="B419" s="2" t="s">
        <v>31</v>
      </c>
      <c r="C419" s="2">
        <v>2021</v>
      </c>
      <c r="D419" s="1">
        <v>208423</v>
      </c>
      <c r="E419" s="11">
        <v>15141703</v>
      </c>
      <c r="F419" s="1">
        <v>124252</v>
      </c>
      <c r="G419" s="11">
        <v>8479551</v>
      </c>
      <c r="H419" s="1">
        <v>77173</v>
      </c>
      <c r="I419" s="11">
        <v>10528619</v>
      </c>
      <c r="J419" s="1">
        <v>1</v>
      </c>
      <c r="K419" s="11">
        <v>9</v>
      </c>
      <c r="L419" s="1">
        <f t="shared" si="329"/>
        <v>409849</v>
      </c>
      <c r="M419" s="11">
        <f t="shared" si="329"/>
        <v>34149882</v>
      </c>
      <c r="N419" s="39">
        <f t="shared" si="330"/>
        <v>0</v>
      </c>
      <c r="O419" s="13">
        <f t="shared" si="330"/>
        <v>0</v>
      </c>
    </row>
    <row r="421" spans="2:15" x14ac:dyDescent="0.25">
      <c r="B421" s="88" t="s">
        <v>12</v>
      </c>
      <c r="C421" s="88"/>
      <c r="D421" s="4">
        <f>SUM(D408:D420)</f>
        <v>1957679</v>
      </c>
      <c r="E421" s="12">
        <f>SUM(E408:E420)</f>
        <v>144681636.88</v>
      </c>
      <c r="F421" s="4">
        <f t="shared" ref="F421:M421" si="331">SUM(F408:F420)</f>
        <v>1277431</v>
      </c>
      <c r="G421" s="12">
        <f t="shared" si="331"/>
        <v>89961341.840000004</v>
      </c>
      <c r="H421" s="4">
        <f t="shared" si="331"/>
        <v>393523</v>
      </c>
      <c r="I421" s="12">
        <f t="shared" si="331"/>
        <v>44001666</v>
      </c>
      <c r="J421" s="4">
        <f t="shared" si="331"/>
        <v>17</v>
      </c>
      <c r="K421" s="12">
        <f t="shared" si="331"/>
        <v>914</v>
      </c>
      <c r="L421" s="4">
        <f t="shared" si="331"/>
        <v>3628650</v>
      </c>
      <c r="M421" s="12">
        <f t="shared" si="331"/>
        <v>278645558.72000003</v>
      </c>
    </row>
    <row r="423" spans="2:15" x14ac:dyDescent="0.25">
      <c r="B423" s="5" t="s">
        <v>14</v>
      </c>
    </row>
    <row r="424" spans="2:15" x14ac:dyDescent="0.25">
      <c r="B424" s="5" t="s">
        <v>79</v>
      </c>
    </row>
    <row r="426" spans="2:15" x14ac:dyDescent="0.25">
      <c r="D426" s="89" t="s">
        <v>15</v>
      </c>
      <c r="E426" s="90"/>
      <c r="F426" s="89" t="s">
        <v>72</v>
      </c>
      <c r="G426" s="90"/>
      <c r="H426" s="89" t="s">
        <v>16</v>
      </c>
      <c r="I426" s="90"/>
      <c r="J426" s="89" t="s">
        <v>73</v>
      </c>
      <c r="K426" s="90"/>
      <c r="L426" s="89" t="s">
        <v>70</v>
      </c>
      <c r="M426" s="90"/>
      <c r="N426" s="9"/>
    </row>
    <row r="427" spans="2:15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x14ac:dyDescent="0.25">
      <c r="N428" s="9"/>
    </row>
    <row r="429" spans="2:15" x14ac:dyDescent="0.25">
      <c r="B429" s="2" t="s">
        <v>5</v>
      </c>
      <c r="C429" s="2">
        <v>2021</v>
      </c>
      <c r="D429" s="1">
        <v>0</v>
      </c>
      <c r="E429" s="11">
        <v>0</v>
      </c>
      <c r="F429" s="1">
        <v>0</v>
      </c>
      <c r="G429" s="11">
        <v>0</v>
      </c>
      <c r="H429" s="1">
        <v>0</v>
      </c>
      <c r="I429" s="11">
        <v>0</v>
      </c>
      <c r="J429" s="1">
        <v>0</v>
      </c>
      <c r="K429" s="11">
        <v>0</v>
      </c>
      <c r="L429" s="1">
        <f>+D429+F429+H429+J429</f>
        <v>0</v>
      </c>
      <c r="M429" s="11">
        <f>+E429+G429+I429+K429</f>
        <v>0</v>
      </c>
      <c r="N429" s="39">
        <f>+L429-N302</f>
        <v>0</v>
      </c>
      <c r="O429" s="13">
        <f>+M429-O302</f>
        <v>0</v>
      </c>
    </row>
    <row r="430" spans="2:15" x14ac:dyDescent="0.25">
      <c r="B430" s="2" t="s">
        <v>6</v>
      </c>
      <c r="C430" s="2">
        <v>2021</v>
      </c>
      <c r="D430" s="1">
        <v>0</v>
      </c>
      <c r="E430" s="11">
        <v>0</v>
      </c>
      <c r="F430" s="1">
        <v>0</v>
      </c>
      <c r="G430" s="11">
        <v>0</v>
      </c>
      <c r="H430" s="1">
        <v>0</v>
      </c>
      <c r="I430" s="11">
        <v>0</v>
      </c>
      <c r="J430" s="1">
        <v>0</v>
      </c>
      <c r="K430" s="11">
        <v>0</v>
      </c>
      <c r="L430" s="1">
        <f t="shared" ref="L430:M440" si="332">+D430+F430+H430+J430</f>
        <v>0</v>
      </c>
      <c r="M430" s="11">
        <f t="shared" si="332"/>
        <v>0</v>
      </c>
      <c r="N430" s="39">
        <f t="shared" ref="N430:O440" si="333">+L430-N303</f>
        <v>0</v>
      </c>
      <c r="O430" s="13">
        <f t="shared" si="333"/>
        <v>0</v>
      </c>
    </row>
    <row r="431" spans="2:15" x14ac:dyDescent="0.25">
      <c r="B431" s="2" t="s">
        <v>7</v>
      </c>
      <c r="C431" s="2">
        <v>2021</v>
      </c>
      <c r="D431" s="1">
        <v>0</v>
      </c>
      <c r="E431" s="11">
        <v>0</v>
      </c>
      <c r="F431" s="1">
        <v>0</v>
      </c>
      <c r="G431" s="11">
        <v>0</v>
      </c>
      <c r="H431" s="1">
        <v>0</v>
      </c>
      <c r="I431" s="11">
        <v>0</v>
      </c>
      <c r="J431" s="1">
        <v>0</v>
      </c>
      <c r="K431" s="11">
        <v>0</v>
      </c>
      <c r="L431" s="1">
        <f t="shared" si="332"/>
        <v>0</v>
      </c>
      <c r="M431" s="11">
        <f t="shared" si="332"/>
        <v>0</v>
      </c>
      <c r="N431" s="39">
        <f t="shared" si="333"/>
        <v>0</v>
      </c>
      <c r="O431" s="13">
        <f t="shared" si="333"/>
        <v>0</v>
      </c>
    </row>
    <row r="432" spans="2:15" x14ac:dyDescent="0.25">
      <c r="B432" s="2" t="s">
        <v>8</v>
      </c>
      <c r="C432" s="2">
        <v>2021</v>
      </c>
      <c r="D432" s="1">
        <v>0</v>
      </c>
      <c r="E432" s="11">
        <v>0</v>
      </c>
      <c r="F432" s="1">
        <v>0</v>
      </c>
      <c r="G432" s="11">
        <v>0</v>
      </c>
      <c r="H432" s="1">
        <v>0</v>
      </c>
      <c r="I432" s="11">
        <v>0</v>
      </c>
      <c r="J432" s="1">
        <v>0</v>
      </c>
      <c r="K432" s="11">
        <v>0</v>
      </c>
      <c r="L432" s="1">
        <f t="shared" si="332"/>
        <v>0</v>
      </c>
      <c r="M432" s="11">
        <f t="shared" si="332"/>
        <v>0</v>
      </c>
      <c r="N432" s="39">
        <f t="shared" si="333"/>
        <v>0</v>
      </c>
      <c r="O432" s="13">
        <f t="shared" si="333"/>
        <v>0</v>
      </c>
    </row>
    <row r="433" spans="2:15" x14ac:dyDescent="0.25">
      <c r="B433" s="2" t="s">
        <v>9</v>
      </c>
      <c r="C433" s="2">
        <v>2021</v>
      </c>
      <c r="D433" s="1">
        <v>0</v>
      </c>
      <c r="E433" s="11">
        <v>0</v>
      </c>
      <c r="F433" s="1">
        <v>0</v>
      </c>
      <c r="G433" s="11">
        <v>0</v>
      </c>
      <c r="H433" s="1">
        <v>0</v>
      </c>
      <c r="I433" s="11">
        <v>0</v>
      </c>
      <c r="J433" s="1">
        <v>0</v>
      </c>
      <c r="K433" s="11">
        <v>0</v>
      </c>
      <c r="L433" s="1">
        <f t="shared" si="332"/>
        <v>0</v>
      </c>
      <c r="M433" s="11">
        <f t="shared" si="332"/>
        <v>0</v>
      </c>
      <c r="N433" s="39">
        <f t="shared" si="333"/>
        <v>0</v>
      </c>
      <c r="O433" s="13">
        <f t="shared" si="333"/>
        <v>0</v>
      </c>
    </row>
    <row r="434" spans="2:15" x14ac:dyDescent="0.25">
      <c r="B434" s="2" t="s">
        <v>10</v>
      </c>
      <c r="C434" s="2">
        <v>2021</v>
      </c>
      <c r="D434" s="1">
        <v>0</v>
      </c>
      <c r="E434" s="11">
        <v>0</v>
      </c>
      <c r="F434" s="1">
        <v>0</v>
      </c>
      <c r="G434" s="11">
        <v>0</v>
      </c>
      <c r="H434" s="1">
        <v>0</v>
      </c>
      <c r="I434" s="11">
        <v>0</v>
      </c>
      <c r="J434" s="1">
        <v>0</v>
      </c>
      <c r="K434" s="11">
        <v>0</v>
      </c>
      <c r="L434" s="1">
        <f t="shared" si="332"/>
        <v>0</v>
      </c>
      <c r="M434" s="11">
        <f t="shared" si="332"/>
        <v>0</v>
      </c>
      <c r="N434" s="39">
        <f t="shared" si="333"/>
        <v>0</v>
      </c>
      <c r="O434" s="13">
        <f t="shared" si="333"/>
        <v>0</v>
      </c>
    </row>
    <row r="435" spans="2:15" x14ac:dyDescent="0.25">
      <c r="B435" s="2" t="s">
        <v>11</v>
      </c>
      <c r="C435" s="2">
        <v>2021</v>
      </c>
      <c r="D435" s="1">
        <v>0</v>
      </c>
      <c r="E435" s="11">
        <v>0</v>
      </c>
      <c r="F435" s="1">
        <v>0</v>
      </c>
      <c r="G435" s="11">
        <v>0</v>
      </c>
      <c r="H435" s="1">
        <v>0</v>
      </c>
      <c r="I435" s="11">
        <v>0</v>
      </c>
      <c r="J435" s="1">
        <v>0</v>
      </c>
      <c r="K435" s="11">
        <v>0</v>
      </c>
      <c r="L435" s="1">
        <f t="shared" si="332"/>
        <v>0</v>
      </c>
      <c r="M435" s="11">
        <f t="shared" si="332"/>
        <v>0</v>
      </c>
      <c r="N435" s="39">
        <f t="shared" si="333"/>
        <v>0</v>
      </c>
      <c r="O435" s="13">
        <f t="shared" si="333"/>
        <v>0</v>
      </c>
    </row>
    <row r="436" spans="2:15" x14ac:dyDescent="0.25">
      <c r="B436" s="2" t="s">
        <v>4</v>
      </c>
      <c r="C436" s="2">
        <v>2021</v>
      </c>
      <c r="D436" s="1">
        <v>0</v>
      </c>
      <c r="E436" s="11">
        <v>0</v>
      </c>
      <c r="F436" s="1">
        <v>0</v>
      </c>
      <c r="G436" s="11">
        <v>0</v>
      </c>
      <c r="H436" s="1">
        <v>0</v>
      </c>
      <c r="I436" s="11">
        <v>0</v>
      </c>
      <c r="J436" s="1">
        <v>0</v>
      </c>
      <c r="K436" s="11">
        <v>0</v>
      </c>
      <c r="L436" s="1">
        <f t="shared" si="332"/>
        <v>0</v>
      </c>
      <c r="M436" s="11">
        <f t="shared" si="332"/>
        <v>0</v>
      </c>
      <c r="N436" s="39">
        <f t="shared" si="333"/>
        <v>0</v>
      </c>
      <c r="O436" s="13">
        <f t="shared" si="333"/>
        <v>0</v>
      </c>
    </row>
    <row r="437" spans="2:15" x14ac:dyDescent="0.25">
      <c r="B437" s="2" t="s">
        <v>28</v>
      </c>
      <c r="C437" s="2">
        <v>2021</v>
      </c>
      <c r="D437" s="1">
        <v>0</v>
      </c>
      <c r="E437" s="11">
        <v>0</v>
      </c>
      <c r="F437" s="1">
        <v>0</v>
      </c>
      <c r="G437" s="11">
        <v>0</v>
      </c>
      <c r="H437" s="1">
        <v>0</v>
      </c>
      <c r="I437" s="11">
        <v>0</v>
      </c>
      <c r="J437" s="1">
        <v>0</v>
      </c>
      <c r="K437" s="11">
        <v>0</v>
      </c>
      <c r="L437" s="1">
        <f t="shared" si="332"/>
        <v>0</v>
      </c>
      <c r="M437" s="11">
        <f t="shared" si="332"/>
        <v>0</v>
      </c>
      <c r="N437" s="39">
        <f t="shared" si="333"/>
        <v>0</v>
      </c>
      <c r="O437" s="13">
        <f t="shared" si="333"/>
        <v>0</v>
      </c>
    </row>
    <row r="438" spans="2:15" x14ac:dyDescent="0.25">
      <c r="B438" s="2" t="s">
        <v>29</v>
      </c>
      <c r="C438" s="2">
        <v>2021</v>
      </c>
      <c r="D438" s="1">
        <v>0</v>
      </c>
      <c r="E438" s="11">
        <v>0</v>
      </c>
      <c r="F438" s="1">
        <v>0</v>
      </c>
      <c r="G438" s="11">
        <v>0</v>
      </c>
      <c r="H438" s="1">
        <v>0</v>
      </c>
      <c r="I438" s="11">
        <v>0</v>
      </c>
      <c r="J438" s="1">
        <v>0</v>
      </c>
      <c r="K438" s="11">
        <v>0</v>
      </c>
      <c r="L438" s="1">
        <f t="shared" si="332"/>
        <v>0</v>
      </c>
      <c r="M438" s="11">
        <f t="shared" si="332"/>
        <v>0</v>
      </c>
      <c r="N438" s="39">
        <f t="shared" si="333"/>
        <v>0</v>
      </c>
      <c r="O438" s="13">
        <f t="shared" si="333"/>
        <v>0</v>
      </c>
    </row>
    <row r="439" spans="2:15" x14ac:dyDescent="0.25">
      <c r="B439" s="2" t="s">
        <v>30</v>
      </c>
      <c r="C439" s="2">
        <v>2021</v>
      </c>
      <c r="D439" s="1">
        <v>0</v>
      </c>
      <c r="E439" s="11">
        <v>0</v>
      </c>
      <c r="F439" s="1">
        <v>0</v>
      </c>
      <c r="G439" s="11">
        <v>0</v>
      </c>
      <c r="H439" s="1">
        <v>0</v>
      </c>
      <c r="I439" s="11">
        <v>0</v>
      </c>
      <c r="J439" s="1">
        <v>0</v>
      </c>
      <c r="K439" s="11">
        <v>0</v>
      </c>
      <c r="L439" s="1">
        <f t="shared" si="332"/>
        <v>0</v>
      </c>
      <c r="M439" s="11">
        <f t="shared" si="332"/>
        <v>0</v>
      </c>
      <c r="N439" s="39">
        <f t="shared" si="333"/>
        <v>0</v>
      </c>
      <c r="O439" s="13">
        <f t="shared" si="333"/>
        <v>0</v>
      </c>
    </row>
    <row r="440" spans="2:15" x14ac:dyDescent="0.25">
      <c r="B440" s="2" t="s">
        <v>31</v>
      </c>
      <c r="C440" s="2">
        <v>2021</v>
      </c>
      <c r="D440" s="1">
        <v>0</v>
      </c>
      <c r="E440" s="11">
        <v>0</v>
      </c>
      <c r="F440" s="1">
        <v>0</v>
      </c>
      <c r="G440" s="11">
        <v>0</v>
      </c>
      <c r="H440" s="1">
        <v>0</v>
      </c>
      <c r="I440" s="11">
        <v>0</v>
      </c>
      <c r="J440" s="1">
        <v>0</v>
      </c>
      <c r="K440" s="11">
        <v>0</v>
      </c>
      <c r="L440" s="1">
        <f t="shared" si="332"/>
        <v>0</v>
      </c>
      <c r="M440" s="11">
        <f t="shared" si="332"/>
        <v>0</v>
      </c>
      <c r="N440" s="39">
        <f t="shared" si="333"/>
        <v>0</v>
      </c>
      <c r="O440" s="13">
        <f t="shared" si="333"/>
        <v>0</v>
      </c>
    </row>
    <row r="442" spans="2:15" x14ac:dyDescent="0.25">
      <c r="B442" s="88" t="s">
        <v>12</v>
      </c>
      <c r="C442" s="88"/>
      <c r="D442" s="4">
        <f>SUM(D429:D441)</f>
        <v>0</v>
      </c>
      <c r="E442" s="12">
        <f>SUM(E429:E441)</f>
        <v>0</v>
      </c>
      <c r="F442" s="4">
        <f t="shared" ref="F442:M442" si="334">SUM(F429:F441)</f>
        <v>0</v>
      </c>
      <c r="G442" s="12">
        <f t="shared" si="334"/>
        <v>0</v>
      </c>
      <c r="H442" s="4">
        <f t="shared" si="334"/>
        <v>0</v>
      </c>
      <c r="I442" s="12">
        <f t="shared" si="334"/>
        <v>0</v>
      </c>
      <c r="J442" s="4">
        <f t="shared" si="334"/>
        <v>0</v>
      </c>
      <c r="K442" s="12">
        <f t="shared" si="334"/>
        <v>0</v>
      </c>
      <c r="L442" s="4">
        <f t="shared" si="334"/>
        <v>0</v>
      </c>
      <c r="M442" s="12">
        <f t="shared" si="334"/>
        <v>0</v>
      </c>
    </row>
    <row r="444" spans="2:15" x14ac:dyDescent="0.25">
      <c r="B444" s="5" t="s">
        <v>14</v>
      </c>
    </row>
    <row r="445" spans="2:15" x14ac:dyDescent="0.25">
      <c r="B445" s="5" t="s">
        <v>83</v>
      </c>
    </row>
    <row r="447" spans="2:15" x14ac:dyDescent="0.25">
      <c r="D447" s="89" t="s">
        <v>15</v>
      </c>
      <c r="E447" s="90"/>
      <c r="F447" s="89" t="s">
        <v>72</v>
      </c>
      <c r="G447" s="90"/>
      <c r="H447" s="89" t="s">
        <v>16</v>
      </c>
      <c r="I447" s="90"/>
      <c r="J447" s="89" t="s">
        <v>73</v>
      </c>
      <c r="K447" s="90"/>
      <c r="L447" s="89" t="s">
        <v>70</v>
      </c>
      <c r="M447" s="90"/>
      <c r="N447" s="9"/>
    </row>
    <row r="448" spans="2:15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x14ac:dyDescent="0.25">
      <c r="N449" s="9"/>
    </row>
    <row r="450" spans="2:15" x14ac:dyDescent="0.25">
      <c r="B450" s="2" t="s">
        <v>5</v>
      </c>
      <c r="C450" s="2">
        <v>2021</v>
      </c>
      <c r="D450" s="1">
        <f>+D429+D408+D387+D366+D345+D324</f>
        <v>967870</v>
      </c>
      <c r="E450" s="11">
        <f t="shared" ref="E450:K450" si="335">+E429+E408+E387+E366+E345+E324</f>
        <v>93572775.129999995</v>
      </c>
      <c r="F450" s="1">
        <f t="shared" si="335"/>
        <v>584243</v>
      </c>
      <c r="G450" s="11">
        <f t="shared" si="335"/>
        <v>57492545.880000003</v>
      </c>
      <c r="H450" s="1">
        <f t="shared" si="335"/>
        <v>138573</v>
      </c>
      <c r="I450" s="11">
        <f t="shared" si="335"/>
        <v>15368866.52</v>
      </c>
      <c r="J450" s="1">
        <f t="shared" si="335"/>
        <v>12</v>
      </c>
      <c r="K450" s="11">
        <f t="shared" si="335"/>
        <v>668</v>
      </c>
      <c r="L450" s="1">
        <f>+D450+F450+H450+J450</f>
        <v>1690698</v>
      </c>
      <c r="M450" s="11">
        <f>+E450+G450+I450+K450</f>
        <v>166434855.53</v>
      </c>
      <c r="N450" s="39">
        <f>+L450-P302</f>
        <v>0</v>
      </c>
      <c r="O450" s="13">
        <f t="shared" ref="O450:O461" si="336">+M450-Q302</f>
        <v>0</v>
      </c>
    </row>
    <row r="451" spans="2:15" x14ac:dyDescent="0.25">
      <c r="B451" s="2" t="s">
        <v>6</v>
      </c>
      <c r="C451" s="2">
        <v>2021</v>
      </c>
      <c r="D451" s="1">
        <f t="shared" ref="D451:K451" si="337">+D430+D409+D388+D367+D346+D325</f>
        <v>966370</v>
      </c>
      <c r="E451" s="11">
        <f t="shared" si="337"/>
        <v>94846338.560000002</v>
      </c>
      <c r="F451" s="1">
        <f t="shared" si="337"/>
        <v>586634</v>
      </c>
      <c r="G451" s="11">
        <f t="shared" si="337"/>
        <v>58464251.110000007</v>
      </c>
      <c r="H451" s="1">
        <f t="shared" si="337"/>
        <v>137275</v>
      </c>
      <c r="I451" s="11">
        <f t="shared" si="337"/>
        <v>15753577.199999999</v>
      </c>
      <c r="J451" s="1">
        <f t="shared" si="337"/>
        <v>12</v>
      </c>
      <c r="K451" s="11">
        <f t="shared" si="337"/>
        <v>1286</v>
      </c>
      <c r="L451" s="1">
        <f t="shared" ref="L451:L461" si="338">+D451+F451+H451+J451</f>
        <v>1690291</v>
      </c>
      <c r="M451" s="11">
        <f t="shared" ref="M451:M461" si="339">+E451+G451+I451+K451</f>
        <v>169065452.87</v>
      </c>
      <c r="N451" s="39">
        <f t="shared" ref="N451:N461" si="340">+L451-P303</f>
        <v>0</v>
      </c>
      <c r="O451" s="13">
        <f t="shared" si="336"/>
        <v>0</v>
      </c>
    </row>
    <row r="452" spans="2:15" x14ac:dyDescent="0.25">
      <c r="B452" s="2" t="s">
        <v>7</v>
      </c>
      <c r="C452" s="2">
        <v>2021</v>
      </c>
      <c r="D452" s="1">
        <f t="shared" ref="D452:K452" si="341">+D431+D410+D389+D368+D347+D326</f>
        <v>1218630</v>
      </c>
      <c r="E452" s="11">
        <f t="shared" si="341"/>
        <v>119681460.83</v>
      </c>
      <c r="F452" s="1">
        <f t="shared" si="341"/>
        <v>730100</v>
      </c>
      <c r="G452" s="11">
        <f t="shared" si="341"/>
        <v>71270839.650000006</v>
      </c>
      <c r="H452" s="1">
        <f t="shared" si="341"/>
        <v>155967</v>
      </c>
      <c r="I452" s="11">
        <f t="shared" si="341"/>
        <v>18237744.34</v>
      </c>
      <c r="J452" s="1">
        <f t="shared" si="341"/>
        <v>23</v>
      </c>
      <c r="K452" s="11">
        <f t="shared" si="341"/>
        <v>2359.75</v>
      </c>
      <c r="L452" s="1">
        <f t="shared" si="338"/>
        <v>2104720</v>
      </c>
      <c r="M452" s="11">
        <f t="shared" si="339"/>
        <v>209192404.57000002</v>
      </c>
      <c r="N452" s="39">
        <f t="shared" si="340"/>
        <v>0</v>
      </c>
      <c r="O452" s="13">
        <f t="shared" si="336"/>
        <v>0</v>
      </c>
    </row>
    <row r="453" spans="2:15" x14ac:dyDescent="0.25">
      <c r="B453" s="2" t="s">
        <v>8</v>
      </c>
      <c r="C453" s="2">
        <v>2021</v>
      </c>
      <c r="D453" s="1">
        <f t="shared" ref="D453:K453" si="342">+D432+D411+D390+D369+D348+D327</f>
        <v>1181024</v>
      </c>
      <c r="E453" s="11">
        <f t="shared" si="342"/>
        <v>116886034.44</v>
      </c>
      <c r="F453" s="1">
        <f t="shared" si="342"/>
        <v>709473</v>
      </c>
      <c r="G453" s="11">
        <f t="shared" si="342"/>
        <v>71546829.959999993</v>
      </c>
      <c r="H453" s="1">
        <f t="shared" si="342"/>
        <v>161894</v>
      </c>
      <c r="I453" s="11">
        <f t="shared" si="342"/>
        <v>18426586.210000001</v>
      </c>
      <c r="J453" s="1">
        <f t="shared" si="342"/>
        <v>9</v>
      </c>
      <c r="K453" s="11">
        <f t="shared" si="342"/>
        <v>771.84</v>
      </c>
      <c r="L453" s="1">
        <f t="shared" si="338"/>
        <v>2052400</v>
      </c>
      <c r="M453" s="11">
        <f t="shared" si="339"/>
        <v>206860222.44999999</v>
      </c>
      <c r="N453" s="39">
        <f t="shared" si="340"/>
        <v>0</v>
      </c>
      <c r="O453" s="13">
        <f t="shared" si="336"/>
        <v>0</v>
      </c>
    </row>
    <row r="454" spans="2:15" x14ac:dyDescent="0.25">
      <c r="B454" s="2" t="s">
        <v>9</v>
      </c>
      <c r="C454" s="2">
        <v>2021</v>
      </c>
      <c r="D454" s="1">
        <f t="shared" ref="D454:K454" si="343">+D433+D412+D391+D370+D349+D328</f>
        <v>1273296</v>
      </c>
      <c r="E454" s="11">
        <f t="shared" si="343"/>
        <v>123911708.19</v>
      </c>
      <c r="F454" s="1">
        <f t="shared" si="343"/>
        <v>751491</v>
      </c>
      <c r="G454" s="11">
        <f t="shared" si="343"/>
        <v>72020717.439999998</v>
      </c>
      <c r="H454" s="1">
        <f t="shared" si="343"/>
        <v>192092</v>
      </c>
      <c r="I454" s="11">
        <f t="shared" si="343"/>
        <v>21900461.09</v>
      </c>
      <c r="J454" s="1">
        <f t="shared" si="343"/>
        <v>17</v>
      </c>
      <c r="K454" s="11">
        <f t="shared" si="343"/>
        <v>1242.6400000000001</v>
      </c>
      <c r="L454" s="1">
        <f t="shared" si="338"/>
        <v>2216896</v>
      </c>
      <c r="M454" s="11">
        <f t="shared" si="339"/>
        <v>217834129.35999998</v>
      </c>
      <c r="N454" s="39">
        <f t="shared" si="340"/>
        <v>0</v>
      </c>
      <c r="O454" s="13">
        <f t="shared" si="336"/>
        <v>0</v>
      </c>
    </row>
    <row r="455" spans="2:15" x14ac:dyDescent="0.25">
      <c r="B455" s="2" t="s">
        <v>10</v>
      </c>
      <c r="C455" s="2">
        <v>2021</v>
      </c>
      <c r="D455" s="1">
        <f t="shared" ref="D455:K455" si="344">+D434+D413+D392+D371+D350+D329</f>
        <v>1257968</v>
      </c>
      <c r="E455" s="11">
        <f t="shared" si="344"/>
        <v>123766651.2</v>
      </c>
      <c r="F455" s="1">
        <f t="shared" si="344"/>
        <v>722902</v>
      </c>
      <c r="G455" s="11">
        <f t="shared" si="344"/>
        <v>69546416.930000007</v>
      </c>
      <c r="H455" s="1">
        <f t="shared" si="344"/>
        <v>196727</v>
      </c>
      <c r="I455" s="11">
        <f t="shared" si="344"/>
        <v>24012398.48</v>
      </c>
      <c r="J455" s="1">
        <f t="shared" si="344"/>
        <v>12</v>
      </c>
      <c r="K455" s="11">
        <f t="shared" si="344"/>
        <v>933</v>
      </c>
      <c r="L455" s="1">
        <f t="shared" si="338"/>
        <v>2177609</v>
      </c>
      <c r="M455" s="11">
        <f t="shared" si="339"/>
        <v>217326399.60999998</v>
      </c>
      <c r="N455" s="39">
        <f t="shared" si="340"/>
        <v>0</v>
      </c>
      <c r="O455" s="13">
        <f t="shared" si="336"/>
        <v>0</v>
      </c>
    </row>
    <row r="456" spans="2:15" x14ac:dyDescent="0.25">
      <c r="B456" s="2" t="s">
        <v>11</v>
      </c>
      <c r="C456" s="2">
        <v>2021</v>
      </c>
      <c r="D456" s="1">
        <f t="shared" ref="D456:K456" si="345">+D435+D414+D393+D372+D351+D330</f>
        <v>1387668</v>
      </c>
      <c r="E456" s="11">
        <f t="shared" si="345"/>
        <v>135922109.33000001</v>
      </c>
      <c r="F456" s="1">
        <f t="shared" si="345"/>
        <v>763230</v>
      </c>
      <c r="G456" s="11">
        <f t="shared" si="345"/>
        <v>73610775.219999999</v>
      </c>
      <c r="H456" s="1">
        <f t="shared" si="345"/>
        <v>195597</v>
      </c>
      <c r="I456" s="11">
        <f t="shared" si="345"/>
        <v>23213638.41</v>
      </c>
      <c r="J456" s="1">
        <f t="shared" si="345"/>
        <v>9</v>
      </c>
      <c r="K456" s="11">
        <f t="shared" si="345"/>
        <v>838</v>
      </c>
      <c r="L456" s="1">
        <f t="shared" si="338"/>
        <v>2346504</v>
      </c>
      <c r="M456" s="11">
        <f t="shared" si="339"/>
        <v>232747360.96000001</v>
      </c>
      <c r="N456" s="39">
        <f t="shared" si="340"/>
        <v>0</v>
      </c>
      <c r="O456" s="13">
        <f t="shared" si="336"/>
        <v>0</v>
      </c>
    </row>
    <row r="457" spans="2:15" x14ac:dyDescent="0.25">
      <c r="B457" s="2" t="s">
        <v>4</v>
      </c>
      <c r="C457" s="2">
        <v>2021</v>
      </c>
      <c r="D457" s="1">
        <f t="shared" ref="D457:K457" si="346">+D436+D415+D394+D373+D352+D331</f>
        <v>1340951</v>
      </c>
      <c r="E457" s="11">
        <f t="shared" si="346"/>
        <v>134037908.98999999</v>
      </c>
      <c r="F457" s="1">
        <f t="shared" si="346"/>
        <v>741102</v>
      </c>
      <c r="G457" s="11">
        <f t="shared" si="346"/>
        <v>72673892.359999999</v>
      </c>
      <c r="H457" s="1">
        <f t="shared" si="346"/>
        <v>202019</v>
      </c>
      <c r="I457" s="11">
        <f t="shared" si="346"/>
        <v>23989382.260000002</v>
      </c>
      <c r="J457" s="1">
        <f t="shared" si="346"/>
        <v>3</v>
      </c>
      <c r="K457" s="11">
        <f t="shared" si="346"/>
        <v>234.9</v>
      </c>
      <c r="L457" s="1">
        <f t="shared" si="338"/>
        <v>2284075</v>
      </c>
      <c r="M457" s="11">
        <f t="shared" si="339"/>
        <v>230701418.50999999</v>
      </c>
      <c r="N457" s="39">
        <f t="shared" si="340"/>
        <v>0</v>
      </c>
      <c r="O457" s="13">
        <f t="shared" si="336"/>
        <v>0</v>
      </c>
    </row>
    <row r="458" spans="2:15" x14ac:dyDescent="0.25">
      <c r="B458" s="2" t="s">
        <v>28</v>
      </c>
      <c r="C458" s="2">
        <v>2021</v>
      </c>
      <c r="D458" s="1">
        <f t="shared" ref="D458:K458" si="347">+D437+D416+D395+D374+D353+D332</f>
        <v>1338217</v>
      </c>
      <c r="E458" s="11">
        <f t="shared" si="347"/>
        <v>129415571.15000001</v>
      </c>
      <c r="F458" s="1">
        <f t="shared" si="347"/>
        <v>772153</v>
      </c>
      <c r="G458" s="11">
        <f t="shared" si="347"/>
        <v>72420969.25</v>
      </c>
      <c r="H458" s="1">
        <f t="shared" si="347"/>
        <v>222477</v>
      </c>
      <c r="I458" s="11">
        <f t="shared" si="347"/>
        <v>26704003.52</v>
      </c>
      <c r="J458" s="1">
        <f t="shared" si="347"/>
        <v>15</v>
      </c>
      <c r="K458" s="11">
        <f t="shared" si="347"/>
        <v>1088.9000000000001</v>
      </c>
      <c r="L458" s="1">
        <f t="shared" si="338"/>
        <v>2332862</v>
      </c>
      <c r="M458" s="11">
        <f t="shared" si="339"/>
        <v>228541632.82000002</v>
      </c>
      <c r="N458" s="39">
        <f t="shared" si="340"/>
        <v>0</v>
      </c>
      <c r="O458" s="13">
        <f t="shared" si="336"/>
        <v>0</v>
      </c>
    </row>
    <row r="459" spans="2:15" x14ac:dyDescent="0.25">
      <c r="B459" s="2" t="s">
        <v>29</v>
      </c>
      <c r="C459" s="2">
        <v>2021</v>
      </c>
      <c r="D459" s="1">
        <f t="shared" ref="D459:K459" si="348">+D438+D417+D396+D375+D354+D333</f>
        <v>1464618</v>
      </c>
      <c r="E459" s="11">
        <f t="shared" si="348"/>
        <v>142185104.22</v>
      </c>
      <c r="F459" s="1">
        <f t="shared" si="348"/>
        <v>825875</v>
      </c>
      <c r="G459" s="11">
        <f t="shared" si="348"/>
        <v>78528829.269999996</v>
      </c>
      <c r="H459" s="1">
        <f t="shared" si="348"/>
        <v>262323</v>
      </c>
      <c r="I459" s="11">
        <f t="shared" si="348"/>
        <v>34062697.770000003</v>
      </c>
      <c r="J459" s="1">
        <f t="shared" si="348"/>
        <v>6</v>
      </c>
      <c r="K459" s="11">
        <f t="shared" si="348"/>
        <v>574</v>
      </c>
      <c r="L459" s="1">
        <f t="shared" si="338"/>
        <v>2552822</v>
      </c>
      <c r="M459" s="11">
        <f t="shared" si="339"/>
        <v>254777205.26000002</v>
      </c>
      <c r="N459" s="39">
        <f t="shared" si="340"/>
        <v>0</v>
      </c>
      <c r="O459" s="13">
        <f t="shared" si="336"/>
        <v>0</v>
      </c>
    </row>
    <row r="460" spans="2:15" x14ac:dyDescent="0.25">
      <c r="B460" s="2" t="s">
        <v>30</v>
      </c>
      <c r="C460" s="2">
        <v>2021</v>
      </c>
      <c r="D460" s="1">
        <f t="shared" ref="D460:K460" si="349">+D439+D418+D397+D376+D355+D334</f>
        <v>1553081</v>
      </c>
      <c r="E460" s="11">
        <f t="shared" si="349"/>
        <v>152629309.78</v>
      </c>
      <c r="F460" s="1">
        <f t="shared" si="349"/>
        <v>873398</v>
      </c>
      <c r="G460" s="11">
        <f t="shared" si="349"/>
        <v>85726619.840000004</v>
      </c>
      <c r="H460" s="1">
        <f t="shared" si="349"/>
        <v>349094</v>
      </c>
      <c r="I460" s="11">
        <f t="shared" si="349"/>
        <v>51386723.969999999</v>
      </c>
      <c r="J460" s="1">
        <f t="shared" si="349"/>
        <v>18</v>
      </c>
      <c r="K460" s="11">
        <f t="shared" si="349"/>
        <v>1014.7</v>
      </c>
      <c r="L460" s="1">
        <f t="shared" si="338"/>
        <v>2775591</v>
      </c>
      <c r="M460" s="11">
        <f t="shared" si="339"/>
        <v>289743668.29000002</v>
      </c>
      <c r="N460" s="39">
        <f t="shared" si="340"/>
        <v>0</v>
      </c>
      <c r="O460" s="13">
        <f t="shared" si="336"/>
        <v>0</v>
      </c>
    </row>
    <row r="461" spans="2:15" x14ac:dyDescent="0.25">
      <c r="B461" s="2" t="s">
        <v>31</v>
      </c>
      <c r="C461" s="2">
        <v>2021</v>
      </c>
      <c r="D461" s="1">
        <f t="shared" ref="D461:K461" si="350">+D440+D419+D398+D377+D356+D335</f>
        <v>1717411</v>
      </c>
      <c r="E461" s="11">
        <f t="shared" si="350"/>
        <v>168413082.52000001</v>
      </c>
      <c r="F461" s="1">
        <f t="shared" si="350"/>
        <v>887867</v>
      </c>
      <c r="G461" s="11">
        <f t="shared" si="350"/>
        <v>86089481.810000002</v>
      </c>
      <c r="H461" s="1">
        <f t="shared" si="350"/>
        <v>465121</v>
      </c>
      <c r="I461" s="11">
        <f t="shared" si="350"/>
        <v>75801648.840000004</v>
      </c>
      <c r="J461" s="1">
        <f t="shared" si="350"/>
        <v>13</v>
      </c>
      <c r="K461" s="11">
        <f t="shared" si="350"/>
        <v>1115.32</v>
      </c>
      <c r="L461" s="1">
        <f t="shared" si="338"/>
        <v>3070412</v>
      </c>
      <c r="M461" s="11">
        <f t="shared" si="339"/>
        <v>330305328.49000001</v>
      </c>
      <c r="N461" s="39">
        <f t="shared" si="340"/>
        <v>0</v>
      </c>
      <c r="O461" s="13">
        <f t="shared" si="336"/>
        <v>0</v>
      </c>
    </row>
    <row r="463" spans="2:15" x14ac:dyDescent="0.25">
      <c r="B463" s="88" t="s">
        <v>12</v>
      </c>
      <c r="C463" s="88"/>
      <c r="D463" s="4">
        <f>SUM(D450:D462)</f>
        <v>15667104</v>
      </c>
      <c r="E463" s="12">
        <f>SUM(E450:E462)</f>
        <v>1535268054.3399999</v>
      </c>
      <c r="F463" s="4">
        <f t="shared" ref="F463:M463" si="351">SUM(F450:F462)</f>
        <v>8948468</v>
      </c>
      <c r="G463" s="12">
        <f t="shared" si="351"/>
        <v>869392168.72000003</v>
      </c>
      <c r="H463" s="4">
        <f t="shared" si="351"/>
        <v>2679159</v>
      </c>
      <c r="I463" s="12">
        <f t="shared" si="351"/>
        <v>348857728.61000001</v>
      </c>
      <c r="J463" s="4">
        <f t="shared" si="351"/>
        <v>149</v>
      </c>
      <c r="K463" s="12">
        <f t="shared" si="351"/>
        <v>12127.050000000001</v>
      </c>
      <c r="L463" s="4">
        <f t="shared" si="351"/>
        <v>27294880</v>
      </c>
      <c r="M463" s="12">
        <f t="shared" si="351"/>
        <v>2753530078.7200003</v>
      </c>
    </row>
  </sheetData>
  <autoFilter ref="B6:AS294" xr:uid="{B451D573-9096-420B-A1A1-725F012128A0}"/>
  <mergeCells count="248">
    <mergeCell ref="AM257:AN257"/>
    <mergeCell ref="AO257:AP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AO5:AP5"/>
    <mergeCell ref="AE5:AF5"/>
    <mergeCell ref="AG5:AH5"/>
    <mergeCell ref="AI5:AJ5"/>
    <mergeCell ref="AM26:AN26"/>
    <mergeCell ref="AO26:AP26"/>
    <mergeCell ref="D26:E26"/>
    <mergeCell ref="F26:G26"/>
    <mergeCell ref="H26:I26"/>
    <mergeCell ref="J26:K26"/>
    <mergeCell ref="L26:M26"/>
    <mergeCell ref="N26:O26"/>
    <mergeCell ref="P26:Q26"/>
    <mergeCell ref="P5:Q5"/>
    <mergeCell ref="R5:S5"/>
    <mergeCell ref="D5:E5"/>
    <mergeCell ref="F5:G5"/>
    <mergeCell ref="H5:I5"/>
    <mergeCell ref="J5:K5"/>
    <mergeCell ref="L5:M5"/>
    <mergeCell ref="N5:O5"/>
    <mergeCell ref="R26:S26"/>
    <mergeCell ref="L47:M47"/>
    <mergeCell ref="N47:O47"/>
    <mergeCell ref="P47:Q47"/>
    <mergeCell ref="R47:S47"/>
    <mergeCell ref="AK5:AL5"/>
    <mergeCell ref="AM5:AN5"/>
    <mergeCell ref="AE26:AF26"/>
    <mergeCell ref="AG26:AH26"/>
    <mergeCell ref="AI26:AJ26"/>
    <mergeCell ref="AK26:AL26"/>
    <mergeCell ref="AO68:AP68"/>
    <mergeCell ref="AO47:AP47"/>
    <mergeCell ref="D68:E68"/>
    <mergeCell ref="F68:G68"/>
    <mergeCell ref="H68:I68"/>
    <mergeCell ref="J68:K68"/>
    <mergeCell ref="L68:M68"/>
    <mergeCell ref="N68:O68"/>
    <mergeCell ref="P68:Q68"/>
    <mergeCell ref="R68:S68"/>
    <mergeCell ref="AE47:AF47"/>
    <mergeCell ref="AG47:AH47"/>
    <mergeCell ref="AI47:AJ47"/>
    <mergeCell ref="AK47:AL47"/>
    <mergeCell ref="AM47:AN47"/>
    <mergeCell ref="D47:E47"/>
    <mergeCell ref="F47:G47"/>
    <mergeCell ref="AE68:AF68"/>
    <mergeCell ref="AG68:AH68"/>
    <mergeCell ref="AI68:AJ68"/>
    <mergeCell ref="AK68:AL68"/>
    <mergeCell ref="AM68:AN68"/>
    <mergeCell ref="H47:I47"/>
    <mergeCell ref="J47:K47"/>
    <mergeCell ref="AK89:AL89"/>
    <mergeCell ref="AM89:AN89"/>
    <mergeCell ref="AO89:AP89"/>
    <mergeCell ref="D110:E110"/>
    <mergeCell ref="F110:G110"/>
    <mergeCell ref="H110:I110"/>
    <mergeCell ref="J110:K110"/>
    <mergeCell ref="L110:M110"/>
    <mergeCell ref="N110:O110"/>
    <mergeCell ref="P110:Q110"/>
    <mergeCell ref="P89:Q89"/>
    <mergeCell ref="R89:S89"/>
    <mergeCell ref="AE89:AF89"/>
    <mergeCell ref="AG89:AH89"/>
    <mergeCell ref="AI89:AJ89"/>
    <mergeCell ref="D89:E89"/>
    <mergeCell ref="F89:G89"/>
    <mergeCell ref="H89:I89"/>
    <mergeCell ref="J89:K89"/>
    <mergeCell ref="L89:M89"/>
    <mergeCell ref="N89:O89"/>
    <mergeCell ref="AK110:AL110"/>
    <mergeCell ref="AM110:AN110"/>
    <mergeCell ref="L152:M152"/>
    <mergeCell ref="N152:O152"/>
    <mergeCell ref="P152:Q152"/>
    <mergeCell ref="R152:S152"/>
    <mergeCell ref="R131:S131"/>
    <mergeCell ref="AO110:AP110"/>
    <mergeCell ref="D131:E131"/>
    <mergeCell ref="F131:G131"/>
    <mergeCell ref="H131:I131"/>
    <mergeCell ref="J131:K131"/>
    <mergeCell ref="L131:M131"/>
    <mergeCell ref="N131:O131"/>
    <mergeCell ref="P131:Q131"/>
    <mergeCell ref="R110:S110"/>
    <mergeCell ref="T110:U110"/>
    <mergeCell ref="AE110:AF110"/>
    <mergeCell ref="AG110:AH110"/>
    <mergeCell ref="AI110:AJ110"/>
    <mergeCell ref="AM131:AN131"/>
    <mergeCell ref="AO131:AP131"/>
    <mergeCell ref="AE131:AF131"/>
    <mergeCell ref="AG131:AH131"/>
    <mergeCell ref="AI131:AJ131"/>
    <mergeCell ref="AK131:AL131"/>
    <mergeCell ref="AE173:AF173"/>
    <mergeCell ref="AG173:AH173"/>
    <mergeCell ref="AI173:AJ173"/>
    <mergeCell ref="AK173:AL173"/>
    <mergeCell ref="AM173:AN173"/>
    <mergeCell ref="AO173:AP173"/>
    <mergeCell ref="AO152:AP152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AE152:AF152"/>
    <mergeCell ref="AG152:AH152"/>
    <mergeCell ref="AI152:AJ152"/>
    <mergeCell ref="AK152:AL152"/>
    <mergeCell ref="AM152:AN152"/>
    <mergeCell ref="D152:E152"/>
    <mergeCell ref="F152:G152"/>
    <mergeCell ref="H152:I152"/>
    <mergeCell ref="J152:K152"/>
    <mergeCell ref="AK194:AL194"/>
    <mergeCell ref="AM194:AN194"/>
    <mergeCell ref="AO194:AP194"/>
    <mergeCell ref="D215:E215"/>
    <mergeCell ref="F215:G215"/>
    <mergeCell ref="H215:I215"/>
    <mergeCell ref="J215:K215"/>
    <mergeCell ref="L215:M215"/>
    <mergeCell ref="N215:O215"/>
    <mergeCell ref="P215:Q215"/>
    <mergeCell ref="P194:Q194"/>
    <mergeCell ref="R194:S194"/>
    <mergeCell ref="AE194:AF194"/>
    <mergeCell ref="AG194:AH194"/>
    <mergeCell ref="AI194:AJ194"/>
    <mergeCell ref="D194:E194"/>
    <mergeCell ref="F194:G194"/>
    <mergeCell ref="H194:I194"/>
    <mergeCell ref="J194:K194"/>
    <mergeCell ref="L194:M194"/>
    <mergeCell ref="N194:O194"/>
    <mergeCell ref="AM215:AN215"/>
    <mergeCell ref="AO215:AP215"/>
    <mergeCell ref="AI215:AJ215"/>
    <mergeCell ref="AK215:AL215"/>
    <mergeCell ref="AO236:AP236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AE236:AF236"/>
    <mergeCell ref="AG236:AH236"/>
    <mergeCell ref="AI236:AJ236"/>
    <mergeCell ref="AK236:AL236"/>
    <mergeCell ref="AM236:AN236"/>
    <mergeCell ref="AO278:AP278"/>
    <mergeCell ref="AE278:AF278"/>
    <mergeCell ref="AG278:AH278"/>
    <mergeCell ref="D236:E236"/>
    <mergeCell ref="F236:G236"/>
    <mergeCell ref="H236:I236"/>
    <mergeCell ref="AI257:AJ257"/>
    <mergeCell ref="AK257:AL257"/>
    <mergeCell ref="J299:K299"/>
    <mergeCell ref="L299:M299"/>
    <mergeCell ref="N299:O299"/>
    <mergeCell ref="P299:Q299"/>
    <mergeCell ref="T299:U299"/>
    <mergeCell ref="AE215:AF215"/>
    <mergeCell ref="AG215:AH215"/>
    <mergeCell ref="J236:K236"/>
    <mergeCell ref="L236:M236"/>
    <mergeCell ref="N236:O236"/>
    <mergeCell ref="P236:Q236"/>
    <mergeCell ref="R236:S236"/>
    <mergeCell ref="R215:S215"/>
    <mergeCell ref="AE257:AF257"/>
    <mergeCell ref="AG257:AH257"/>
    <mergeCell ref="D363:E363"/>
    <mergeCell ref="F363:G363"/>
    <mergeCell ref="H363:I363"/>
    <mergeCell ref="J363:K363"/>
    <mergeCell ref="L363:M363"/>
    <mergeCell ref="B379:C379"/>
    <mergeCell ref="AI278:AJ278"/>
    <mergeCell ref="AK278:AL278"/>
    <mergeCell ref="AM278:AN278"/>
    <mergeCell ref="D342:E342"/>
    <mergeCell ref="F342:G342"/>
    <mergeCell ref="H342:I342"/>
    <mergeCell ref="J342:K342"/>
    <mergeCell ref="L342:M342"/>
    <mergeCell ref="B358:C358"/>
    <mergeCell ref="D321:E321"/>
    <mergeCell ref="F321:G321"/>
    <mergeCell ref="H321:I321"/>
    <mergeCell ref="J321:K321"/>
    <mergeCell ref="L321:M321"/>
    <mergeCell ref="B337:C337"/>
    <mergeCell ref="D299:E299"/>
    <mergeCell ref="F299:G299"/>
    <mergeCell ref="H299:I299"/>
    <mergeCell ref="D405:E405"/>
    <mergeCell ref="F405:G405"/>
    <mergeCell ref="H405:I405"/>
    <mergeCell ref="J405:K405"/>
    <mergeCell ref="L405:M405"/>
    <mergeCell ref="B421:C421"/>
    <mergeCell ref="D384:E384"/>
    <mergeCell ref="F384:G384"/>
    <mergeCell ref="H384:I384"/>
    <mergeCell ref="J384:K384"/>
    <mergeCell ref="L384:M384"/>
    <mergeCell ref="B400:C400"/>
    <mergeCell ref="D447:E447"/>
    <mergeCell ref="F447:G447"/>
    <mergeCell ref="H447:I447"/>
    <mergeCell ref="J447:K447"/>
    <mergeCell ref="L447:M447"/>
    <mergeCell ref="B463:C463"/>
    <mergeCell ref="D426:E426"/>
    <mergeCell ref="F426:G426"/>
    <mergeCell ref="H426:I426"/>
    <mergeCell ref="J426:K426"/>
    <mergeCell ref="L426:M426"/>
    <mergeCell ref="B442:C442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4860-902A-418E-BEC4-CA65CB9EC984}">
  <sheetPr codeName="Hoja8"/>
  <dimension ref="A2:BI554"/>
  <sheetViews>
    <sheetView showGridLines="0" zoomScale="55" zoomScaleNormal="55" workbookViewId="0">
      <pane xSplit="3" ySplit="6" topLeftCell="G276" activePane="bottomRight" state="frozen"/>
      <selection activeCell="AA32" sqref="AA32"/>
      <selection pane="topRight" activeCell="AA32" sqref="AA32"/>
      <selection pane="bottomLeft" activeCell="AA32" sqref="AA32"/>
      <selection pane="bottomRight" activeCell="W315" sqref="W315"/>
    </sheetView>
  </sheetViews>
  <sheetFormatPr baseColWidth="10" defaultColWidth="11" defaultRowHeight="15" outlineLevelRow="1" x14ac:dyDescent="0.25"/>
  <cols>
    <col min="1" max="1" width="1.7109375" customWidth="1"/>
    <col min="2" max="2" width="16.42578125" bestFit="1" customWidth="1"/>
    <col min="3" max="3" width="19" bestFit="1" customWidth="1"/>
    <col min="4" max="4" width="18.85546875" customWidth="1"/>
    <col min="5" max="5" width="27" style="9" bestFit="1" customWidth="1"/>
    <col min="6" max="6" width="20.140625" style="9" bestFit="1" customWidth="1"/>
    <col min="7" max="7" width="27.85546875" style="9" bestFit="1" customWidth="1"/>
    <col min="8" max="8" width="18.85546875" customWidth="1"/>
    <col min="9" max="9" width="27.85546875" style="9" bestFit="1" customWidth="1"/>
    <col min="10" max="10" width="18.85546875" customWidth="1"/>
    <col min="11" max="11" width="28.42578125" style="9" bestFit="1" customWidth="1"/>
    <col min="12" max="12" width="18.85546875" customWidth="1"/>
    <col min="13" max="13" width="27.42578125" style="9" bestFit="1" customWidth="1"/>
    <col min="14" max="14" width="18.85546875" customWidth="1"/>
    <col min="15" max="15" width="25.42578125" style="9" bestFit="1" customWidth="1"/>
    <col min="16" max="16" width="22" style="9" bestFit="1" customWidth="1"/>
    <col min="17" max="17" width="23.5703125" style="9" customWidth="1"/>
    <col min="18" max="18" width="20.7109375" style="9" bestFit="1" customWidth="1"/>
    <col min="19" max="19" width="28.42578125" style="9" bestFit="1" customWidth="1"/>
    <col min="20" max="20" width="21.5703125" bestFit="1" customWidth="1"/>
    <col min="21" max="21" width="28.42578125" style="9" bestFit="1" customWidth="1"/>
    <col min="22" max="22" width="18.85546875" customWidth="1"/>
    <col min="23" max="23" width="29.140625" bestFit="1" customWidth="1"/>
    <col min="24" max="24" width="24.140625" bestFit="1" customWidth="1"/>
    <col min="25" max="25" width="5.7109375" customWidth="1"/>
    <col min="26" max="26" width="21.85546875" bestFit="1" customWidth="1"/>
    <col min="27" max="27" width="12.5703125" customWidth="1"/>
    <col min="28" max="28" width="22.7109375" bestFit="1" customWidth="1"/>
    <col min="29" max="29" width="12.5703125" customWidth="1"/>
    <col min="30" max="30" width="17.42578125" bestFit="1" customWidth="1"/>
    <col min="31" max="31" width="17.7109375" bestFit="1" customWidth="1"/>
    <col min="32" max="32" width="15" customWidth="1"/>
    <col min="33" max="33" width="17.140625" customWidth="1"/>
    <col min="34" max="34" width="23.5703125" bestFit="1" customWidth="1"/>
    <col min="35" max="35" width="17.140625" customWidth="1"/>
    <col min="36" max="36" width="25.85546875" bestFit="1" customWidth="1"/>
    <col min="37" max="37" width="17.140625" customWidth="1"/>
    <col min="38" max="38" width="24" bestFit="1" customWidth="1"/>
    <col min="39" max="39" width="17.140625" customWidth="1"/>
    <col min="40" max="40" width="23.5703125" bestFit="1" customWidth="1"/>
    <col min="41" max="45" width="17.140625" customWidth="1"/>
    <col min="46" max="46" width="26.42578125" bestFit="1" customWidth="1"/>
    <col min="47" max="47" width="13.85546875" bestFit="1" customWidth="1"/>
    <col min="48" max="48" width="13.5703125" customWidth="1"/>
    <col min="49" max="49" width="14.7109375" customWidth="1"/>
    <col min="50" max="50" width="18.7109375" customWidth="1"/>
    <col min="51" max="53" width="15.7109375" customWidth="1"/>
    <col min="54" max="55" width="12.42578125" customWidth="1"/>
    <col min="56" max="56" width="17.140625" bestFit="1" customWidth="1"/>
    <col min="57" max="63" width="12.42578125" customWidth="1"/>
    <col min="65" max="65" width="15.5703125" bestFit="1" customWidth="1"/>
  </cols>
  <sheetData>
    <row r="2" spans="1:49" x14ac:dyDescent="0.25">
      <c r="B2" s="5" t="s">
        <v>14</v>
      </c>
    </row>
    <row r="3" spans="1:49" x14ac:dyDescent="0.25">
      <c r="B3" s="5" t="s">
        <v>19</v>
      </c>
    </row>
    <row r="4" spans="1:49" x14ac:dyDescent="0.25">
      <c r="B4" s="5"/>
    </row>
    <row r="5" spans="1:49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87</v>
      </c>
      <c r="S5" s="93"/>
      <c r="T5" s="89" t="s">
        <v>12</v>
      </c>
      <c r="U5" s="93"/>
      <c r="AG5" s="89" t="s">
        <v>69</v>
      </c>
      <c r="AH5" s="90"/>
      <c r="AI5" s="89" t="s">
        <v>17</v>
      </c>
      <c r="AJ5" s="93"/>
      <c r="AK5" s="89" t="s">
        <v>18</v>
      </c>
      <c r="AL5" s="93"/>
      <c r="AM5" s="89" t="s">
        <v>13</v>
      </c>
      <c r="AN5" s="93"/>
      <c r="AO5" s="89" t="s">
        <v>34</v>
      </c>
      <c r="AP5" s="93"/>
      <c r="AQ5" s="89" t="s">
        <v>87</v>
      </c>
      <c r="AR5" s="93"/>
      <c r="AS5" s="89" t="s">
        <v>12</v>
      </c>
      <c r="AT5" s="93"/>
    </row>
    <row r="6" spans="1:49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AE6" s="7" t="s">
        <v>0</v>
      </c>
      <c r="AF6" s="7" t="s">
        <v>1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</row>
    <row r="7" spans="1:49" x14ac:dyDescent="0.25">
      <c r="AH7" s="9"/>
      <c r="AJ7" s="9"/>
      <c r="AL7" s="9"/>
      <c r="AN7" s="9"/>
      <c r="AO7" s="9"/>
      <c r="AP7" s="9"/>
      <c r="AQ7" s="9"/>
      <c r="AR7" s="9"/>
      <c r="AT7" s="9"/>
    </row>
    <row r="8" spans="1:49" outlineLevel="1" x14ac:dyDescent="0.25">
      <c r="B8" s="2" t="s">
        <v>5</v>
      </c>
      <c r="C8" s="2">
        <v>2022</v>
      </c>
      <c r="D8" s="1">
        <v>268239</v>
      </c>
      <c r="E8" s="11">
        <v>10891057.07</v>
      </c>
      <c r="F8" s="1">
        <v>141670</v>
      </c>
      <c r="G8" s="11">
        <v>5726427.8299999991</v>
      </c>
      <c r="H8" s="1">
        <v>10621</v>
      </c>
      <c r="I8" s="11">
        <v>433795.32</v>
      </c>
      <c r="J8" s="1">
        <v>1162468</v>
      </c>
      <c r="K8" s="11">
        <v>47158193.749999993</v>
      </c>
      <c r="L8" s="8">
        <v>14297</v>
      </c>
      <c r="M8" s="11">
        <v>556254.3600000001</v>
      </c>
      <c r="N8" s="8">
        <v>12157</v>
      </c>
      <c r="O8" s="11">
        <v>456817.02</v>
      </c>
      <c r="P8" s="8">
        <v>0</v>
      </c>
      <c r="Q8" s="11">
        <v>0</v>
      </c>
      <c r="R8" s="8">
        <v>0</v>
      </c>
      <c r="S8" s="11">
        <v>0</v>
      </c>
      <c r="T8" s="53">
        <f>N8+L8+J8+H8+D8+P8+F8+R8</f>
        <v>1609452</v>
      </c>
      <c r="U8" s="54">
        <f t="shared" ref="U8:U19" si="0">O8+M8+K8+I8+E8+Q8+G8+S8</f>
        <v>65222545.349999994</v>
      </c>
      <c r="V8" s="2" t="s">
        <v>56</v>
      </c>
      <c r="AE8" s="2" t="s">
        <v>5</v>
      </c>
      <c r="AF8" s="2">
        <v>2021</v>
      </c>
      <c r="AG8" s="1">
        <f t="shared" ref="AG8:AG19" si="1">D8+H8+F8</f>
        <v>420530</v>
      </c>
      <c r="AH8" s="11">
        <f t="shared" ref="AH8:AH19" si="2">E8+I8+G8</f>
        <v>17051280.219999999</v>
      </c>
      <c r="AI8" s="1">
        <f t="shared" ref="AI8:AI19" si="3">+J8</f>
        <v>1162468</v>
      </c>
      <c r="AJ8" s="11">
        <f t="shared" ref="AJ8:AJ19" si="4">+K8</f>
        <v>47158193.749999993</v>
      </c>
      <c r="AK8" s="8">
        <f t="shared" ref="AK8:AK19" si="5">+L8</f>
        <v>14297</v>
      </c>
      <c r="AL8" s="11">
        <f t="shared" ref="AL8:AL19" si="6">+M8</f>
        <v>556254.3600000001</v>
      </c>
      <c r="AM8" s="8">
        <f t="shared" ref="AM8:AM19" si="7">+N8</f>
        <v>12157</v>
      </c>
      <c r="AN8" s="11">
        <f t="shared" ref="AN8:AN19" si="8">+O8</f>
        <v>456817.02</v>
      </c>
      <c r="AO8" s="8">
        <f t="shared" ref="AO8:AO19" si="9">+P8</f>
        <v>0</v>
      </c>
      <c r="AP8" s="11">
        <f t="shared" ref="AP8:AP19" si="10">+Q8</f>
        <v>0</v>
      </c>
      <c r="AQ8" s="11">
        <f t="shared" ref="AQ8:AQ19" si="11">+R8</f>
        <v>0</v>
      </c>
      <c r="AR8" s="11">
        <f t="shared" ref="AR8:AR19" si="12">+S8</f>
        <v>0</v>
      </c>
      <c r="AS8" s="8">
        <f>AO8+AM8+AK8+AI8+AG8+AQ8</f>
        <v>1609452</v>
      </c>
      <c r="AT8" s="11">
        <f t="shared" ref="AT8:AT19" si="13">AP8+AN8+AL8+AJ8+AH8+AR8</f>
        <v>65222545.349999994</v>
      </c>
      <c r="AU8" s="2" t="str">
        <f t="shared" ref="AU8:AU19" si="14">+V8</f>
        <v>AUNORTE</v>
      </c>
      <c r="AV8" s="37">
        <f t="shared" ref="AV8:AV19" si="15">+AS8-T8</f>
        <v>0</v>
      </c>
      <c r="AW8" s="37">
        <f t="shared" ref="AW8:AW19" si="16">+AT8-U8</f>
        <v>0</v>
      </c>
    </row>
    <row r="9" spans="1:49" outlineLevel="1" x14ac:dyDescent="0.25">
      <c r="B9" s="2" t="s">
        <v>6</v>
      </c>
      <c r="C9" s="2">
        <v>2022</v>
      </c>
      <c r="D9" s="1">
        <v>353163</v>
      </c>
      <c r="E9" s="11">
        <v>15845738.710000001</v>
      </c>
      <c r="F9" s="1">
        <v>202972</v>
      </c>
      <c r="G9" s="11">
        <v>9068443.3399999999</v>
      </c>
      <c r="H9" s="1">
        <v>13737</v>
      </c>
      <c r="I9" s="11">
        <v>608050.34000000008</v>
      </c>
      <c r="J9" s="1">
        <v>1484851</v>
      </c>
      <c r="K9" s="11">
        <v>67072786.540000007</v>
      </c>
      <c r="L9" s="8">
        <v>17397</v>
      </c>
      <c r="M9" s="11">
        <v>763342.75</v>
      </c>
      <c r="N9" s="8">
        <v>14782</v>
      </c>
      <c r="O9" s="11">
        <v>620211.55999999994</v>
      </c>
      <c r="P9" s="8">
        <v>0</v>
      </c>
      <c r="Q9" s="11">
        <v>0</v>
      </c>
      <c r="R9" s="8">
        <v>0</v>
      </c>
      <c r="S9" s="11">
        <v>0</v>
      </c>
      <c r="T9" s="53">
        <f t="shared" ref="T9:T19" si="17">N9+L9+J9+H9+D9+P9+F9+R9</f>
        <v>2086902</v>
      </c>
      <c r="U9" s="54">
        <f t="shared" si="0"/>
        <v>93978573.24000001</v>
      </c>
      <c r="V9" s="2" t="s">
        <v>56</v>
      </c>
      <c r="AE9" s="2" t="s">
        <v>6</v>
      </c>
      <c r="AF9" s="2">
        <v>2021</v>
      </c>
      <c r="AG9" s="1">
        <f t="shared" si="1"/>
        <v>569872</v>
      </c>
      <c r="AH9" s="11">
        <f t="shared" si="2"/>
        <v>25522232.390000001</v>
      </c>
      <c r="AI9" s="1">
        <f t="shared" si="3"/>
        <v>1484851</v>
      </c>
      <c r="AJ9" s="11">
        <f t="shared" si="4"/>
        <v>67072786.540000007</v>
      </c>
      <c r="AK9" s="8">
        <f t="shared" si="5"/>
        <v>17397</v>
      </c>
      <c r="AL9" s="11">
        <f t="shared" si="6"/>
        <v>763342.75</v>
      </c>
      <c r="AM9" s="8">
        <f t="shared" si="7"/>
        <v>14782</v>
      </c>
      <c r="AN9" s="11">
        <f t="shared" si="8"/>
        <v>620211.55999999994</v>
      </c>
      <c r="AO9" s="8">
        <f t="shared" si="9"/>
        <v>0</v>
      </c>
      <c r="AP9" s="11">
        <f t="shared" si="10"/>
        <v>0</v>
      </c>
      <c r="AQ9" s="11">
        <f t="shared" si="11"/>
        <v>0</v>
      </c>
      <c r="AR9" s="11">
        <f t="shared" si="12"/>
        <v>0</v>
      </c>
      <c r="AS9" s="8">
        <f t="shared" ref="AS9:AS19" si="18">AO9+AM9+AK9+AI9+AG9+AQ9</f>
        <v>2086902</v>
      </c>
      <c r="AT9" s="11">
        <f t="shared" si="13"/>
        <v>93978573.24000001</v>
      </c>
      <c r="AU9" s="2" t="str">
        <f t="shared" si="14"/>
        <v>AUNORTE</v>
      </c>
      <c r="AV9" s="37">
        <f t="shared" si="15"/>
        <v>0</v>
      </c>
      <c r="AW9" s="37">
        <f t="shared" si="16"/>
        <v>0</v>
      </c>
    </row>
    <row r="10" spans="1:49" outlineLevel="1" x14ac:dyDescent="0.25">
      <c r="B10" s="2" t="s">
        <v>7</v>
      </c>
      <c r="C10" s="2">
        <v>2022</v>
      </c>
      <c r="D10" s="1">
        <v>447279</v>
      </c>
      <c r="E10" s="11">
        <v>20178523.600000001</v>
      </c>
      <c r="F10" s="1">
        <v>266331</v>
      </c>
      <c r="G10" s="11">
        <v>11986627.699999997</v>
      </c>
      <c r="H10" s="1">
        <v>14996</v>
      </c>
      <c r="I10" s="11">
        <v>670123.6</v>
      </c>
      <c r="J10" s="1">
        <v>1869103</v>
      </c>
      <c r="K10" s="11">
        <v>84760599.989999995</v>
      </c>
      <c r="L10" s="8">
        <v>20656</v>
      </c>
      <c r="M10" s="11">
        <v>910421.77000000014</v>
      </c>
      <c r="N10" s="8">
        <v>18038</v>
      </c>
      <c r="O10" s="11">
        <v>752221.29</v>
      </c>
      <c r="P10" s="8">
        <v>0</v>
      </c>
      <c r="Q10" s="11">
        <v>0</v>
      </c>
      <c r="R10" s="8">
        <v>0</v>
      </c>
      <c r="S10" s="11">
        <v>0</v>
      </c>
      <c r="T10" s="53">
        <f t="shared" si="17"/>
        <v>2636403</v>
      </c>
      <c r="U10" s="54">
        <f t="shared" si="0"/>
        <v>119258517.95</v>
      </c>
      <c r="V10" s="2" t="s">
        <v>56</v>
      </c>
      <c r="W10" s="38"/>
      <c r="AE10" s="2" t="s">
        <v>7</v>
      </c>
      <c r="AF10" s="2">
        <v>2021</v>
      </c>
      <c r="AG10" s="1">
        <f t="shared" si="1"/>
        <v>728606</v>
      </c>
      <c r="AH10" s="11">
        <f t="shared" si="2"/>
        <v>32835274.899999999</v>
      </c>
      <c r="AI10" s="1">
        <f t="shared" si="3"/>
        <v>1869103</v>
      </c>
      <c r="AJ10" s="11">
        <f t="shared" si="4"/>
        <v>84760599.989999995</v>
      </c>
      <c r="AK10" s="8">
        <f t="shared" si="5"/>
        <v>20656</v>
      </c>
      <c r="AL10" s="11">
        <f t="shared" si="6"/>
        <v>910421.77000000014</v>
      </c>
      <c r="AM10" s="8">
        <f t="shared" si="7"/>
        <v>18038</v>
      </c>
      <c r="AN10" s="11">
        <f t="shared" si="8"/>
        <v>752221.29</v>
      </c>
      <c r="AO10" s="8">
        <f t="shared" si="9"/>
        <v>0</v>
      </c>
      <c r="AP10" s="11">
        <f t="shared" si="10"/>
        <v>0</v>
      </c>
      <c r="AQ10" s="11">
        <f t="shared" si="11"/>
        <v>0</v>
      </c>
      <c r="AR10" s="11">
        <f t="shared" si="12"/>
        <v>0</v>
      </c>
      <c r="AS10" s="8">
        <f t="shared" si="18"/>
        <v>2636403</v>
      </c>
      <c r="AT10" s="11">
        <f t="shared" si="13"/>
        <v>119258517.94999999</v>
      </c>
      <c r="AU10" s="2" t="str">
        <f t="shared" si="14"/>
        <v>AUNORTE</v>
      </c>
      <c r="AV10" s="37">
        <f t="shared" si="15"/>
        <v>0</v>
      </c>
      <c r="AW10" s="37">
        <f t="shared" si="16"/>
        <v>0</v>
      </c>
    </row>
    <row r="11" spans="1:49" outlineLevel="1" x14ac:dyDescent="0.25">
      <c r="B11" s="2" t="s">
        <v>8</v>
      </c>
      <c r="C11" s="2">
        <v>2022</v>
      </c>
      <c r="D11" s="1">
        <v>396984</v>
      </c>
      <c r="E11" s="11">
        <v>18085086.299999993</v>
      </c>
      <c r="F11" s="1">
        <v>230447</v>
      </c>
      <c r="G11" s="11">
        <v>10497427.080000002</v>
      </c>
      <c r="H11" s="1">
        <v>11824</v>
      </c>
      <c r="I11" s="11">
        <v>546078.41999999993</v>
      </c>
      <c r="J11" s="1">
        <v>1654469</v>
      </c>
      <c r="K11" s="11">
        <v>76088863.910000026</v>
      </c>
      <c r="L11" s="8">
        <v>18047</v>
      </c>
      <c r="M11" s="11">
        <v>806315.71</v>
      </c>
      <c r="N11" s="8">
        <v>15484</v>
      </c>
      <c r="O11" s="11">
        <v>654053.07999999996</v>
      </c>
      <c r="P11" s="8">
        <v>3</v>
      </c>
      <c r="Q11" s="11">
        <v>20.630000000000003</v>
      </c>
      <c r="R11" s="8">
        <v>0</v>
      </c>
      <c r="S11" s="11">
        <v>0</v>
      </c>
      <c r="T11" s="53">
        <f t="shared" si="17"/>
        <v>2327258</v>
      </c>
      <c r="U11" s="54">
        <f t="shared" si="0"/>
        <v>106677845.13000003</v>
      </c>
      <c r="V11" s="2" t="s">
        <v>56</v>
      </c>
      <c r="AE11" s="2" t="s">
        <v>8</v>
      </c>
      <c r="AF11" s="2">
        <v>2021</v>
      </c>
      <c r="AG11" s="1">
        <f t="shared" si="1"/>
        <v>639255</v>
      </c>
      <c r="AH11" s="11">
        <f t="shared" si="2"/>
        <v>29128591.799999993</v>
      </c>
      <c r="AI11" s="1">
        <f t="shared" si="3"/>
        <v>1654469</v>
      </c>
      <c r="AJ11" s="11">
        <f t="shared" si="4"/>
        <v>76088863.910000026</v>
      </c>
      <c r="AK11" s="8">
        <f t="shared" si="5"/>
        <v>18047</v>
      </c>
      <c r="AL11" s="11">
        <f t="shared" si="6"/>
        <v>806315.71</v>
      </c>
      <c r="AM11" s="8">
        <f t="shared" si="7"/>
        <v>15484</v>
      </c>
      <c r="AN11" s="11">
        <f t="shared" si="8"/>
        <v>654053.07999999996</v>
      </c>
      <c r="AO11" s="8">
        <f t="shared" si="9"/>
        <v>3</v>
      </c>
      <c r="AP11" s="11">
        <f t="shared" si="10"/>
        <v>20.630000000000003</v>
      </c>
      <c r="AQ11" s="11">
        <f t="shared" si="11"/>
        <v>0</v>
      </c>
      <c r="AR11" s="11">
        <f t="shared" si="12"/>
        <v>0</v>
      </c>
      <c r="AS11" s="8">
        <f t="shared" si="18"/>
        <v>2327258</v>
      </c>
      <c r="AT11" s="11">
        <f t="shared" si="13"/>
        <v>106677845.13000003</v>
      </c>
      <c r="AU11" s="2" t="str">
        <f t="shared" si="14"/>
        <v>AUNORTE</v>
      </c>
      <c r="AV11" s="37">
        <f t="shared" si="15"/>
        <v>0</v>
      </c>
      <c r="AW11" s="37">
        <f t="shared" si="16"/>
        <v>0</v>
      </c>
    </row>
    <row r="12" spans="1:49" outlineLevel="1" x14ac:dyDescent="0.25">
      <c r="B12" s="2" t="s">
        <v>9</v>
      </c>
      <c r="C12" s="2">
        <v>2022</v>
      </c>
      <c r="D12" s="1">
        <v>437874</v>
      </c>
      <c r="E12" s="11">
        <v>19688289.429999996</v>
      </c>
      <c r="F12" s="1">
        <v>255792</v>
      </c>
      <c r="G12" s="11">
        <v>11570157.970000003</v>
      </c>
      <c r="H12" s="1">
        <v>11946</v>
      </c>
      <c r="I12" s="11">
        <v>539911.12</v>
      </c>
      <c r="J12" s="1">
        <v>1874862</v>
      </c>
      <c r="K12" s="11">
        <v>85051571.25</v>
      </c>
      <c r="L12" s="8">
        <v>19942</v>
      </c>
      <c r="M12" s="11">
        <v>867551.33</v>
      </c>
      <c r="N12" s="8">
        <v>17252</v>
      </c>
      <c r="O12" s="11">
        <v>712014.27000000014</v>
      </c>
      <c r="P12" s="8">
        <v>14</v>
      </c>
      <c r="Q12" s="11">
        <v>360.12</v>
      </c>
      <c r="R12" s="8">
        <v>7</v>
      </c>
      <c r="S12" s="11">
        <v>273.39999999999998</v>
      </c>
      <c r="T12" s="53">
        <f t="shared" si="17"/>
        <v>2617689</v>
      </c>
      <c r="U12" s="54">
        <f t="shared" si="0"/>
        <v>118430128.89</v>
      </c>
      <c r="V12" s="2" t="s">
        <v>56</v>
      </c>
      <c r="AE12" s="2" t="s">
        <v>9</v>
      </c>
      <c r="AF12" s="2">
        <v>2021</v>
      </c>
      <c r="AG12" s="1">
        <f t="shared" si="1"/>
        <v>705612</v>
      </c>
      <c r="AH12" s="11">
        <f t="shared" si="2"/>
        <v>31798358.52</v>
      </c>
      <c r="AI12" s="1">
        <f t="shared" si="3"/>
        <v>1874862</v>
      </c>
      <c r="AJ12" s="11">
        <f t="shared" si="4"/>
        <v>85051571.25</v>
      </c>
      <c r="AK12" s="8">
        <f t="shared" si="5"/>
        <v>19942</v>
      </c>
      <c r="AL12" s="11">
        <f t="shared" si="6"/>
        <v>867551.33</v>
      </c>
      <c r="AM12" s="8">
        <f t="shared" si="7"/>
        <v>17252</v>
      </c>
      <c r="AN12" s="11">
        <f t="shared" si="8"/>
        <v>712014.27000000014</v>
      </c>
      <c r="AO12" s="8">
        <f t="shared" si="9"/>
        <v>14</v>
      </c>
      <c r="AP12" s="11">
        <f t="shared" si="10"/>
        <v>360.12</v>
      </c>
      <c r="AQ12" s="11">
        <f t="shared" si="11"/>
        <v>7</v>
      </c>
      <c r="AR12" s="11">
        <f t="shared" si="12"/>
        <v>273.39999999999998</v>
      </c>
      <c r="AS12" s="8">
        <f t="shared" si="18"/>
        <v>2617689</v>
      </c>
      <c r="AT12" s="11">
        <f t="shared" si="13"/>
        <v>118430128.89</v>
      </c>
      <c r="AU12" s="2" t="str">
        <f t="shared" si="14"/>
        <v>AUNORTE</v>
      </c>
      <c r="AV12" s="37">
        <f t="shared" si="15"/>
        <v>0</v>
      </c>
      <c r="AW12" s="37">
        <f t="shared" si="16"/>
        <v>0</v>
      </c>
    </row>
    <row r="13" spans="1:49" outlineLevel="1" x14ac:dyDescent="0.25">
      <c r="B13" s="2" t="s">
        <v>10</v>
      </c>
      <c r="C13" s="2">
        <v>2022</v>
      </c>
      <c r="D13" s="1">
        <v>418909</v>
      </c>
      <c r="E13" s="11">
        <v>18796506.670000006</v>
      </c>
      <c r="F13" s="1">
        <v>236610</v>
      </c>
      <c r="G13" s="11">
        <v>10675276.18</v>
      </c>
      <c r="H13" s="1">
        <v>11394</v>
      </c>
      <c r="I13" s="11">
        <v>514239.12000000005</v>
      </c>
      <c r="J13" s="1">
        <v>1793829</v>
      </c>
      <c r="K13" s="11">
        <v>81221230.269999996</v>
      </c>
      <c r="L13" s="8">
        <v>17913</v>
      </c>
      <c r="M13" s="11">
        <v>782623.73</v>
      </c>
      <c r="N13" s="8">
        <v>16618</v>
      </c>
      <c r="O13" s="11">
        <v>699123.18000000017</v>
      </c>
      <c r="P13" s="8">
        <v>8</v>
      </c>
      <c r="Q13" s="11">
        <v>277.18</v>
      </c>
      <c r="R13" s="8">
        <v>28</v>
      </c>
      <c r="S13" s="11">
        <v>1231.9100000000001</v>
      </c>
      <c r="T13" s="53">
        <f t="shared" si="17"/>
        <v>2495309</v>
      </c>
      <c r="U13" s="54">
        <f t="shared" si="0"/>
        <v>112690508.24000001</v>
      </c>
      <c r="V13" s="2" t="s">
        <v>56</v>
      </c>
      <c r="AE13" s="2" t="s">
        <v>10</v>
      </c>
      <c r="AF13" s="2">
        <v>2021</v>
      </c>
      <c r="AG13" s="1">
        <f t="shared" si="1"/>
        <v>666913</v>
      </c>
      <c r="AH13" s="11">
        <f t="shared" si="2"/>
        <v>29986021.970000006</v>
      </c>
      <c r="AI13" s="1">
        <f t="shared" si="3"/>
        <v>1793829</v>
      </c>
      <c r="AJ13" s="11">
        <f t="shared" si="4"/>
        <v>81221230.269999996</v>
      </c>
      <c r="AK13" s="8">
        <f t="shared" si="5"/>
        <v>17913</v>
      </c>
      <c r="AL13" s="11">
        <f t="shared" si="6"/>
        <v>782623.73</v>
      </c>
      <c r="AM13" s="8">
        <f t="shared" si="7"/>
        <v>16618</v>
      </c>
      <c r="AN13" s="11">
        <f t="shared" si="8"/>
        <v>699123.18000000017</v>
      </c>
      <c r="AO13" s="8">
        <f t="shared" si="9"/>
        <v>8</v>
      </c>
      <c r="AP13" s="11">
        <f t="shared" si="10"/>
        <v>277.18</v>
      </c>
      <c r="AQ13" s="11">
        <f t="shared" si="11"/>
        <v>28</v>
      </c>
      <c r="AR13" s="11">
        <f t="shared" si="12"/>
        <v>1231.9100000000001</v>
      </c>
      <c r="AS13" s="8">
        <f t="shared" si="18"/>
        <v>2495309</v>
      </c>
      <c r="AT13" s="11">
        <f t="shared" si="13"/>
        <v>112690508.24000001</v>
      </c>
      <c r="AU13" s="2" t="str">
        <f t="shared" si="14"/>
        <v>AUNORTE</v>
      </c>
      <c r="AV13" s="37">
        <f t="shared" si="15"/>
        <v>0</v>
      </c>
      <c r="AW13" s="37">
        <f t="shared" si="16"/>
        <v>0</v>
      </c>
    </row>
    <row r="14" spans="1:49" outlineLevel="1" x14ac:dyDescent="0.25">
      <c r="B14" s="2" t="s">
        <v>11</v>
      </c>
      <c r="C14" s="2">
        <v>2022</v>
      </c>
      <c r="D14" s="1">
        <v>377498</v>
      </c>
      <c r="E14" s="11">
        <v>17053889.359999999</v>
      </c>
      <c r="F14" s="1">
        <v>211211</v>
      </c>
      <c r="G14" s="11">
        <v>9591573.7599999979</v>
      </c>
      <c r="H14" s="1">
        <v>11100</v>
      </c>
      <c r="I14" s="11">
        <v>503514.28000000014</v>
      </c>
      <c r="J14" s="1">
        <v>1639241</v>
      </c>
      <c r="K14" s="11">
        <v>74997115.23999998</v>
      </c>
      <c r="L14" s="8">
        <v>15351</v>
      </c>
      <c r="M14" s="11">
        <v>681132.36</v>
      </c>
      <c r="N14" s="8">
        <v>14231</v>
      </c>
      <c r="O14" s="11">
        <v>602175.0199999999</v>
      </c>
      <c r="P14" s="8">
        <v>12</v>
      </c>
      <c r="Q14" s="11">
        <v>405.52</v>
      </c>
      <c r="R14" s="8">
        <v>83</v>
      </c>
      <c r="S14" s="11">
        <v>3962.1599999999989</v>
      </c>
      <c r="T14" s="53">
        <f t="shared" si="17"/>
        <v>2268727</v>
      </c>
      <c r="U14" s="54">
        <f t="shared" si="0"/>
        <v>103433767.69999996</v>
      </c>
      <c r="V14" s="2" t="s">
        <v>56</v>
      </c>
      <c r="AE14" s="2" t="s">
        <v>11</v>
      </c>
      <c r="AF14" s="2">
        <v>2021</v>
      </c>
      <c r="AG14" s="1">
        <f t="shared" si="1"/>
        <v>599809</v>
      </c>
      <c r="AH14" s="11">
        <f t="shared" si="2"/>
        <v>27148977.399999999</v>
      </c>
      <c r="AI14" s="1">
        <f t="shared" si="3"/>
        <v>1639241</v>
      </c>
      <c r="AJ14" s="11">
        <f t="shared" si="4"/>
        <v>74997115.23999998</v>
      </c>
      <c r="AK14" s="8">
        <f t="shared" si="5"/>
        <v>15351</v>
      </c>
      <c r="AL14" s="11">
        <f t="shared" si="6"/>
        <v>681132.36</v>
      </c>
      <c r="AM14" s="8">
        <f t="shared" si="7"/>
        <v>14231</v>
      </c>
      <c r="AN14" s="11">
        <f t="shared" si="8"/>
        <v>602175.0199999999</v>
      </c>
      <c r="AO14" s="8">
        <f t="shared" si="9"/>
        <v>12</v>
      </c>
      <c r="AP14" s="11">
        <f t="shared" si="10"/>
        <v>405.52</v>
      </c>
      <c r="AQ14" s="11">
        <f t="shared" si="11"/>
        <v>83</v>
      </c>
      <c r="AR14" s="11">
        <f t="shared" si="12"/>
        <v>3962.1599999999989</v>
      </c>
      <c r="AS14" s="8">
        <f t="shared" si="18"/>
        <v>2268727</v>
      </c>
      <c r="AT14" s="11">
        <f t="shared" si="13"/>
        <v>103433767.69999999</v>
      </c>
      <c r="AU14" s="2" t="str">
        <f t="shared" si="14"/>
        <v>AUNORTE</v>
      </c>
      <c r="AV14" s="37">
        <f t="shared" si="15"/>
        <v>0</v>
      </c>
      <c r="AW14" s="37">
        <f t="shared" si="16"/>
        <v>0</v>
      </c>
    </row>
    <row r="15" spans="1:49" outlineLevel="1" x14ac:dyDescent="0.25">
      <c r="B15" s="2" t="s">
        <v>4</v>
      </c>
      <c r="C15" s="2">
        <v>2022</v>
      </c>
      <c r="D15" s="1">
        <v>463817</v>
      </c>
      <c r="E15" s="11">
        <v>21098514.959999997</v>
      </c>
      <c r="F15" s="1">
        <v>258021</v>
      </c>
      <c r="G15" s="11">
        <v>11672276.290000003</v>
      </c>
      <c r="H15" s="1">
        <v>13581</v>
      </c>
      <c r="I15" s="11">
        <v>606575.72000000009</v>
      </c>
      <c r="J15" s="1">
        <v>2004855</v>
      </c>
      <c r="K15" s="11">
        <v>91986541.64000003</v>
      </c>
      <c r="L15" s="8">
        <v>18461</v>
      </c>
      <c r="M15" s="11">
        <v>819985.48000000021</v>
      </c>
      <c r="N15" s="8">
        <v>17537</v>
      </c>
      <c r="O15" s="11">
        <v>737743.23999999987</v>
      </c>
      <c r="P15" s="8">
        <v>16</v>
      </c>
      <c r="Q15" s="11">
        <v>665.19999999999993</v>
      </c>
      <c r="R15" s="8">
        <v>302</v>
      </c>
      <c r="S15" s="11">
        <v>15888.28</v>
      </c>
      <c r="T15" s="53">
        <f t="shared" si="17"/>
        <v>2776590</v>
      </c>
      <c r="U15" s="54">
        <f t="shared" si="0"/>
        <v>126938190.81000003</v>
      </c>
      <c r="V15" s="2" t="s">
        <v>56</v>
      </c>
      <c r="AE15" s="2" t="s">
        <v>4</v>
      </c>
      <c r="AF15" s="2">
        <v>2021</v>
      </c>
      <c r="AG15" s="1">
        <f t="shared" si="1"/>
        <v>735419</v>
      </c>
      <c r="AH15" s="11">
        <f t="shared" si="2"/>
        <v>33377366.969999999</v>
      </c>
      <c r="AI15" s="1">
        <f t="shared" si="3"/>
        <v>2004855</v>
      </c>
      <c r="AJ15" s="11">
        <f t="shared" si="4"/>
        <v>91986541.64000003</v>
      </c>
      <c r="AK15" s="8">
        <f t="shared" si="5"/>
        <v>18461</v>
      </c>
      <c r="AL15" s="11">
        <f t="shared" si="6"/>
        <v>819985.48000000021</v>
      </c>
      <c r="AM15" s="8">
        <f t="shared" si="7"/>
        <v>17537</v>
      </c>
      <c r="AN15" s="11">
        <f t="shared" si="8"/>
        <v>737743.23999999987</v>
      </c>
      <c r="AO15" s="8">
        <f t="shared" si="9"/>
        <v>16</v>
      </c>
      <c r="AP15" s="11">
        <f t="shared" si="10"/>
        <v>665.19999999999993</v>
      </c>
      <c r="AQ15" s="11">
        <f t="shared" si="11"/>
        <v>302</v>
      </c>
      <c r="AR15" s="11">
        <f t="shared" si="12"/>
        <v>15888.28</v>
      </c>
      <c r="AS15" s="8">
        <f t="shared" si="18"/>
        <v>2776590</v>
      </c>
      <c r="AT15" s="11">
        <f t="shared" si="13"/>
        <v>126938190.81000003</v>
      </c>
      <c r="AU15" s="2" t="str">
        <f t="shared" si="14"/>
        <v>AUNORTE</v>
      </c>
      <c r="AV15" s="37">
        <f t="shared" si="15"/>
        <v>0</v>
      </c>
      <c r="AW15" s="37">
        <f t="shared" si="16"/>
        <v>0</v>
      </c>
    </row>
    <row r="16" spans="1:49" outlineLevel="1" x14ac:dyDescent="0.25">
      <c r="B16" s="2" t="s">
        <v>28</v>
      </c>
      <c r="C16" s="2">
        <v>2022</v>
      </c>
      <c r="D16" s="1">
        <v>450312</v>
      </c>
      <c r="E16" s="11">
        <v>20306575.240000002</v>
      </c>
      <c r="F16" s="1">
        <v>246688</v>
      </c>
      <c r="G16" s="11">
        <v>11072119.999999998</v>
      </c>
      <c r="H16" s="1">
        <v>12650</v>
      </c>
      <c r="I16" s="11">
        <v>557122.88000000012</v>
      </c>
      <c r="J16" s="1">
        <v>1942209</v>
      </c>
      <c r="K16" s="11">
        <v>88198243.989999995</v>
      </c>
      <c r="L16" s="8">
        <v>17027</v>
      </c>
      <c r="M16" s="11">
        <v>751624.97000000009</v>
      </c>
      <c r="N16" s="8">
        <v>17044</v>
      </c>
      <c r="O16" s="11">
        <v>706953.41000000015</v>
      </c>
      <c r="P16" s="8">
        <v>13</v>
      </c>
      <c r="Q16" s="11">
        <v>405.48000000000008</v>
      </c>
      <c r="R16" s="8">
        <v>469</v>
      </c>
      <c r="S16" s="11">
        <v>27182.819999999996</v>
      </c>
      <c r="T16" s="53">
        <f t="shared" si="17"/>
        <v>2686412</v>
      </c>
      <c r="U16" s="54">
        <f>O16+M16+K16+I16+E16+Q16+G16+S16</f>
        <v>121620228.78999998</v>
      </c>
      <c r="V16" s="2" t="s">
        <v>56</v>
      </c>
      <c r="AE16" s="2" t="s">
        <v>28</v>
      </c>
      <c r="AF16" s="2">
        <v>2021</v>
      </c>
      <c r="AG16" s="1">
        <f t="shared" si="1"/>
        <v>709650</v>
      </c>
      <c r="AH16" s="11">
        <f t="shared" si="2"/>
        <v>31935818.119999997</v>
      </c>
      <c r="AI16" s="1">
        <f t="shared" si="3"/>
        <v>1942209</v>
      </c>
      <c r="AJ16" s="11">
        <f t="shared" si="4"/>
        <v>88198243.989999995</v>
      </c>
      <c r="AK16" s="8">
        <f t="shared" si="5"/>
        <v>17027</v>
      </c>
      <c r="AL16" s="11">
        <f t="shared" si="6"/>
        <v>751624.97000000009</v>
      </c>
      <c r="AM16" s="8">
        <f t="shared" si="7"/>
        <v>17044</v>
      </c>
      <c r="AN16" s="11">
        <f t="shared" si="8"/>
        <v>706953.41000000015</v>
      </c>
      <c r="AO16" s="8">
        <f t="shared" si="9"/>
        <v>13</v>
      </c>
      <c r="AP16" s="11">
        <f t="shared" si="10"/>
        <v>405.48000000000008</v>
      </c>
      <c r="AQ16" s="11">
        <f t="shared" si="11"/>
        <v>469</v>
      </c>
      <c r="AR16" s="11">
        <f t="shared" si="12"/>
        <v>27182.819999999996</v>
      </c>
      <c r="AS16" s="8">
        <f t="shared" si="18"/>
        <v>2686412</v>
      </c>
      <c r="AT16" s="11">
        <f t="shared" si="13"/>
        <v>121620228.78999999</v>
      </c>
      <c r="AU16" s="2" t="str">
        <f t="shared" si="14"/>
        <v>AUNORTE</v>
      </c>
      <c r="AV16" s="37">
        <f t="shared" si="15"/>
        <v>0</v>
      </c>
      <c r="AW16" s="37">
        <f t="shared" si="16"/>
        <v>0</v>
      </c>
    </row>
    <row r="17" spans="1:49" outlineLevel="1" x14ac:dyDescent="0.25">
      <c r="B17" s="2" t="s">
        <v>29</v>
      </c>
      <c r="C17" s="2">
        <v>2022</v>
      </c>
      <c r="D17" s="1">
        <v>483998</v>
      </c>
      <c r="E17" s="11">
        <v>21800479.429999992</v>
      </c>
      <c r="F17" s="1">
        <v>285568</v>
      </c>
      <c r="G17" s="11">
        <v>12776468.9</v>
      </c>
      <c r="H17" s="1">
        <v>12667</v>
      </c>
      <c r="I17" s="11">
        <v>553977.99</v>
      </c>
      <c r="J17" s="1">
        <v>2142256</v>
      </c>
      <c r="K17" s="11">
        <v>96946181.569999978</v>
      </c>
      <c r="L17" s="8">
        <v>17983</v>
      </c>
      <c r="M17" s="11">
        <v>785290.01000000013</v>
      </c>
      <c r="N17" s="8">
        <v>19197</v>
      </c>
      <c r="O17" s="11">
        <v>786747.57000000007</v>
      </c>
      <c r="P17" s="8">
        <v>18</v>
      </c>
      <c r="Q17" s="11">
        <v>591.69999999999993</v>
      </c>
      <c r="R17" s="8">
        <v>647</v>
      </c>
      <c r="S17" s="11">
        <v>34305.439999999995</v>
      </c>
      <c r="T17" s="53">
        <f t="shared" si="17"/>
        <v>2962334</v>
      </c>
      <c r="U17" s="54">
        <f t="shared" si="0"/>
        <v>133684042.60999997</v>
      </c>
      <c r="V17" s="2" t="s">
        <v>56</v>
      </c>
      <c r="AE17" s="2" t="s">
        <v>29</v>
      </c>
      <c r="AF17" s="2">
        <v>2021</v>
      </c>
      <c r="AG17" s="1">
        <f t="shared" si="1"/>
        <v>782233</v>
      </c>
      <c r="AH17" s="11">
        <f t="shared" si="2"/>
        <v>35130926.319999993</v>
      </c>
      <c r="AI17" s="1">
        <f t="shared" si="3"/>
        <v>2142256</v>
      </c>
      <c r="AJ17" s="11">
        <f t="shared" si="4"/>
        <v>96946181.569999978</v>
      </c>
      <c r="AK17" s="8">
        <f t="shared" si="5"/>
        <v>17983</v>
      </c>
      <c r="AL17" s="11">
        <f t="shared" si="6"/>
        <v>785290.01000000013</v>
      </c>
      <c r="AM17" s="8">
        <f t="shared" si="7"/>
        <v>19197</v>
      </c>
      <c r="AN17" s="11">
        <f t="shared" si="8"/>
        <v>786747.57000000007</v>
      </c>
      <c r="AO17" s="8">
        <f t="shared" si="9"/>
        <v>18</v>
      </c>
      <c r="AP17" s="11">
        <f t="shared" si="10"/>
        <v>591.69999999999993</v>
      </c>
      <c r="AQ17" s="11">
        <f t="shared" si="11"/>
        <v>647</v>
      </c>
      <c r="AR17" s="11">
        <f t="shared" si="12"/>
        <v>34305.439999999995</v>
      </c>
      <c r="AS17" s="8">
        <f t="shared" si="18"/>
        <v>2962334</v>
      </c>
      <c r="AT17" s="11">
        <f t="shared" si="13"/>
        <v>133684042.60999997</v>
      </c>
      <c r="AU17" s="2" t="str">
        <f t="shared" si="14"/>
        <v>AUNORTE</v>
      </c>
      <c r="AV17" s="37">
        <f t="shared" si="15"/>
        <v>0</v>
      </c>
      <c r="AW17" s="37">
        <f t="shared" si="16"/>
        <v>0</v>
      </c>
    </row>
    <row r="18" spans="1:49" outlineLevel="1" x14ac:dyDescent="0.25">
      <c r="B18" s="2" t="s">
        <v>30</v>
      </c>
      <c r="C18" s="2">
        <v>2022</v>
      </c>
      <c r="D18" s="1">
        <v>460824</v>
      </c>
      <c r="E18" s="11">
        <v>20923188.149999999</v>
      </c>
      <c r="F18" s="1">
        <v>274517</v>
      </c>
      <c r="G18" s="11">
        <v>12291253.959999995</v>
      </c>
      <c r="H18" s="1">
        <v>11009</v>
      </c>
      <c r="I18" s="11">
        <v>484489.78</v>
      </c>
      <c r="J18" s="1">
        <v>2061496</v>
      </c>
      <c r="K18" s="11">
        <v>93483031.859999999</v>
      </c>
      <c r="L18" s="8">
        <v>16925</v>
      </c>
      <c r="M18" s="11">
        <v>738714.98999999987</v>
      </c>
      <c r="N18" s="8">
        <v>18375</v>
      </c>
      <c r="O18" s="11">
        <v>753381.37</v>
      </c>
      <c r="P18" s="8">
        <v>54</v>
      </c>
      <c r="Q18" s="11">
        <v>2135.3000000000002</v>
      </c>
      <c r="R18" s="8">
        <v>849</v>
      </c>
      <c r="S18" s="11">
        <v>43238.95</v>
      </c>
      <c r="T18" s="53">
        <f t="shared" si="17"/>
        <v>2844049</v>
      </c>
      <c r="U18" s="54">
        <f t="shared" si="0"/>
        <v>128719434.36</v>
      </c>
      <c r="V18" s="2" t="s">
        <v>56</v>
      </c>
      <c r="AE18" s="2" t="s">
        <v>30</v>
      </c>
      <c r="AF18" s="2">
        <v>2021</v>
      </c>
      <c r="AG18" s="1">
        <f t="shared" si="1"/>
        <v>746350</v>
      </c>
      <c r="AH18" s="11">
        <f t="shared" si="2"/>
        <v>33698931.889999993</v>
      </c>
      <c r="AI18" s="1">
        <f t="shared" si="3"/>
        <v>2061496</v>
      </c>
      <c r="AJ18" s="11">
        <f t="shared" si="4"/>
        <v>93483031.859999999</v>
      </c>
      <c r="AK18" s="8">
        <f t="shared" si="5"/>
        <v>16925</v>
      </c>
      <c r="AL18" s="11">
        <f t="shared" si="6"/>
        <v>738714.98999999987</v>
      </c>
      <c r="AM18" s="8">
        <f t="shared" si="7"/>
        <v>18375</v>
      </c>
      <c r="AN18" s="11">
        <f t="shared" si="8"/>
        <v>753381.37</v>
      </c>
      <c r="AO18" s="8">
        <f t="shared" si="9"/>
        <v>54</v>
      </c>
      <c r="AP18" s="11">
        <f t="shared" si="10"/>
        <v>2135.3000000000002</v>
      </c>
      <c r="AQ18" s="11">
        <f t="shared" si="11"/>
        <v>849</v>
      </c>
      <c r="AR18" s="11">
        <f t="shared" si="12"/>
        <v>43238.95</v>
      </c>
      <c r="AS18" s="8">
        <f t="shared" si="18"/>
        <v>2844049</v>
      </c>
      <c r="AT18" s="11">
        <f t="shared" si="13"/>
        <v>128719434.36</v>
      </c>
      <c r="AU18" s="2" t="str">
        <f t="shared" si="14"/>
        <v>AUNORTE</v>
      </c>
      <c r="AV18" s="37">
        <f t="shared" si="15"/>
        <v>0</v>
      </c>
      <c r="AW18" s="37">
        <f t="shared" si="16"/>
        <v>0</v>
      </c>
    </row>
    <row r="19" spans="1:49" outlineLevel="1" x14ac:dyDescent="0.25">
      <c r="B19" s="2" t="s">
        <v>31</v>
      </c>
      <c r="C19" s="2">
        <v>2022</v>
      </c>
      <c r="D19" s="1">
        <v>431625</v>
      </c>
      <c r="E19" s="11">
        <v>19981248.989999998</v>
      </c>
      <c r="F19" s="1">
        <v>256116</v>
      </c>
      <c r="G19" s="11">
        <v>11542515.030000001</v>
      </c>
      <c r="H19" s="1">
        <v>10234</v>
      </c>
      <c r="I19" s="11">
        <v>457185.78000000009</v>
      </c>
      <c r="J19" s="1">
        <v>1943714</v>
      </c>
      <c r="K19" s="11">
        <v>89185711.970000014</v>
      </c>
      <c r="L19" s="8">
        <v>14786</v>
      </c>
      <c r="M19" s="11">
        <v>655878.96999999986</v>
      </c>
      <c r="N19" s="8">
        <v>16993</v>
      </c>
      <c r="O19" s="11">
        <v>699971.75999999989</v>
      </c>
      <c r="P19" s="8">
        <v>87</v>
      </c>
      <c r="Q19" s="11">
        <v>3883.0399999999995</v>
      </c>
      <c r="R19" s="8">
        <v>814</v>
      </c>
      <c r="S19" s="11">
        <v>39497.160000000003</v>
      </c>
      <c r="T19" s="53">
        <f t="shared" si="17"/>
        <v>2674369</v>
      </c>
      <c r="U19" s="54">
        <f t="shared" si="0"/>
        <v>122565892.70000002</v>
      </c>
      <c r="V19" s="2" t="s">
        <v>56</v>
      </c>
      <c r="X19" s="13"/>
      <c r="AE19" s="2" t="s">
        <v>31</v>
      </c>
      <c r="AF19" s="2">
        <v>2021</v>
      </c>
      <c r="AG19" s="1">
        <f t="shared" si="1"/>
        <v>697975</v>
      </c>
      <c r="AH19" s="11">
        <f t="shared" si="2"/>
        <v>31980949.800000001</v>
      </c>
      <c r="AI19" s="1">
        <f t="shared" si="3"/>
        <v>1943714</v>
      </c>
      <c r="AJ19" s="11">
        <f t="shared" si="4"/>
        <v>89185711.970000014</v>
      </c>
      <c r="AK19" s="8">
        <f t="shared" si="5"/>
        <v>14786</v>
      </c>
      <c r="AL19" s="11">
        <f t="shared" si="6"/>
        <v>655878.96999999986</v>
      </c>
      <c r="AM19" s="8">
        <f t="shared" si="7"/>
        <v>16993</v>
      </c>
      <c r="AN19" s="11">
        <f t="shared" si="8"/>
        <v>699971.75999999989</v>
      </c>
      <c r="AO19" s="8">
        <f t="shared" si="9"/>
        <v>87</v>
      </c>
      <c r="AP19" s="11">
        <f t="shared" si="10"/>
        <v>3883.0399999999995</v>
      </c>
      <c r="AQ19" s="11">
        <f t="shared" si="11"/>
        <v>814</v>
      </c>
      <c r="AR19" s="11">
        <f t="shared" si="12"/>
        <v>39497.160000000003</v>
      </c>
      <c r="AS19" s="8">
        <f t="shared" si="18"/>
        <v>2674369</v>
      </c>
      <c r="AT19" s="11">
        <f t="shared" si="13"/>
        <v>122565892.7</v>
      </c>
      <c r="AU19" s="2" t="str">
        <f t="shared" si="14"/>
        <v>AUNORTE</v>
      </c>
      <c r="AV19" s="37">
        <f t="shared" si="15"/>
        <v>0</v>
      </c>
      <c r="AW19" s="37">
        <f t="shared" si="16"/>
        <v>0</v>
      </c>
    </row>
    <row r="20" spans="1:49" outlineLevel="1" x14ac:dyDescent="0.25">
      <c r="H20" s="39"/>
      <c r="AH20" s="9"/>
      <c r="AJ20" s="9"/>
      <c r="AL20" s="9"/>
      <c r="AN20" s="9"/>
      <c r="AO20" s="9"/>
      <c r="AP20" s="9"/>
      <c r="AQ20" s="9"/>
      <c r="AR20" s="9"/>
      <c r="AT20" s="9"/>
    </row>
    <row r="21" spans="1:49" outlineLevel="1" x14ac:dyDescent="0.25">
      <c r="B21" s="3" t="s">
        <v>12</v>
      </c>
      <c r="C21" s="3"/>
      <c r="D21" s="4">
        <f t="shared" ref="D21:U21" si="19">SUM(D8:D20)</f>
        <v>4990522</v>
      </c>
      <c r="E21" s="12">
        <f t="shared" si="19"/>
        <v>224649097.91</v>
      </c>
      <c r="F21" s="4">
        <f t="shared" si="19"/>
        <v>2865943</v>
      </c>
      <c r="G21" s="12">
        <f t="shared" si="19"/>
        <v>128470568.04000001</v>
      </c>
      <c r="H21" s="4">
        <f t="shared" si="19"/>
        <v>145759</v>
      </c>
      <c r="I21" s="12">
        <f t="shared" si="19"/>
        <v>6475064.3500000015</v>
      </c>
      <c r="J21" s="4">
        <f t="shared" si="19"/>
        <v>21573353</v>
      </c>
      <c r="K21" s="12">
        <f t="shared" si="19"/>
        <v>976150071.9799999</v>
      </c>
      <c r="L21" s="4">
        <f t="shared" si="19"/>
        <v>208785</v>
      </c>
      <c r="M21" s="12">
        <f t="shared" si="19"/>
        <v>9119136.4300000016</v>
      </c>
      <c r="N21" s="4">
        <f t="shared" si="19"/>
        <v>197708</v>
      </c>
      <c r="O21" s="12">
        <f t="shared" si="19"/>
        <v>8181412.7700000005</v>
      </c>
      <c r="P21" s="4">
        <f>SUM(P8:P20)</f>
        <v>225</v>
      </c>
      <c r="Q21" s="12">
        <f>SUM(Q8:Q20)</f>
        <v>8744.17</v>
      </c>
      <c r="R21" s="4">
        <f>SUM(R8:R20)</f>
        <v>3199</v>
      </c>
      <c r="S21" s="12">
        <f>SUM(S8:S20)</f>
        <v>165580.12</v>
      </c>
      <c r="T21" s="4">
        <f t="shared" si="19"/>
        <v>29985494</v>
      </c>
      <c r="U21" s="12">
        <f t="shared" si="19"/>
        <v>1353219675.77</v>
      </c>
      <c r="AE21" s="3" t="s">
        <v>12</v>
      </c>
      <c r="AF21" s="3"/>
      <c r="AG21" s="4">
        <f t="shared" ref="AG21:AT21" si="20">SUM(AG8:AG20)</f>
        <v>8002224</v>
      </c>
      <c r="AH21" s="12">
        <f t="shared" si="20"/>
        <v>359594730.30000001</v>
      </c>
      <c r="AI21" s="4">
        <f t="shared" si="20"/>
        <v>21573353</v>
      </c>
      <c r="AJ21" s="12">
        <f t="shared" si="20"/>
        <v>976150071.9799999</v>
      </c>
      <c r="AK21" s="4">
        <f t="shared" si="20"/>
        <v>208785</v>
      </c>
      <c r="AL21" s="12">
        <f t="shared" si="20"/>
        <v>9119136.4300000016</v>
      </c>
      <c r="AM21" s="4">
        <f t="shared" si="20"/>
        <v>197708</v>
      </c>
      <c r="AN21" s="12">
        <f t="shared" si="20"/>
        <v>8181412.7700000005</v>
      </c>
      <c r="AO21" s="4">
        <f t="shared" si="20"/>
        <v>225</v>
      </c>
      <c r="AP21" s="12">
        <f t="shared" si="20"/>
        <v>8744.17</v>
      </c>
      <c r="AQ21" s="4">
        <f t="shared" si="20"/>
        <v>3199</v>
      </c>
      <c r="AR21" s="12">
        <f t="shared" si="20"/>
        <v>165580.12</v>
      </c>
      <c r="AS21" s="4">
        <f t="shared" si="20"/>
        <v>29985494</v>
      </c>
      <c r="AT21" s="12">
        <f t="shared" si="20"/>
        <v>1353219675.77</v>
      </c>
    </row>
    <row r="22" spans="1:49" outlineLevel="1" x14ac:dyDescent="0.25">
      <c r="J22" s="46" t="str">
        <f>+$B$3</f>
        <v>Aforo e Ingreso - AUNORTE</v>
      </c>
      <c r="K22" s="9" t="s">
        <v>84</v>
      </c>
      <c r="L22" s="15">
        <f>AVERAGE(L8:L19)</f>
        <v>17398.75</v>
      </c>
      <c r="M22" s="60">
        <f>AVERAGE(M8:M19)</f>
        <v>759928.0358333335</v>
      </c>
      <c r="T22" s="15">
        <f>AVERAGE(T8:T19)</f>
        <v>2498791.1666666665</v>
      </c>
      <c r="U22" s="61">
        <f>AVERAGE(U8:U19)</f>
        <v>112768306.31416667</v>
      </c>
    </row>
    <row r="23" spans="1:49" outlineLevel="1" x14ac:dyDescent="0.25">
      <c r="B23" s="5" t="s">
        <v>14</v>
      </c>
      <c r="J23" s="46" t="str">
        <f>+$B$3</f>
        <v>Aforo e Ingreso - AUNORTE</v>
      </c>
      <c r="K23" s="9" t="s">
        <v>85</v>
      </c>
      <c r="L23" s="26">
        <f>+L22/$L$316</f>
        <v>8.3706659246922707E-2</v>
      </c>
      <c r="M23" s="36">
        <f>+M22/$M$316</f>
        <v>2.5508760927024501E-2</v>
      </c>
      <c r="N23" s="18"/>
      <c r="O23" s="19"/>
      <c r="P23" s="19"/>
      <c r="Q23" s="19"/>
      <c r="R23" s="19"/>
      <c r="S23" s="19"/>
      <c r="T23" s="26">
        <f>+L22/T22</f>
        <v>6.9628667781828114E-3</v>
      </c>
      <c r="U23" s="36">
        <f>+M22/U22</f>
        <v>6.7388441014287585E-3</v>
      </c>
    </row>
    <row r="24" spans="1:49" outlineLevel="1" x14ac:dyDescent="0.25">
      <c r="B24" s="5" t="s">
        <v>20</v>
      </c>
      <c r="L24" s="26"/>
      <c r="M24" s="26"/>
    </row>
    <row r="25" spans="1:49" outlineLevel="1" x14ac:dyDescent="0.25">
      <c r="B25" s="5"/>
    </row>
    <row r="26" spans="1:49" outlineLevel="1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87</v>
      </c>
      <c r="S26" s="93"/>
      <c r="T26" s="89" t="s">
        <v>12</v>
      </c>
      <c r="U26" s="93"/>
      <c r="AG26" s="89" t="s">
        <v>69</v>
      </c>
      <c r="AH26" s="90"/>
      <c r="AI26" s="89" t="s">
        <v>17</v>
      </c>
      <c r="AJ26" s="93"/>
      <c r="AK26" s="89" t="s">
        <v>18</v>
      </c>
      <c r="AL26" s="93"/>
      <c r="AM26" s="89" t="s">
        <v>13</v>
      </c>
      <c r="AN26" s="93"/>
      <c r="AO26" s="89" t="s">
        <v>34</v>
      </c>
      <c r="AP26" s="93"/>
      <c r="AQ26" s="89" t="s">
        <v>87</v>
      </c>
      <c r="AR26" s="93"/>
      <c r="AS26" s="89" t="s">
        <v>12</v>
      </c>
      <c r="AT26" s="93"/>
    </row>
    <row r="27" spans="1:49" ht="15" customHeight="1" outlineLevel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AE27" s="7" t="s">
        <v>0</v>
      </c>
      <c r="AF27" s="7" t="s">
        <v>1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</row>
    <row r="28" spans="1:49" outlineLevel="1" x14ac:dyDescent="0.25">
      <c r="AH28" s="9"/>
      <c r="AJ28" s="9"/>
      <c r="AL28" s="9"/>
      <c r="AN28" s="9"/>
      <c r="AO28" s="9"/>
      <c r="AP28" s="9"/>
      <c r="AQ28" s="9"/>
      <c r="AR28" s="9"/>
      <c r="AT28" s="9"/>
    </row>
    <row r="29" spans="1:49" outlineLevel="1" x14ac:dyDescent="0.25">
      <c r="B29" s="2" t="s">
        <v>5</v>
      </c>
      <c r="C29" s="2">
        <v>2022</v>
      </c>
      <c r="D29" s="1">
        <v>377279</v>
      </c>
      <c r="E29" s="11">
        <v>15256100.540000001</v>
      </c>
      <c r="F29" s="1">
        <v>152379</v>
      </c>
      <c r="G29" s="11">
        <v>5810580.3499999996</v>
      </c>
      <c r="H29" s="1">
        <v>13764</v>
      </c>
      <c r="I29" s="11">
        <v>665601.82999999996</v>
      </c>
      <c r="J29" s="1">
        <v>1150676</v>
      </c>
      <c r="K29" s="11">
        <v>43050238.630000003</v>
      </c>
      <c r="L29" s="8">
        <v>11802</v>
      </c>
      <c r="M29" s="11">
        <v>489997.6</v>
      </c>
      <c r="N29" s="8">
        <v>8719</v>
      </c>
      <c r="O29" s="11">
        <v>349061.37000000005</v>
      </c>
      <c r="P29" s="8">
        <v>0</v>
      </c>
      <c r="Q29" s="11">
        <v>0</v>
      </c>
      <c r="R29" s="8">
        <v>0</v>
      </c>
      <c r="S29" s="11">
        <v>0</v>
      </c>
      <c r="T29" s="53">
        <f>N29+L29+J29+H29+D29+P29+F29+R29</f>
        <v>1714619</v>
      </c>
      <c r="U29" s="54">
        <f t="shared" ref="U29:U40" si="21">O29+M29+K29+I29+E29+Q29+G29+S29</f>
        <v>65621580.32</v>
      </c>
      <c r="V29" s="2" t="s">
        <v>57</v>
      </c>
      <c r="AE29" s="2" t="s">
        <v>5</v>
      </c>
      <c r="AF29" s="2">
        <v>2021</v>
      </c>
      <c r="AG29" s="1">
        <f t="shared" ref="AG29:AG40" si="22">D29+H29+F29</f>
        <v>543422</v>
      </c>
      <c r="AH29" s="11">
        <f t="shared" ref="AH29:AH40" si="23">E29+I29+G29</f>
        <v>21732282.719999999</v>
      </c>
      <c r="AI29" s="1">
        <f t="shared" ref="AI29:AI40" si="24">+J29</f>
        <v>1150676</v>
      </c>
      <c r="AJ29" s="11">
        <f t="shared" ref="AJ29:AJ40" si="25">+K29</f>
        <v>43050238.630000003</v>
      </c>
      <c r="AK29" s="8">
        <f t="shared" ref="AK29:AK40" si="26">+L29</f>
        <v>11802</v>
      </c>
      <c r="AL29" s="11">
        <f t="shared" ref="AL29:AL40" si="27">+M29</f>
        <v>489997.6</v>
      </c>
      <c r="AM29" s="8">
        <f t="shared" ref="AM29:AM40" si="28">+N29</f>
        <v>8719</v>
      </c>
      <c r="AN29" s="11">
        <f t="shared" ref="AN29:AN40" si="29">+O29</f>
        <v>349061.37000000005</v>
      </c>
      <c r="AO29" s="8">
        <f t="shared" ref="AO29:AO40" si="30">+P29</f>
        <v>0</v>
      </c>
      <c r="AP29" s="11">
        <f t="shared" ref="AP29:AP40" si="31">+Q29</f>
        <v>0</v>
      </c>
      <c r="AQ29" s="11">
        <f t="shared" ref="AQ29:AQ40" si="32">+R29</f>
        <v>0</v>
      </c>
      <c r="AR29" s="11">
        <f t="shared" ref="AR29:AR40" si="33">+S29</f>
        <v>0</v>
      </c>
      <c r="AS29" s="8">
        <f>AO29+AM29+AK29+AI29+AG29+AQ29</f>
        <v>1714619</v>
      </c>
      <c r="AT29" s="11">
        <f t="shared" ref="AT29:AT40" si="34">AP29+AN29+AL29+AJ29+AH29+AR29</f>
        <v>65621580.32</v>
      </c>
      <c r="AU29" s="2" t="str">
        <f t="shared" ref="AU29:AU40" si="35">+V29</f>
        <v>VIADUCTO</v>
      </c>
      <c r="AV29" s="37">
        <f t="shared" ref="AV29:AV40" si="36">+AS29-T29</f>
        <v>0</v>
      </c>
      <c r="AW29" s="37">
        <f t="shared" ref="AW29:AW40" si="37">+AT29-U29</f>
        <v>0</v>
      </c>
    </row>
    <row r="30" spans="1:49" outlineLevel="1" x14ac:dyDescent="0.25">
      <c r="B30" s="2" t="s">
        <v>6</v>
      </c>
      <c r="C30" s="2">
        <v>2022</v>
      </c>
      <c r="D30" s="1">
        <v>465867</v>
      </c>
      <c r="E30" s="11">
        <v>19419904.439999998</v>
      </c>
      <c r="F30" s="1">
        <v>198150</v>
      </c>
      <c r="G30" s="11">
        <v>7738965.2300000004</v>
      </c>
      <c r="H30" s="1">
        <v>13955</v>
      </c>
      <c r="I30" s="11">
        <v>606067.24999999988</v>
      </c>
      <c r="J30" s="1">
        <v>1412643</v>
      </c>
      <c r="K30" s="11">
        <v>54557874.719999999</v>
      </c>
      <c r="L30" s="8">
        <v>13981</v>
      </c>
      <c r="M30" s="11">
        <v>581355.75</v>
      </c>
      <c r="N30" s="8">
        <v>10557</v>
      </c>
      <c r="O30" s="11">
        <v>428776.88000000006</v>
      </c>
      <c r="P30" s="8">
        <v>0</v>
      </c>
      <c r="Q30" s="11">
        <v>0</v>
      </c>
      <c r="R30" s="8">
        <v>0</v>
      </c>
      <c r="S30" s="11">
        <v>0</v>
      </c>
      <c r="T30" s="53">
        <f t="shared" ref="T30:T40" si="38">N30+L30+J30+H30+D30+P30+F30+R30</f>
        <v>2115153</v>
      </c>
      <c r="U30" s="54">
        <f t="shared" si="21"/>
        <v>83332944.269999996</v>
      </c>
      <c r="V30" s="2" t="s">
        <v>57</v>
      </c>
      <c r="AE30" s="2" t="s">
        <v>6</v>
      </c>
      <c r="AF30" s="2">
        <v>2021</v>
      </c>
      <c r="AG30" s="1">
        <f t="shared" si="22"/>
        <v>677972</v>
      </c>
      <c r="AH30" s="11">
        <f t="shared" si="23"/>
        <v>27764936.919999998</v>
      </c>
      <c r="AI30" s="1">
        <f t="shared" si="24"/>
        <v>1412643</v>
      </c>
      <c r="AJ30" s="11">
        <f t="shared" si="25"/>
        <v>54557874.719999999</v>
      </c>
      <c r="AK30" s="8">
        <f t="shared" si="26"/>
        <v>13981</v>
      </c>
      <c r="AL30" s="11">
        <f t="shared" si="27"/>
        <v>581355.75</v>
      </c>
      <c r="AM30" s="8">
        <f t="shared" si="28"/>
        <v>10557</v>
      </c>
      <c r="AN30" s="11">
        <f t="shared" si="29"/>
        <v>428776.88000000006</v>
      </c>
      <c r="AO30" s="8">
        <f t="shared" si="30"/>
        <v>0</v>
      </c>
      <c r="AP30" s="11">
        <f t="shared" si="31"/>
        <v>0</v>
      </c>
      <c r="AQ30" s="11">
        <f t="shared" si="32"/>
        <v>0</v>
      </c>
      <c r="AR30" s="11">
        <f t="shared" si="33"/>
        <v>0</v>
      </c>
      <c r="AS30" s="8">
        <f t="shared" ref="AS30:AS40" si="39">AO30+AM30+AK30+AI30+AG30+AQ30</f>
        <v>2115153</v>
      </c>
      <c r="AT30" s="11">
        <f t="shared" si="34"/>
        <v>83332944.269999996</v>
      </c>
      <c r="AU30" s="2" t="str">
        <f t="shared" si="35"/>
        <v>VIADUCTO</v>
      </c>
      <c r="AV30" s="37">
        <f t="shared" si="36"/>
        <v>0</v>
      </c>
      <c r="AW30" s="37">
        <f t="shared" si="37"/>
        <v>0</v>
      </c>
    </row>
    <row r="31" spans="1:49" outlineLevel="1" x14ac:dyDescent="0.25">
      <c r="B31" s="2" t="s">
        <v>7</v>
      </c>
      <c r="C31" s="2">
        <v>2022</v>
      </c>
      <c r="D31" s="1">
        <v>586860</v>
      </c>
      <c r="E31" s="11">
        <v>25477561.139999993</v>
      </c>
      <c r="F31" s="1">
        <v>260146</v>
      </c>
      <c r="G31" s="11">
        <v>10500845.340000002</v>
      </c>
      <c r="H31" s="1">
        <v>14521</v>
      </c>
      <c r="I31" s="11">
        <v>630656.82999999996</v>
      </c>
      <c r="J31" s="1">
        <v>1760553</v>
      </c>
      <c r="K31" s="11">
        <v>70482627.640000001</v>
      </c>
      <c r="L31" s="8">
        <v>16862</v>
      </c>
      <c r="M31" s="11">
        <v>720606.80999999994</v>
      </c>
      <c r="N31" s="8">
        <v>12942</v>
      </c>
      <c r="O31" s="11">
        <v>543827.27</v>
      </c>
      <c r="P31" s="8">
        <v>0</v>
      </c>
      <c r="Q31" s="11">
        <v>0</v>
      </c>
      <c r="R31" s="8">
        <v>0</v>
      </c>
      <c r="S31" s="11">
        <v>0</v>
      </c>
      <c r="T31" s="53">
        <f t="shared" si="38"/>
        <v>2651884</v>
      </c>
      <c r="U31" s="54">
        <f t="shared" si="21"/>
        <v>108356125.03</v>
      </c>
      <c r="V31" s="2" t="s">
        <v>57</v>
      </c>
      <c r="AE31" s="2" t="s">
        <v>7</v>
      </c>
      <c r="AF31" s="2">
        <v>2021</v>
      </c>
      <c r="AG31" s="1">
        <f t="shared" si="22"/>
        <v>861527</v>
      </c>
      <c r="AH31" s="11">
        <f t="shared" si="23"/>
        <v>36609063.309999995</v>
      </c>
      <c r="AI31" s="1">
        <f t="shared" si="24"/>
        <v>1760553</v>
      </c>
      <c r="AJ31" s="11">
        <f t="shared" si="25"/>
        <v>70482627.640000001</v>
      </c>
      <c r="AK31" s="8">
        <f t="shared" si="26"/>
        <v>16862</v>
      </c>
      <c r="AL31" s="11">
        <f t="shared" si="27"/>
        <v>720606.80999999994</v>
      </c>
      <c r="AM31" s="8">
        <f t="shared" si="28"/>
        <v>12942</v>
      </c>
      <c r="AN31" s="11">
        <f t="shared" si="29"/>
        <v>543827.27</v>
      </c>
      <c r="AO31" s="8">
        <f t="shared" si="30"/>
        <v>0</v>
      </c>
      <c r="AP31" s="11">
        <f t="shared" si="31"/>
        <v>0</v>
      </c>
      <c r="AQ31" s="11">
        <f t="shared" si="32"/>
        <v>0</v>
      </c>
      <c r="AR31" s="11">
        <f t="shared" si="33"/>
        <v>0</v>
      </c>
      <c r="AS31" s="8">
        <f t="shared" si="39"/>
        <v>2651884</v>
      </c>
      <c r="AT31" s="11">
        <f t="shared" si="34"/>
        <v>108356125.03</v>
      </c>
      <c r="AU31" s="2" t="str">
        <f t="shared" si="35"/>
        <v>VIADUCTO</v>
      </c>
      <c r="AV31" s="37">
        <f t="shared" si="36"/>
        <v>0</v>
      </c>
      <c r="AW31" s="37">
        <f t="shared" si="37"/>
        <v>0</v>
      </c>
    </row>
    <row r="32" spans="1:49" outlineLevel="1" x14ac:dyDescent="0.25">
      <c r="B32" s="2" t="s">
        <v>8</v>
      </c>
      <c r="C32" s="2">
        <v>2022</v>
      </c>
      <c r="D32" s="1">
        <v>513742</v>
      </c>
      <c r="E32" s="11">
        <v>22322409.110000003</v>
      </c>
      <c r="F32" s="1">
        <v>226403</v>
      </c>
      <c r="G32" s="11">
        <v>9138908.5</v>
      </c>
      <c r="H32" s="1">
        <v>11852</v>
      </c>
      <c r="I32" s="11">
        <v>542076.89</v>
      </c>
      <c r="J32" s="1">
        <v>1559423</v>
      </c>
      <c r="K32" s="11">
        <v>62806027.230000004</v>
      </c>
      <c r="L32" s="8">
        <v>14167</v>
      </c>
      <c r="M32" s="11">
        <v>613435.77</v>
      </c>
      <c r="N32" s="8">
        <v>11402</v>
      </c>
      <c r="O32" s="11">
        <v>494313.85</v>
      </c>
      <c r="P32" s="8">
        <v>6</v>
      </c>
      <c r="Q32" s="11">
        <v>212.73000000000002</v>
      </c>
      <c r="R32" s="8">
        <v>0</v>
      </c>
      <c r="S32" s="11">
        <v>0</v>
      </c>
      <c r="T32" s="53">
        <f t="shared" si="38"/>
        <v>2336995</v>
      </c>
      <c r="U32" s="54">
        <f t="shared" si="21"/>
        <v>95917384.080000013</v>
      </c>
      <c r="V32" s="2" t="s">
        <v>57</v>
      </c>
      <c r="AE32" s="2" t="s">
        <v>8</v>
      </c>
      <c r="AF32" s="2">
        <v>2021</v>
      </c>
      <c r="AG32" s="1">
        <f t="shared" si="22"/>
        <v>751997</v>
      </c>
      <c r="AH32" s="11">
        <f t="shared" si="23"/>
        <v>32003394.500000004</v>
      </c>
      <c r="AI32" s="1">
        <f t="shared" si="24"/>
        <v>1559423</v>
      </c>
      <c r="AJ32" s="11">
        <f t="shared" si="25"/>
        <v>62806027.230000004</v>
      </c>
      <c r="AK32" s="8">
        <f t="shared" si="26"/>
        <v>14167</v>
      </c>
      <c r="AL32" s="11">
        <f t="shared" si="27"/>
        <v>613435.77</v>
      </c>
      <c r="AM32" s="8">
        <f t="shared" si="28"/>
        <v>11402</v>
      </c>
      <c r="AN32" s="11">
        <f t="shared" si="29"/>
        <v>494313.85</v>
      </c>
      <c r="AO32" s="8">
        <f t="shared" si="30"/>
        <v>6</v>
      </c>
      <c r="AP32" s="11">
        <f t="shared" si="31"/>
        <v>212.73000000000002</v>
      </c>
      <c r="AQ32" s="11">
        <f t="shared" si="32"/>
        <v>0</v>
      </c>
      <c r="AR32" s="11">
        <f t="shared" si="33"/>
        <v>0</v>
      </c>
      <c r="AS32" s="8">
        <f t="shared" si="39"/>
        <v>2336995</v>
      </c>
      <c r="AT32" s="11">
        <f t="shared" si="34"/>
        <v>95917384.080000013</v>
      </c>
      <c r="AU32" s="2" t="str">
        <f t="shared" si="35"/>
        <v>VIADUCTO</v>
      </c>
      <c r="AV32" s="37">
        <f t="shared" si="36"/>
        <v>0</v>
      </c>
      <c r="AW32" s="37">
        <f t="shared" si="37"/>
        <v>0</v>
      </c>
    </row>
    <row r="33" spans="1:49" outlineLevel="1" x14ac:dyDescent="0.25">
      <c r="B33" s="2" t="s">
        <v>9</v>
      </c>
      <c r="C33" s="2">
        <v>2022</v>
      </c>
      <c r="D33" s="1">
        <v>572294</v>
      </c>
      <c r="E33" s="11">
        <v>24972881.539999999</v>
      </c>
      <c r="F33" s="1">
        <v>250522</v>
      </c>
      <c r="G33" s="11">
        <v>10244230.060000002</v>
      </c>
      <c r="H33" s="1">
        <v>11559</v>
      </c>
      <c r="I33" s="11">
        <v>510935.31</v>
      </c>
      <c r="J33" s="1">
        <v>1762676</v>
      </c>
      <c r="K33" s="11">
        <v>70992881.780000001</v>
      </c>
      <c r="L33" s="8">
        <v>15649</v>
      </c>
      <c r="M33" s="11">
        <v>674417.19000000006</v>
      </c>
      <c r="N33" s="8">
        <v>12666</v>
      </c>
      <c r="O33" s="11">
        <v>529637.78999999992</v>
      </c>
      <c r="P33" s="8">
        <v>39</v>
      </c>
      <c r="Q33" s="11">
        <v>1772.2</v>
      </c>
      <c r="R33" s="8">
        <v>7</v>
      </c>
      <c r="S33" s="11">
        <v>600.9</v>
      </c>
      <c r="T33" s="53">
        <f t="shared" si="38"/>
        <v>2625412</v>
      </c>
      <c r="U33" s="54">
        <f t="shared" si="21"/>
        <v>107927356.77000003</v>
      </c>
      <c r="V33" s="2" t="s">
        <v>57</v>
      </c>
      <c r="AE33" s="2" t="s">
        <v>9</v>
      </c>
      <c r="AF33" s="2">
        <v>2021</v>
      </c>
      <c r="AG33" s="1">
        <f t="shared" si="22"/>
        <v>834375</v>
      </c>
      <c r="AH33" s="11">
        <f t="shared" si="23"/>
        <v>35728046.909999996</v>
      </c>
      <c r="AI33" s="1">
        <f t="shared" si="24"/>
        <v>1762676</v>
      </c>
      <c r="AJ33" s="11">
        <f t="shared" si="25"/>
        <v>70992881.780000001</v>
      </c>
      <c r="AK33" s="8">
        <f t="shared" si="26"/>
        <v>15649</v>
      </c>
      <c r="AL33" s="11">
        <f t="shared" si="27"/>
        <v>674417.19000000006</v>
      </c>
      <c r="AM33" s="8">
        <f t="shared" si="28"/>
        <v>12666</v>
      </c>
      <c r="AN33" s="11">
        <f t="shared" si="29"/>
        <v>529637.78999999992</v>
      </c>
      <c r="AO33" s="8">
        <f t="shared" si="30"/>
        <v>39</v>
      </c>
      <c r="AP33" s="11">
        <f t="shared" si="31"/>
        <v>1772.2</v>
      </c>
      <c r="AQ33" s="11">
        <f t="shared" si="32"/>
        <v>7</v>
      </c>
      <c r="AR33" s="11">
        <f t="shared" si="33"/>
        <v>600.9</v>
      </c>
      <c r="AS33" s="8">
        <f t="shared" si="39"/>
        <v>2625412</v>
      </c>
      <c r="AT33" s="11">
        <f t="shared" si="34"/>
        <v>107927356.77000001</v>
      </c>
      <c r="AU33" s="2" t="str">
        <f t="shared" si="35"/>
        <v>VIADUCTO</v>
      </c>
      <c r="AV33" s="37">
        <f t="shared" si="36"/>
        <v>0</v>
      </c>
      <c r="AW33" s="37">
        <f t="shared" si="37"/>
        <v>0</v>
      </c>
    </row>
    <row r="34" spans="1:49" outlineLevel="1" x14ac:dyDescent="0.25">
      <c r="B34" s="2" t="s">
        <v>10</v>
      </c>
      <c r="C34" s="2">
        <v>2022</v>
      </c>
      <c r="D34" s="1">
        <v>551195</v>
      </c>
      <c r="E34" s="11">
        <v>24210634.00999999</v>
      </c>
      <c r="F34" s="1">
        <v>233226</v>
      </c>
      <c r="G34" s="11">
        <v>9570499.2300000023</v>
      </c>
      <c r="H34" s="1">
        <v>10499</v>
      </c>
      <c r="I34" s="11">
        <v>456459.29000000004</v>
      </c>
      <c r="J34" s="1">
        <v>1694374</v>
      </c>
      <c r="K34" s="11">
        <v>68484309.76000002</v>
      </c>
      <c r="L34" s="8">
        <v>14187</v>
      </c>
      <c r="M34" s="11">
        <v>616642.47000000009</v>
      </c>
      <c r="N34" s="8">
        <v>12436</v>
      </c>
      <c r="O34" s="11">
        <v>525916.84000000008</v>
      </c>
      <c r="P34" s="8">
        <v>20</v>
      </c>
      <c r="Q34" s="11">
        <v>1238.98</v>
      </c>
      <c r="R34" s="8">
        <v>32</v>
      </c>
      <c r="S34" s="11">
        <v>1392.38</v>
      </c>
      <c r="T34" s="53">
        <f t="shared" si="38"/>
        <v>2515969</v>
      </c>
      <c r="U34" s="54">
        <f t="shared" si="21"/>
        <v>103867092.96000002</v>
      </c>
      <c r="V34" s="2" t="s">
        <v>57</v>
      </c>
      <c r="AE34" s="2" t="s">
        <v>10</v>
      </c>
      <c r="AF34" s="2">
        <v>2021</v>
      </c>
      <c r="AG34" s="1">
        <f t="shared" si="22"/>
        <v>794920</v>
      </c>
      <c r="AH34" s="11">
        <f t="shared" si="23"/>
        <v>34237592.529999994</v>
      </c>
      <c r="AI34" s="1">
        <f t="shared" si="24"/>
        <v>1694374</v>
      </c>
      <c r="AJ34" s="11">
        <f t="shared" si="25"/>
        <v>68484309.76000002</v>
      </c>
      <c r="AK34" s="8">
        <f t="shared" si="26"/>
        <v>14187</v>
      </c>
      <c r="AL34" s="11">
        <f t="shared" si="27"/>
        <v>616642.47000000009</v>
      </c>
      <c r="AM34" s="8">
        <f t="shared" si="28"/>
        <v>12436</v>
      </c>
      <c r="AN34" s="11">
        <f t="shared" si="29"/>
        <v>525916.84000000008</v>
      </c>
      <c r="AO34" s="8">
        <f t="shared" si="30"/>
        <v>20</v>
      </c>
      <c r="AP34" s="11">
        <f t="shared" si="31"/>
        <v>1238.98</v>
      </c>
      <c r="AQ34" s="11">
        <f t="shared" si="32"/>
        <v>32</v>
      </c>
      <c r="AR34" s="11">
        <f t="shared" si="33"/>
        <v>1392.38</v>
      </c>
      <c r="AS34" s="8">
        <f t="shared" si="39"/>
        <v>2515969</v>
      </c>
      <c r="AT34" s="11">
        <f t="shared" si="34"/>
        <v>103867092.96000001</v>
      </c>
      <c r="AU34" s="2" t="str">
        <f t="shared" si="35"/>
        <v>VIADUCTO</v>
      </c>
      <c r="AV34" s="37">
        <f t="shared" si="36"/>
        <v>0</v>
      </c>
      <c r="AW34" s="37">
        <f t="shared" si="37"/>
        <v>0</v>
      </c>
    </row>
    <row r="35" spans="1:49" outlineLevel="1" x14ac:dyDescent="0.25">
      <c r="B35" s="2" t="s">
        <v>11</v>
      </c>
      <c r="C35" s="2">
        <v>2022</v>
      </c>
      <c r="D35" s="1">
        <v>503129</v>
      </c>
      <c r="E35" s="11">
        <v>22061246.489999995</v>
      </c>
      <c r="F35" s="1">
        <v>213294</v>
      </c>
      <c r="G35" s="11">
        <v>8746443.2200000007</v>
      </c>
      <c r="H35" s="1">
        <v>10256</v>
      </c>
      <c r="I35" s="11">
        <v>448937.88</v>
      </c>
      <c r="J35" s="1">
        <v>1589369</v>
      </c>
      <c r="K35" s="11">
        <v>64475380.379999995</v>
      </c>
      <c r="L35" s="8">
        <v>12650</v>
      </c>
      <c r="M35" s="11">
        <v>544851.66999999993</v>
      </c>
      <c r="N35" s="8">
        <v>10832</v>
      </c>
      <c r="O35" s="11">
        <v>464006.24000000005</v>
      </c>
      <c r="P35" s="8">
        <v>31</v>
      </c>
      <c r="Q35" s="11">
        <v>2277.2999999999997</v>
      </c>
      <c r="R35" s="8">
        <v>121</v>
      </c>
      <c r="S35" s="11">
        <v>5550.1299999999992</v>
      </c>
      <c r="T35" s="53">
        <f t="shared" si="38"/>
        <v>2339682</v>
      </c>
      <c r="U35" s="54">
        <f t="shared" si="21"/>
        <v>96748693.309999987</v>
      </c>
      <c r="V35" s="2" t="s">
        <v>57</v>
      </c>
      <c r="AE35" s="2" t="s">
        <v>11</v>
      </c>
      <c r="AF35" s="2">
        <v>2021</v>
      </c>
      <c r="AG35" s="1">
        <f t="shared" si="22"/>
        <v>726679</v>
      </c>
      <c r="AH35" s="11">
        <f t="shared" si="23"/>
        <v>31256627.589999996</v>
      </c>
      <c r="AI35" s="1">
        <f t="shared" si="24"/>
        <v>1589369</v>
      </c>
      <c r="AJ35" s="11">
        <f t="shared" si="25"/>
        <v>64475380.379999995</v>
      </c>
      <c r="AK35" s="8">
        <f t="shared" si="26"/>
        <v>12650</v>
      </c>
      <c r="AL35" s="11">
        <f t="shared" si="27"/>
        <v>544851.66999999993</v>
      </c>
      <c r="AM35" s="8">
        <f t="shared" si="28"/>
        <v>10832</v>
      </c>
      <c r="AN35" s="11">
        <f t="shared" si="29"/>
        <v>464006.24000000005</v>
      </c>
      <c r="AO35" s="8">
        <f t="shared" si="30"/>
        <v>31</v>
      </c>
      <c r="AP35" s="11">
        <f t="shared" si="31"/>
        <v>2277.2999999999997</v>
      </c>
      <c r="AQ35" s="11">
        <f t="shared" si="32"/>
        <v>121</v>
      </c>
      <c r="AR35" s="11">
        <f t="shared" si="33"/>
        <v>5550.1299999999992</v>
      </c>
      <c r="AS35" s="8">
        <f t="shared" si="39"/>
        <v>2339682</v>
      </c>
      <c r="AT35" s="11">
        <f t="shared" si="34"/>
        <v>96748693.309999987</v>
      </c>
      <c r="AU35" s="2" t="str">
        <f t="shared" si="35"/>
        <v>VIADUCTO</v>
      </c>
      <c r="AV35" s="37">
        <f t="shared" si="36"/>
        <v>0</v>
      </c>
      <c r="AW35" s="37">
        <f t="shared" si="37"/>
        <v>0</v>
      </c>
    </row>
    <row r="36" spans="1:49" outlineLevel="1" x14ac:dyDescent="0.25">
      <c r="B36" s="2" t="s">
        <v>4</v>
      </c>
      <c r="C36" s="2">
        <v>2022</v>
      </c>
      <c r="D36" s="1">
        <v>606909</v>
      </c>
      <c r="E36" s="11">
        <v>26742545.140000001</v>
      </c>
      <c r="F36" s="1">
        <v>254297</v>
      </c>
      <c r="G36" s="11">
        <v>10391233.079999998</v>
      </c>
      <c r="H36" s="1">
        <v>12826</v>
      </c>
      <c r="I36" s="11">
        <v>568851.57000000018</v>
      </c>
      <c r="J36" s="1">
        <v>1906434</v>
      </c>
      <c r="K36" s="11">
        <v>77897825.640000001</v>
      </c>
      <c r="L36" s="8">
        <v>15034</v>
      </c>
      <c r="M36" s="11">
        <v>632372.96000000008</v>
      </c>
      <c r="N36" s="8">
        <v>13258</v>
      </c>
      <c r="O36" s="11">
        <v>568773.56000000006</v>
      </c>
      <c r="P36" s="8">
        <v>44</v>
      </c>
      <c r="Q36" s="11">
        <v>3889.41</v>
      </c>
      <c r="R36" s="8">
        <v>375</v>
      </c>
      <c r="S36" s="11">
        <v>14841.47</v>
      </c>
      <c r="T36" s="53">
        <f t="shared" si="38"/>
        <v>2809177</v>
      </c>
      <c r="U36" s="54">
        <f t="shared" si="21"/>
        <v>116820332.82999998</v>
      </c>
      <c r="V36" s="2" t="s">
        <v>57</v>
      </c>
      <c r="AE36" s="2" t="s">
        <v>4</v>
      </c>
      <c r="AF36" s="2">
        <v>2021</v>
      </c>
      <c r="AG36" s="1">
        <f t="shared" si="22"/>
        <v>874032</v>
      </c>
      <c r="AH36" s="11">
        <f t="shared" si="23"/>
        <v>37702629.789999999</v>
      </c>
      <c r="AI36" s="1">
        <f t="shared" si="24"/>
        <v>1906434</v>
      </c>
      <c r="AJ36" s="11">
        <f t="shared" si="25"/>
        <v>77897825.640000001</v>
      </c>
      <c r="AK36" s="8">
        <f t="shared" si="26"/>
        <v>15034</v>
      </c>
      <c r="AL36" s="11">
        <f t="shared" si="27"/>
        <v>632372.96000000008</v>
      </c>
      <c r="AM36" s="8">
        <f t="shared" si="28"/>
        <v>13258</v>
      </c>
      <c r="AN36" s="11">
        <f t="shared" si="29"/>
        <v>568773.56000000006</v>
      </c>
      <c r="AO36" s="8">
        <f t="shared" si="30"/>
        <v>44</v>
      </c>
      <c r="AP36" s="11">
        <f t="shared" si="31"/>
        <v>3889.41</v>
      </c>
      <c r="AQ36" s="11">
        <f t="shared" si="32"/>
        <v>375</v>
      </c>
      <c r="AR36" s="11">
        <f t="shared" si="33"/>
        <v>14841.47</v>
      </c>
      <c r="AS36" s="8">
        <f t="shared" si="39"/>
        <v>2809177</v>
      </c>
      <c r="AT36" s="11">
        <f t="shared" si="34"/>
        <v>116820332.83000001</v>
      </c>
      <c r="AU36" s="2" t="str">
        <f t="shared" si="35"/>
        <v>VIADUCTO</v>
      </c>
      <c r="AV36" s="37">
        <f t="shared" si="36"/>
        <v>0</v>
      </c>
      <c r="AW36" s="37">
        <f t="shared" si="37"/>
        <v>0</v>
      </c>
    </row>
    <row r="37" spans="1:49" outlineLevel="1" x14ac:dyDescent="0.25">
      <c r="B37" s="2" t="s">
        <v>28</v>
      </c>
      <c r="C37" s="2">
        <v>2022</v>
      </c>
      <c r="D37" s="1">
        <v>578761</v>
      </c>
      <c r="E37" s="11">
        <v>25401111.129999992</v>
      </c>
      <c r="F37" s="1">
        <v>235926</v>
      </c>
      <c r="G37" s="11">
        <v>9556312.7699999996</v>
      </c>
      <c r="H37" s="1">
        <v>11489</v>
      </c>
      <c r="I37" s="11">
        <v>514302.60999999993</v>
      </c>
      <c r="J37" s="1">
        <v>1813124</v>
      </c>
      <c r="K37" s="11">
        <v>73360029.609999985</v>
      </c>
      <c r="L37" s="8">
        <v>13396</v>
      </c>
      <c r="M37" s="11">
        <v>558119.11</v>
      </c>
      <c r="N37" s="8">
        <v>12910</v>
      </c>
      <c r="O37" s="11">
        <v>548243.00999999989</v>
      </c>
      <c r="P37" s="8">
        <v>35</v>
      </c>
      <c r="Q37" s="11">
        <v>2972.69</v>
      </c>
      <c r="R37" s="8">
        <v>583</v>
      </c>
      <c r="S37" s="11">
        <v>22767.049999999996</v>
      </c>
      <c r="T37" s="53">
        <f t="shared" si="38"/>
        <v>2666224</v>
      </c>
      <c r="U37" s="54">
        <f t="shared" si="21"/>
        <v>109963857.97999997</v>
      </c>
      <c r="V37" s="2" t="s">
        <v>57</v>
      </c>
      <c r="AE37" s="2" t="s">
        <v>28</v>
      </c>
      <c r="AF37" s="2">
        <v>2021</v>
      </c>
      <c r="AG37" s="1">
        <f t="shared" si="22"/>
        <v>826176</v>
      </c>
      <c r="AH37" s="11">
        <f t="shared" si="23"/>
        <v>35471726.50999999</v>
      </c>
      <c r="AI37" s="1">
        <f t="shared" si="24"/>
        <v>1813124</v>
      </c>
      <c r="AJ37" s="11">
        <f t="shared" si="25"/>
        <v>73360029.609999985</v>
      </c>
      <c r="AK37" s="8">
        <f t="shared" si="26"/>
        <v>13396</v>
      </c>
      <c r="AL37" s="11">
        <f t="shared" si="27"/>
        <v>558119.11</v>
      </c>
      <c r="AM37" s="8">
        <f t="shared" si="28"/>
        <v>12910</v>
      </c>
      <c r="AN37" s="11">
        <f t="shared" si="29"/>
        <v>548243.00999999989</v>
      </c>
      <c r="AO37" s="8">
        <f t="shared" si="30"/>
        <v>35</v>
      </c>
      <c r="AP37" s="11">
        <f t="shared" si="31"/>
        <v>2972.69</v>
      </c>
      <c r="AQ37" s="11">
        <f t="shared" si="32"/>
        <v>583</v>
      </c>
      <c r="AR37" s="11">
        <f t="shared" si="33"/>
        <v>22767.049999999996</v>
      </c>
      <c r="AS37" s="8">
        <f t="shared" si="39"/>
        <v>2666224</v>
      </c>
      <c r="AT37" s="11">
        <f t="shared" si="34"/>
        <v>109963857.97999997</v>
      </c>
      <c r="AU37" s="2" t="str">
        <f t="shared" si="35"/>
        <v>VIADUCTO</v>
      </c>
      <c r="AV37" s="37">
        <f t="shared" si="36"/>
        <v>0</v>
      </c>
      <c r="AW37" s="37">
        <f t="shared" si="37"/>
        <v>0</v>
      </c>
    </row>
    <row r="38" spans="1:49" outlineLevel="1" x14ac:dyDescent="0.25">
      <c r="B38" s="2" t="s">
        <v>29</v>
      </c>
      <c r="C38" s="2">
        <v>2022</v>
      </c>
      <c r="D38" s="1">
        <v>612915</v>
      </c>
      <c r="E38" s="11">
        <v>26661391.290000007</v>
      </c>
      <c r="F38" s="1">
        <v>264875</v>
      </c>
      <c r="G38" s="11">
        <v>10623881.689999999</v>
      </c>
      <c r="H38" s="1">
        <v>10949</v>
      </c>
      <c r="I38" s="11">
        <v>498190.08999999997</v>
      </c>
      <c r="J38" s="1">
        <v>1967499</v>
      </c>
      <c r="K38" s="11">
        <v>79078687.219999999</v>
      </c>
      <c r="L38" s="8">
        <v>13681</v>
      </c>
      <c r="M38" s="11">
        <v>561787.24</v>
      </c>
      <c r="N38" s="8">
        <v>14014</v>
      </c>
      <c r="O38" s="11">
        <v>589259.05000000005</v>
      </c>
      <c r="P38" s="8">
        <v>36</v>
      </c>
      <c r="Q38" s="11">
        <v>3493.69</v>
      </c>
      <c r="R38" s="8">
        <v>833</v>
      </c>
      <c r="S38" s="11">
        <v>33060.369999999995</v>
      </c>
      <c r="T38" s="53">
        <f>N38+L38+J38+H38+D38+P38+F38+R38</f>
        <v>2884802</v>
      </c>
      <c r="U38" s="54">
        <f t="shared" si="21"/>
        <v>118049750.64000002</v>
      </c>
      <c r="V38" s="2" t="s">
        <v>57</v>
      </c>
      <c r="AE38" s="2" t="s">
        <v>29</v>
      </c>
      <c r="AF38" s="2">
        <v>2021</v>
      </c>
      <c r="AG38" s="1">
        <f t="shared" si="22"/>
        <v>888739</v>
      </c>
      <c r="AH38" s="11">
        <f t="shared" si="23"/>
        <v>37783463.070000008</v>
      </c>
      <c r="AI38" s="1">
        <f t="shared" si="24"/>
        <v>1967499</v>
      </c>
      <c r="AJ38" s="11">
        <f t="shared" si="25"/>
        <v>79078687.219999999</v>
      </c>
      <c r="AK38" s="8">
        <f t="shared" si="26"/>
        <v>13681</v>
      </c>
      <c r="AL38" s="11">
        <f t="shared" si="27"/>
        <v>561787.24</v>
      </c>
      <c r="AM38" s="8">
        <f t="shared" si="28"/>
        <v>14014</v>
      </c>
      <c r="AN38" s="11">
        <f t="shared" si="29"/>
        <v>589259.05000000005</v>
      </c>
      <c r="AO38" s="8">
        <f t="shared" si="30"/>
        <v>36</v>
      </c>
      <c r="AP38" s="11">
        <f t="shared" si="31"/>
        <v>3493.69</v>
      </c>
      <c r="AQ38" s="11">
        <f t="shared" si="32"/>
        <v>833</v>
      </c>
      <c r="AR38" s="11">
        <f t="shared" si="33"/>
        <v>33060.369999999995</v>
      </c>
      <c r="AS38" s="8">
        <f t="shared" si="39"/>
        <v>2884802</v>
      </c>
      <c r="AT38" s="11">
        <f t="shared" si="34"/>
        <v>118049750.64000002</v>
      </c>
      <c r="AU38" s="2" t="str">
        <f t="shared" si="35"/>
        <v>VIADUCTO</v>
      </c>
      <c r="AV38" s="37">
        <f t="shared" si="36"/>
        <v>0</v>
      </c>
      <c r="AW38" s="37">
        <f t="shared" si="37"/>
        <v>0</v>
      </c>
    </row>
    <row r="39" spans="1:49" outlineLevel="1" x14ac:dyDescent="0.25">
      <c r="B39" s="2" t="s">
        <v>30</v>
      </c>
      <c r="C39" s="2">
        <v>2022</v>
      </c>
      <c r="D39" s="1">
        <v>584188</v>
      </c>
      <c r="E39" s="11">
        <v>25509698.310000002</v>
      </c>
      <c r="F39" s="1">
        <v>250328</v>
      </c>
      <c r="G39" s="11">
        <v>10009496.360000001</v>
      </c>
      <c r="H39" s="1">
        <v>9532</v>
      </c>
      <c r="I39" s="11">
        <v>430382.50999999995</v>
      </c>
      <c r="J39" s="1">
        <v>1877821</v>
      </c>
      <c r="K39" s="11">
        <v>75192816.590000004</v>
      </c>
      <c r="L39" s="8">
        <v>12812</v>
      </c>
      <c r="M39" s="11">
        <v>526081.52000000014</v>
      </c>
      <c r="N39" s="8">
        <v>13488</v>
      </c>
      <c r="O39" s="11">
        <v>563036.85000000009</v>
      </c>
      <c r="P39" s="8">
        <v>39</v>
      </c>
      <c r="Q39" s="11">
        <v>3789.6499999999992</v>
      </c>
      <c r="R39" s="8">
        <v>962</v>
      </c>
      <c r="S39" s="11">
        <v>36342.060000000005</v>
      </c>
      <c r="T39" s="53">
        <f t="shared" si="38"/>
        <v>2749170</v>
      </c>
      <c r="U39" s="54">
        <f t="shared" si="21"/>
        <v>112271643.85000002</v>
      </c>
      <c r="V39" s="2" t="s">
        <v>57</v>
      </c>
      <c r="AE39" s="2" t="s">
        <v>30</v>
      </c>
      <c r="AF39" s="2">
        <v>2021</v>
      </c>
      <c r="AG39" s="1">
        <f t="shared" si="22"/>
        <v>844048</v>
      </c>
      <c r="AH39" s="11">
        <f t="shared" si="23"/>
        <v>35949577.180000007</v>
      </c>
      <c r="AI39" s="1">
        <f t="shared" si="24"/>
        <v>1877821</v>
      </c>
      <c r="AJ39" s="11">
        <f t="shared" si="25"/>
        <v>75192816.590000004</v>
      </c>
      <c r="AK39" s="8">
        <f t="shared" si="26"/>
        <v>12812</v>
      </c>
      <c r="AL39" s="11">
        <f t="shared" si="27"/>
        <v>526081.52000000014</v>
      </c>
      <c r="AM39" s="8">
        <f t="shared" si="28"/>
        <v>13488</v>
      </c>
      <c r="AN39" s="11">
        <f t="shared" si="29"/>
        <v>563036.85000000009</v>
      </c>
      <c r="AO39" s="8">
        <f t="shared" si="30"/>
        <v>39</v>
      </c>
      <c r="AP39" s="11">
        <f t="shared" si="31"/>
        <v>3789.6499999999992</v>
      </c>
      <c r="AQ39" s="11">
        <f t="shared" si="32"/>
        <v>962</v>
      </c>
      <c r="AR39" s="11">
        <f t="shared" si="33"/>
        <v>36342.060000000005</v>
      </c>
      <c r="AS39" s="8">
        <f t="shared" si="39"/>
        <v>2749170</v>
      </c>
      <c r="AT39" s="11">
        <f t="shared" si="34"/>
        <v>112271643.85000001</v>
      </c>
      <c r="AU39" s="2" t="str">
        <f t="shared" si="35"/>
        <v>VIADUCTO</v>
      </c>
      <c r="AV39" s="37">
        <f t="shared" si="36"/>
        <v>0</v>
      </c>
      <c r="AW39" s="37">
        <f t="shared" si="37"/>
        <v>0</v>
      </c>
    </row>
    <row r="40" spans="1:49" outlineLevel="1" x14ac:dyDescent="0.25">
      <c r="B40" s="2" t="s">
        <v>31</v>
      </c>
      <c r="C40" s="2">
        <v>2022</v>
      </c>
      <c r="D40" s="1">
        <v>551571</v>
      </c>
      <c r="E40" s="11">
        <v>24304186.859999996</v>
      </c>
      <c r="F40" s="1">
        <v>238904</v>
      </c>
      <c r="G40" s="11">
        <v>9645175.0399999972</v>
      </c>
      <c r="H40" s="1">
        <v>8942</v>
      </c>
      <c r="I40" s="11">
        <v>404220.49999999994</v>
      </c>
      <c r="J40" s="1">
        <v>1794034</v>
      </c>
      <c r="K40" s="11">
        <v>72805085</v>
      </c>
      <c r="L40" s="8">
        <v>11395</v>
      </c>
      <c r="M40" s="11">
        <v>477813.36</v>
      </c>
      <c r="N40" s="8">
        <v>12613</v>
      </c>
      <c r="O40" s="11">
        <v>530803.29999999993</v>
      </c>
      <c r="P40" s="8">
        <v>54</v>
      </c>
      <c r="Q40" s="11">
        <v>5045.5000000000009</v>
      </c>
      <c r="R40" s="8">
        <v>1197</v>
      </c>
      <c r="S40" s="11">
        <v>49080.19</v>
      </c>
      <c r="T40" s="53">
        <f t="shared" si="38"/>
        <v>2618710</v>
      </c>
      <c r="U40" s="54">
        <f t="shared" si="21"/>
        <v>108221409.74999999</v>
      </c>
      <c r="V40" s="2" t="s">
        <v>57</v>
      </c>
      <c r="X40" s="13"/>
      <c r="AE40" s="2" t="s">
        <v>31</v>
      </c>
      <c r="AF40" s="2">
        <v>2021</v>
      </c>
      <c r="AG40" s="1">
        <f t="shared" si="22"/>
        <v>799417</v>
      </c>
      <c r="AH40" s="11">
        <f t="shared" si="23"/>
        <v>34353582.399999991</v>
      </c>
      <c r="AI40" s="1">
        <f t="shared" si="24"/>
        <v>1794034</v>
      </c>
      <c r="AJ40" s="11">
        <f t="shared" si="25"/>
        <v>72805085</v>
      </c>
      <c r="AK40" s="8">
        <f t="shared" si="26"/>
        <v>11395</v>
      </c>
      <c r="AL40" s="11">
        <f t="shared" si="27"/>
        <v>477813.36</v>
      </c>
      <c r="AM40" s="8">
        <f t="shared" si="28"/>
        <v>12613</v>
      </c>
      <c r="AN40" s="11">
        <f t="shared" si="29"/>
        <v>530803.29999999993</v>
      </c>
      <c r="AO40" s="8">
        <f t="shared" si="30"/>
        <v>54</v>
      </c>
      <c r="AP40" s="11">
        <f t="shared" si="31"/>
        <v>5045.5000000000009</v>
      </c>
      <c r="AQ40" s="11">
        <f t="shared" si="32"/>
        <v>1197</v>
      </c>
      <c r="AR40" s="11">
        <f t="shared" si="33"/>
        <v>49080.19</v>
      </c>
      <c r="AS40" s="8">
        <f t="shared" si="39"/>
        <v>2618710</v>
      </c>
      <c r="AT40" s="11">
        <f t="shared" si="34"/>
        <v>108221409.74999999</v>
      </c>
      <c r="AU40" s="2" t="str">
        <f t="shared" si="35"/>
        <v>VIADUCTO</v>
      </c>
      <c r="AV40" s="37">
        <f t="shared" si="36"/>
        <v>0</v>
      </c>
      <c r="AW40" s="37">
        <f t="shared" si="37"/>
        <v>0</v>
      </c>
    </row>
    <row r="41" spans="1:49" outlineLevel="1" x14ac:dyDescent="0.25">
      <c r="AH41" s="9"/>
      <c r="AJ41" s="9"/>
      <c r="AL41" s="9"/>
      <c r="AN41" s="9"/>
      <c r="AO41" s="9"/>
      <c r="AP41" s="9"/>
      <c r="AQ41" s="9"/>
      <c r="AR41" s="9"/>
      <c r="AT41" s="9"/>
    </row>
    <row r="42" spans="1:49" outlineLevel="1" x14ac:dyDescent="0.25">
      <c r="B42" s="3" t="s">
        <v>12</v>
      </c>
      <c r="C42" s="3"/>
      <c r="D42" s="4">
        <f t="shared" ref="D42:U42" si="40">SUM(D29:D41)</f>
        <v>6504710</v>
      </c>
      <c r="E42" s="12">
        <f t="shared" si="40"/>
        <v>282339670</v>
      </c>
      <c r="F42" s="4">
        <f t="shared" si="40"/>
        <v>2778450</v>
      </c>
      <c r="G42" s="12">
        <f t="shared" si="40"/>
        <v>111976570.86999999</v>
      </c>
      <c r="H42" s="4">
        <f t="shared" si="40"/>
        <v>140144</v>
      </c>
      <c r="I42" s="12">
        <f t="shared" si="40"/>
        <v>6276682.5599999996</v>
      </c>
      <c r="J42" s="4">
        <f t="shared" si="40"/>
        <v>20288626</v>
      </c>
      <c r="K42" s="12">
        <f t="shared" si="40"/>
        <v>813183784.20000005</v>
      </c>
      <c r="L42" s="4">
        <f t="shared" si="40"/>
        <v>165616</v>
      </c>
      <c r="M42" s="12">
        <f t="shared" si="40"/>
        <v>6997481.4500000011</v>
      </c>
      <c r="N42" s="4">
        <f t="shared" si="40"/>
        <v>145837</v>
      </c>
      <c r="O42" s="12">
        <f t="shared" si="40"/>
        <v>6135656.0100000007</v>
      </c>
      <c r="P42" s="4">
        <f>SUM(P29:P41)</f>
        <v>304</v>
      </c>
      <c r="Q42" s="12">
        <f>SUM(Q29:Q41)</f>
        <v>24692.149999999998</v>
      </c>
      <c r="R42" s="4">
        <f>SUM(R29:R41)</f>
        <v>4110</v>
      </c>
      <c r="S42" s="12">
        <f>SUM(S29:S41)</f>
        <v>163634.54999999999</v>
      </c>
      <c r="T42" s="4">
        <f t="shared" si="40"/>
        <v>30027797</v>
      </c>
      <c r="U42" s="12">
        <f t="shared" si="40"/>
        <v>1227098171.79</v>
      </c>
      <c r="AE42" s="3" t="s">
        <v>12</v>
      </c>
      <c r="AF42" s="3"/>
      <c r="AG42" s="4">
        <f t="shared" ref="AG42:AT42" si="41">SUM(AG29:AG41)</f>
        <v>9423304</v>
      </c>
      <c r="AH42" s="12">
        <f t="shared" si="41"/>
        <v>400592923.42999995</v>
      </c>
      <c r="AI42" s="4">
        <f t="shared" si="41"/>
        <v>20288626</v>
      </c>
      <c r="AJ42" s="12">
        <f t="shared" si="41"/>
        <v>813183784.20000005</v>
      </c>
      <c r="AK42" s="4">
        <f t="shared" si="41"/>
        <v>165616</v>
      </c>
      <c r="AL42" s="12">
        <f t="shared" si="41"/>
        <v>6997481.4500000011</v>
      </c>
      <c r="AM42" s="4">
        <f t="shared" si="41"/>
        <v>145837</v>
      </c>
      <c r="AN42" s="12">
        <f t="shared" si="41"/>
        <v>6135656.0100000007</v>
      </c>
      <c r="AO42" s="4">
        <f t="shared" si="41"/>
        <v>304</v>
      </c>
      <c r="AP42" s="12">
        <f t="shared" si="41"/>
        <v>24692.149999999998</v>
      </c>
      <c r="AQ42" s="4">
        <f t="shared" si="41"/>
        <v>4110</v>
      </c>
      <c r="AR42" s="12">
        <f t="shared" si="41"/>
        <v>163634.54999999999</v>
      </c>
      <c r="AS42" s="4">
        <f t="shared" si="41"/>
        <v>30027797</v>
      </c>
      <c r="AT42" s="12">
        <f t="shared" si="41"/>
        <v>1227098171.79</v>
      </c>
    </row>
    <row r="43" spans="1:49" outlineLevel="1" x14ac:dyDescent="0.25">
      <c r="J43" s="46" t="str">
        <f>+$B$24</f>
        <v>Aforo e Ingreso - VIADUCTO</v>
      </c>
      <c r="K43" s="9" t="s">
        <v>84</v>
      </c>
      <c r="L43" s="15">
        <f>AVERAGE(L29:L40)</f>
        <v>13801.333333333334</v>
      </c>
      <c r="M43" s="60">
        <f>AVERAGE(M29:M40)</f>
        <v>583123.45416666672</v>
      </c>
      <c r="T43" s="15">
        <f>AVERAGE(T29:T40)</f>
        <v>2502316.4166666665</v>
      </c>
      <c r="U43" s="28">
        <f>AVERAGE(U29:U40)</f>
        <v>102258180.9825</v>
      </c>
    </row>
    <row r="44" spans="1:49" outlineLevel="1" x14ac:dyDescent="0.25">
      <c r="B44" s="5" t="s">
        <v>14</v>
      </c>
      <c r="J44" s="46" t="str">
        <f>+$B$24</f>
        <v>Aforo e Ingreso - VIADUCTO</v>
      </c>
      <c r="K44" s="9" t="s">
        <v>85</v>
      </c>
      <c r="L44" s="26">
        <f>+L43/$L$316</f>
        <v>6.6399224455005637E-2</v>
      </c>
      <c r="M44" s="36">
        <f>+M43/$M$316</f>
        <v>1.9573901845806544E-2</v>
      </c>
      <c r="N44" s="18"/>
      <c r="O44" s="19"/>
      <c r="P44" s="19"/>
      <c r="Q44" s="19"/>
      <c r="R44" s="19"/>
      <c r="S44" s="19"/>
      <c r="T44" s="36">
        <f>+L43/T43</f>
        <v>5.5154229262972575E-3</v>
      </c>
      <c r="U44" s="62">
        <f>+M43/U43</f>
        <v>5.7024626153526024E-3</v>
      </c>
    </row>
    <row r="45" spans="1:49" outlineLevel="1" x14ac:dyDescent="0.25">
      <c r="B45" s="5" t="s">
        <v>21</v>
      </c>
      <c r="L45" s="26"/>
      <c r="M45" s="26"/>
    </row>
    <row r="46" spans="1:49" outlineLevel="1" x14ac:dyDescent="0.25">
      <c r="B46" s="5"/>
    </row>
    <row r="47" spans="1:49" outlineLevel="1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87</v>
      </c>
      <c r="S47" s="93"/>
      <c r="T47" s="89" t="s">
        <v>12</v>
      </c>
      <c r="U47" s="93"/>
      <c r="AG47" s="89" t="s">
        <v>69</v>
      </c>
      <c r="AH47" s="90"/>
      <c r="AI47" s="89" t="s">
        <v>17</v>
      </c>
      <c r="AJ47" s="93"/>
      <c r="AK47" s="89" t="s">
        <v>18</v>
      </c>
      <c r="AL47" s="93"/>
      <c r="AM47" s="89" t="s">
        <v>13</v>
      </c>
      <c r="AN47" s="93"/>
      <c r="AO47" s="89" t="s">
        <v>34</v>
      </c>
      <c r="AP47" s="93"/>
      <c r="AQ47" s="89" t="s">
        <v>87</v>
      </c>
      <c r="AR47" s="93"/>
      <c r="AS47" s="89" t="s">
        <v>12</v>
      </c>
      <c r="AT47" s="93"/>
    </row>
    <row r="48" spans="1:49" ht="15" customHeight="1" outlineLevel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AE48" s="7" t="s">
        <v>0</v>
      </c>
      <c r="AF48" s="7" t="s">
        <v>1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</row>
    <row r="49" spans="2:49" outlineLevel="1" x14ac:dyDescent="0.25">
      <c r="AH49" s="9"/>
      <c r="AJ49" s="9"/>
      <c r="AL49" s="9"/>
      <c r="AN49" s="9"/>
      <c r="AO49" s="9"/>
      <c r="AP49" s="9"/>
      <c r="AQ49" s="9"/>
      <c r="AR49" s="9"/>
      <c r="AT49" s="9"/>
    </row>
    <row r="50" spans="2:49" outlineLevel="1" x14ac:dyDescent="0.25">
      <c r="B50" s="2" t="s">
        <v>5</v>
      </c>
      <c r="C50" s="2">
        <v>2022</v>
      </c>
      <c r="D50" s="1">
        <v>161037</v>
      </c>
      <c r="E50" s="11">
        <v>6604878</v>
      </c>
      <c r="F50" s="1">
        <v>132540</v>
      </c>
      <c r="G50" s="11">
        <v>5455108</v>
      </c>
      <c r="H50" s="1">
        <v>9952</v>
      </c>
      <c r="I50" s="11">
        <v>418513</v>
      </c>
      <c r="J50" s="1">
        <v>1126203</v>
      </c>
      <c r="K50" s="11">
        <v>45083397</v>
      </c>
      <c r="L50" s="8">
        <v>12905</v>
      </c>
      <c r="M50" s="11">
        <v>505371</v>
      </c>
      <c r="N50" s="8">
        <v>22539</v>
      </c>
      <c r="O50" s="11">
        <v>889452</v>
      </c>
      <c r="P50" s="8">
        <v>0</v>
      </c>
      <c r="Q50" s="11">
        <v>0</v>
      </c>
      <c r="R50" s="8">
        <v>0</v>
      </c>
      <c r="S50" s="11">
        <v>0</v>
      </c>
      <c r="T50" s="53">
        <f>N50+L50+J50+H50+D50+P50+F50+R50</f>
        <v>1465176</v>
      </c>
      <c r="U50" s="54">
        <f t="shared" ref="U50:U61" si="42">O50+M50+K50+I50+E50+Q50+G50+S50</f>
        <v>58956719</v>
      </c>
      <c r="V50" s="2" t="s">
        <v>58</v>
      </c>
      <c r="AE50" s="2" t="s">
        <v>5</v>
      </c>
      <c r="AF50" s="2">
        <v>2021</v>
      </c>
      <c r="AG50" s="1">
        <f t="shared" ref="AG50:AG61" si="43">D50+H50+F50</f>
        <v>303529</v>
      </c>
      <c r="AH50" s="11">
        <f t="shared" ref="AH50:AH61" si="44">E50+I50+G50</f>
        <v>12478499</v>
      </c>
      <c r="AI50" s="1">
        <f t="shared" ref="AI50:AI61" si="45">+J50</f>
        <v>1126203</v>
      </c>
      <c r="AJ50" s="11">
        <f t="shared" ref="AJ50:AJ61" si="46">+K50</f>
        <v>45083397</v>
      </c>
      <c r="AK50" s="8">
        <f t="shared" ref="AK50:AK61" si="47">+L50</f>
        <v>12905</v>
      </c>
      <c r="AL50" s="11">
        <f t="shared" ref="AL50:AL61" si="48">+M50</f>
        <v>505371</v>
      </c>
      <c r="AM50" s="8">
        <f t="shared" ref="AM50:AM61" si="49">+N50</f>
        <v>22539</v>
      </c>
      <c r="AN50" s="11">
        <f t="shared" ref="AN50:AN61" si="50">+O50</f>
        <v>889452</v>
      </c>
      <c r="AO50" s="8">
        <f t="shared" ref="AO50:AO61" si="51">+P50</f>
        <v>0</v>
      </c>
      <c r="AP50" s="11">
        <f t="shared" ref="AP50:AP61" si="52">+Q50</f>
        <v>0</v>
      </c>
      <c r="AQ50" s="11">
        <f t="shared" ref="AQ50:AQ61" si="53">+R50</f>
        <v>0</v>
      </c>
      <c r="AR50" s="11">
        <f t="shared" ref="AR50:AR61" si="54">+S50</f>
        <v>0</v>
      </c>
      <c r="AS50" s="8">
        <f>AO50+AM50+AK50+AI50+AG50+AQ50</f>
        <v>1465176</v>
      </c>
      <c r="AT50" s="11">
        <f t="shared" ref="AT50:AT61" si="55">AP50+AN50+AL50+AJ50+AH50+AR50</f>
        <v>58956719</v>
      </c>
      <c r="AU50" s="2" t="str">
        <f t="shared" ref="AU50:AU61" si="56">+V50</f>
        <v>SUPERVIA</v>
      </c>
      <c r="AV50" s="37">
        <f t="shared" ref="AV50:AV60" si="57">+AS50-T50</f>
        <v>0</v>
      </c>
      <c r="AW50" s="37">
        <f t="shared" ref="AW50:AW61" si="58">+AT50-U50</f>
        <v>0</v>
      </c>
    </row>
    <row r="51" spans="2:49" outlineLevel="1" x14ac:dyDescent="0.25">
      <c r="B51" s="2" t="s">
        <v>6</v>
      </c>
      <c r="C51" s="2">
        <v>2022</v>
      </c>
      <c r="D51" s="1">
        <v>191065</v>
      </c>
      <c r="E51" s="11">
        <v>8454563</v>
      </c>
      <c r="F51" s="1">
        <v>165006</v>
      </c>
      <c r="G51" s="11">
        <v>7328332</v>
      </c>
      <c r="H51" s="1">
        <v>11037</v>
      </c>
      <c r="I51" s="11">
        <v>501831</v>
      </c>
      <c r="J51" s="1">
        <v>1365553</v>
      </c>
      <c r="K51" s="11">
        <v>59052324</v>
      </c>
      <c r="L51" s="8">
        <v>15868</v>
      </c>
      <c r="M51" s="11">
        <v>670890</v>
      </c>
      <c r="N51" s="8">
        <v>25635</v>
      </c>
      <c r="O51" s="11">
        <v>1093136</v>
      </c>
      <c r="P51" s="8">
        <v>0</v>
      </c>
      <c r="Q51" s="11">
        <v>0</v>
      </c>
      <c r="R51" s="8">
        <v>0</v>
      </c>
      <c r="S51" s="11">
        <v>0</v>
      </c>
      <c r="T51" s="53">
        <f t="shared" ref="T51:T52" si="59">N51+L51+J51+H51+D51+P51+F51+R51</f>
        <v>1774164</v>
      </c>
      <c r="U51" s="54">
        <f t="shared" ref="U51:U52" si="60">O51+M51+K51+I51+E51+Q51+G51+S51</f>
        <v>77101076</v>
      </c>
      <c r="V51" s="2" t="s">
        <v>58</v>
      </c>
      <c r="AE51" s="2" t="s">
        <v>6</v>
      </c>
      <c r="AF51" s="2">
        <v>2021</v>
      </c>
      <c r="AG51" s="1">
        <f t="shared" si="43"/>
        <v>367108</v>
      </c>
      <c r="AH51" s="11">
        <f t="shared" si="44"/>
        <v>16284726</v>
      </c>
      <c r="AI51" s="1">
        <f t="shared" si="45"/>
        <v>1365553</v>
      </c>
      <c r="AJ51" s="11">
        <f t="shared" si="46"/>
        <v>59052324</v>
      </c>
      <c r="AK51" s="8">
        <f t="shared" si="47"/>
        <v>15868</v>
      </c>
      <c r="AL51" s="11">
        <f t="shared" si="48"/>
        <v>670890</v>
      </c>
      <c r="AM51" s="8">
        <f t="shared" si="49"/>
        <v>25635</v>
      </c>
      <c r="AN51" s="11">
        <f t="shared" si="50"/>
        <v>1093136</v>
      </c>
      <c r="AO51" s="8">
        <f t="shared" si="51"/>
        <v>0</v>
      </c>
      <c r="AP51" s="11">
        <f t="shared" si="52"/>
        <v>0</v>
      </c>
      <c r="AQ51" s="11">
        <f t="shared" si="53"/>
        <v>0</v>
      </c>
      <c r="AR51" s="11">
        <f t="shared" si="54"/>
        <v>0</v>
      </c>
      <c r="AS51" s="8">
        <f t="shared" ref="AS51:AS61" si="61">AO51+AM51+AK51+AI51+AG51+AQ51</f>
        <v>1774164</v>
      </c>
      <c r="AT51" s="11">
        <f t="shared" si="55"/>
        <v>77101076</v>
      </c>
      <c r="AU51" s="2" t="str">
        <f t="shared" si="56"/>
        <v>SUPERVIA</v>
      </c>
      <c r="AV51" s="37">
        <f t="shared" si="57"/>
        <v>0</v>
      </c>
      <c r="AW51" s="37">
        <f t="shared" si="58"/>
        <v>0</v>
      </c>
    </row>
    <row r="52" spans="2:49" outlineLevel="1" x14ac:dyDescent="0.25">
      <c r="B52" s="2" t="s">
        <v>7</v>
      </c>
      <c r="C52" s="2">
        <v>2022</v>
      </c>
      <c r="D52" s="1">
        <v>243269</v>
      </c>
      <c r="E52" s="11">
        <v>10724066</v>
      </c>
      <c r="F52" s="1">
        <v>218224</v>
      </c>
      <c r="G52" s="11">
        <v>9657240</v>
      </c>
      <c r="H52" s="1">
        <v>11458</v>
      </c>
      <c r="I52" s="11">
        <v>518373</v>
      </c>
      <c r="J52" s="1">
        <v>1710613</v>
      </c>
      <c r="K52" s="11">
        <v>74033576</v>
      </c>
      <c r="L52" s="8">
        <v>18573</v>
      </c>
      <c r="M52" s="11">
        <v>790782</v>
      </c>
      <c r="N52" s="8">
        <v>31446</v>
      </c>
      <c r="O52" s="11">
        <v>1346567</v>
      </c>
      <c r="P52" s="8">
        <v>1</v>
      </c>
      <c r="Q52" s="11">
        <v>61</v>
      </c>
      <c r="R52" s="8">
        <v>0</v>
      </c>
      <c r="S52" s="11">
        <v>0</v>
      </c>
      <c r="T52" s="53">
        <f t="shared" si="59"/>
        <v>2233584</v>
      </c>
      <c r="U52" s="54">
        <f t="shared" si="60"/>
        <v>97070665</v>
      </c>
      <c r="V52" s="2" t="s">
        <v>58</v>
      </c>
      <c r="AE52" s="2" t="s">
        <v>7</v>
      </c>
      <c r="AF52" s="2">
        <v>2021</v>
      </c>
      <c r="AG52" s="1">
        <f t="shared" si="43"/>
        <v>472951</v>
      </c>
      <c r="AH52" s="11">
        <f t="shared" si="44"/>
        <v>20899679</v>
      </c>
      <c r="AI52" s="1">
        <f t="shared" si="45"/>
        <v>1710613</v>
      </c>
      <c r="AJ52" s="11">
        <f t="shared" si="46"/>
        <v>74033576</v>
      </c>
      <c r="AK52" s="8">
        <f t="shared" si="47"/>
        <v>18573</v>
      </c>
      <c r="AL52" s="11">
        <f t="shared" si="48"/>
        <v>790782</v>
      </c>
      <c r="AM52" s="8">
        <f t="shared" si="49"/>
        <v>31446</v>
      </c>
      <c r="AN52" s="11">
        <f t="shared" si="50"/>
        <v>1346567</v>
      </c>
      <c r="AO52" s="8">
        <f t="shared" si="51"/>
        <v>1</v>
      </c>
      <c r="AP52" s="11">
        <f t="shared" si="52"/>
        <v>61</v>
      </c>
      <c r="AQ52" s="11">
        <f t="shared" si="53"/>
        <v>0</v>
      </c>
      <c r="AR52" s="11">
        <f t="shared" si="54"/>
        <v>0</v>
      </c>
      <c r="AS52" s="8">
        <f t="shared" si="61"/>
        <v>2233584</v>
      </c>
      <c r="AT52" s="11">
        <f t="shared" si="55"/>
        <v>97070665</v>
      </c>
      <c r="AU52" s="2" t="str">
        <f t="shared" si="56"/>
        <v>SUPERVIA</v>
      </c>
      <c r="AV52" s="37">
        <f t="shared" si="57"/>
        <v>0</v>
      </c>
      <c r="AW52" s="37">
        <f t="shared" si="58"/>
        <v>0</v>
      </c>
    </row>
    <row r="53" spans="2:49" outlineLevel="1" x14ac:dyDescent="0.25">
      <c r="B53" s="2" t="s">
        <v>8</v>
      </c>
      <c r="C53" s="2">
        <v>2022</v>
      </c>
      <c r="D53" s="1">
        <v>210990</v>
      </c>
      <c r="E53" s="11">
        <v>9352480</v>
      </c>
      <c r="F53" s="1">
        <v>182485</v>
      </c>
      <c r="G53" s="11">
        <v>8145365</v>
      </c>
      <c r="H53" s="1">
        <v>9768</v>
      </c>
      <c r="I53" s="11">
        <v>447033</v>
      </c>
      <c r="J53" s="1">
        <v>1462569</v>
      </c>
      <c r="K53" s="11">
        <v>63821289</v>
      </c>
      <c r="L53" s="8">
        <v>14765</v>
      </c>
      <c r="M53" s="11">
        <v>632102</v>
      </c>
      <c r="N53" s="8">
        <v>27287</v>
      </c>
      <c r="O53" s="11">
        <v>1176978</v>
      </c>
      <c r="P53" s="8">
        <v>0</v>
      </c>
      <c r="Q53" s="11">
        <v>0</v>
      </c>
      <c r="R53" s="8">
        <v>35</v>
      </c>
      <c r="S53" s="11">
        <v>1455</v>
      </c>
      <c r="T53" s="53">
        <f t="shared" ref="T53:T61" si="62">N53+L53+J53+H53+D53+P53+F53+R53</f>
        <v>1907899</v>
      </c>
      <c r="U53" s="54">
        <f t="shared" si="42"/>
        <v>83576702</v>
      </c>
      <c r="V53" s="2" t="s">
        <v>58</v>
      </c>
      <c r="AE53" s="2" t="s">
        <v>8</v>
      </c>
      <c r="AF53" s="2">
        <v>2021</v>
      </c>
      <c r="AG53" s="1">
        <f t="shared" si="43"/>
        <v>403243</v>
      </c>
      <c r="AH53" s="11">
        <f t="shared" si="44"/>
        <v>17944878</v>
      </c>
      <c r="AI53" s="1">
        <f t="shared" si="45"/>
        <v>1462569</v>
      </c>
      <c r="AJ53" s="11">
        <f t="shared" si="46"/>
        <v>63821289</v>
      </c>
      <c r="AK53" s="8">
        <f t="shared" si="47"/>
        <v>14765</v>
      </c>
      <c r="AL53" s="11">
        <f t="shared" si="48"/>
        <v>632102</v>
      </c>
      <c r="AM53" s="8">
        <f t="shared" si="49"/>
        <v>27287</v>
      </c>
      <c r="AN53" s="11">
        <f t="shared" si="50"/>
        <v>1176978</v>
      </c>
      <c r="AO53" s="8">
        <f t="shared" si="51"/>
        <v>0</v>
      </c>
      <c r="AP53" s="11">
        <f t="shared" si="52"/>
        <v>0</v>
      </c>
      <c r="AQ53" s="11">
        <f t="shared" si="53"/>
        <v>35</v>
      </c>
      <c r="AR53" s="11">
        <f t="shared" si="54"/>
        <v>1455</v>
      </c>
      <c r="AS53" s="8">
        <f t="shared" si="61"/>
        <v>1907899</v>
      </c>
      <c r="AT53" s="11">
        <f t="shared" si="55"/>
        <v>83576702</v>
      </c>
      <c r="AU53" s="2" t="str">
        <f t="shared" si="56"/>
        <v>SUPERVIA</v>
      </c>
      <c r="AV53" s="37">
        <f t="shared" si="57"/>
        <v>0</v>
      </c>
      <c r="AW53" s="37">
        <f t="shared" si="58"/>
        <v>0</v>
      </c>
    </row>
    <row r="54" spans="2:49" outlineLevel="1" x14ac:dyDescent="0.25">
      <c r="B54" s="2" t="s">
        <v>9</v>
      </c>
      <c r="C54" s="2">
        <v>2022</v>
      </c>
      <c r="D54" s="1">
        <v>236309</v>
      </c>
      <c r="E54" s="11">
        <v>10481388</v>
      </c>
      <c r="F54" s="1">
        <v>212229</v>
      </c>
      <c r="G54" s="11">
        <v>9497673</v>
      </c>
      <c r="H54" s="1">
        <v>10816</v>
      </c>
      <c r="I54" s="11">
        <v>496968</v>
      </c>
      <c r="J54" s="1">
        <v>1661682</v>
      </c>
      <c r="K54" s="11">
        <v>72562458</v>
      </c>
      <c r="L54" s="8">
        <v>16100</v>
      </c>
      <c r="M54" s="11">
        <v>692118</v>
      </c>
      <c r="N54" s="8">
        <v>30537</v>
      </c>
      <c r="O54" s="11">
        <v>1325077</v>
      </c>
      <c r="P54" s="8">
        <v>4</v>
      </c>
      <c r="Q54" s="11">
        <v>193</v>
      </c>
      <c r="R54" s="8">
        <v>73</v>
      </c>
      <c r="S54" s="11">
        <v>3053</v>
      </c>
      <c r="T54" s="53">
        <f t="shared" si="62"/>
        <v>2167750</v>
      </c>
      <c r="U54" s="54">
        <f t="shared" si="42"/>
        <v>95058928</v>
      </c>
      <c r="V54" s="2" t="s">
        <v>58</v>
      </c>
      <c r="AE54" s="2" t="s">
        <v>9</v>
      </c>
      <c r="AF54" s="2">
        <v>2021</v>
      </c>
      <c r="AG54" s="1">
        <f t="shared" si="43"/>
        <v>459354</v>
      </c>
      <c r="AH54" s="11">
        <f t="shared" si="44"/>
        <v>20476029</v>
      </c>
      <c r="AI54" s="1">
        <f t="shared" si="45"/>
        <v>1661682</v>
      </c>
      <c r="AJ54" s="11">
        <f t="shared" si="46"/>
        <v>72562458</v>
      </c>
      <c r="AK54" s="8">
        <f t="shared" si="47"/>
        <v>16100</v>
      </c>
      <c r="AL54" s="11">
        <f t="shared" si="48"/>
        <v>692118</v>
      </c>
      <c r="AM54" s="8">
        <f t="shared" si="49"/>
        <v>30537</v>
      </c>
      <c r="AN54" s="11">
        <f t="shared" si="50"/>
        <v>1325077</v>
      </c>
      <c r="AO54" s="8">
        <f t="shared" si="51"/>
        <v>4</v>
      </c>
      <c r="AP54" s="11">
        <f t="shared" si="52"/>
        <v>193</v>
      </c>
      <c r="AQ54" s="11">
        <f t="shared" si="53"/>
        <v>73</v>
      </c>
      <c r="AR54" s="11">
        <f t="shared" si="54"/>
        <v>3053</v>
      </c>
      <c r="AS54" s="8">
        <f t="shared" si="61"/>
        <v>2167750</v>
      </c>
      <c r="AT54" s="11">
        <f t="shared" si="55"/>
        <v>95058928</v>
      </c>
      <c r="AU54" s="2" t="str">
        <f t="shared" si="56"/>
        <v>SUPERVIA</v>
      </c>
      <c r="AV54" s="37">
        <f t="shared" si="57"/>
        <v>0</v>
      </c>
      <c r="AW54" s="37">
        <f t="shared" si="58"/>
        <v>0</v>
      </c>
    </row>
    <row r="55" spans="2:49" outlineLevel="1" x14ac:dyDescent="0.25">
      <c r="B55" s="2" t="s">
        <v>10</v>
      </c>
      <c r="C55" s="2">
        <v>2022</v>
      </c>
      <c r="D55" s="1">
        <v>222934</v>
      </c>
      <c r="E55" s="11">
        <v>9910397</v>
      </c>
      <c r="F55" s="1">
        <v>194657</v>
      </c>
      <c r="G55" s="11">
        <v>8737342</v>
      </c>
      <c r="H55" s="1">
        <v>11068</v>
      </c>
      <c r="I55" s="11">
        <v>517076</v>
      </c>
      <c r="J55" s="1">
        <v>1562949</v>
      </c>
      <c r="K55" s="11">
        <v>68227437</v>
      </c>
      <c r="L55" s="8">
        <v>14858</v>
      </c>
      <c r="M55" s="11">
        <v>632546</v>
      </c>
      <c r="N55" s="8">
        <v>29074</v>
      </c>
      <c r="O55" s="11">
        <v>1259604</v>
      </c>
      <c r="P55" s="8">
        <v>0</v>
      </c>
      <c r="Q55" s="11">
        <v>0</v>
      </c>
      <c r="R55" s="8">
        <v>40</v>
      </c>
      <c r="S55" s="11">
        <v>1829</v>
      </c>
      <c r="T55" s="53">
        <f t="shared" si="62"/>
        <v>2035580</v>
      </c>
      <c r="U55" s="54">
        <f t="shared" si="42"/>
        <v>89286231</v>
      </c>
      <c r="V55" s="2" t="s">
        <v>58</v>
      </c>
      <c r="AE55" s="2" t="s">
        <v>10</v>
      </c>
      <c r="AF55" s="2">
        <v>2021</v>
      </c>
      <c r="AG55" s="1">
        <f t="shared" si="43"/>
        <v>428659</v>
      </c>
      <c r="AH55" s="11">
        <f t="shared" si="44"/>
        <v>19164815</v>
      </c>
      <c r="AI55" s="1">
        <f t="shared" si="45"/>
        <v>1562949</v>
      </c>
      <c r="AJ55" s="11">
        <f t="shared" si="46"/>
        <v>68227437</v>
      </c>
      <c r="AK55" s="8">
        <f t="shared" si="47"/>
        <v>14858</v>
      </c>
      <c r="AL55" s="11">
        <f t="shared" si="48"/>
        <v>632546</v>
      </c>
      <c r="AM55" s="8">
        <f t="shared" si="49"/>
        <v>29074</v>
      </c>
      <c r="AN55" s="11">
        <f t="shared" si="50"/>
        <v>1259604</v>
      </c>
      <c r="AO55" s="8">
        <f t="shared" si="51"/>
        <v>0</v>
      </c>
      <c r="AP55" s="11">
        <f t="shared" si="52"/>
        <v>0</v>
      </c>
      <c r="AQ55" s="11">
        <f t="shared" si="53"/>
        <v>40</v>
      </c>
      <c r="AR55" s="11">
        <f t="shared" si="54"/>
        <v>1829</v>
      </c>
      <c r="AS55" s="8">
        <f t="shared" si="61"/>
        <v>2035580</v>
      </c>
      <c r="AT55" s="11">
        <f t="shared" si="55"/>
        <v>89286231</v>
      </c>
      <c r="AU55" s="2" t="str">
        <f t="shared" si="56"/>
        <v>SUPERVIA</v>
      </c>
      <c r="AV55" s="37">
        <f t="shared" si="57"/>
        <v>0</v>
      </c>
      <c r="AW55" s="37">
        <f t="shared" si="58"/>
        <v>0</v>
      </c>
    </row>
    <row r="56" spans="2:49" outlineLevel="1" x14ac:dyDescent="0.25">
      <c r="B56" s="2" t="s">
        <v>11</v>
      </c>
      <c r="C56" s="2">
        <v>2022</v>
      </c>
      <c r="D56" s="1">
        <v>195355</v>
      </c>
      <c r="E56" s="11">
        <v>8684875</v>
      </c>
      <c r="F56" s="1">
        <v>160637</v>
      </c>
      <c r="G56" s="11">
        <v>7207407</v>
      </c>
      <c r="H56" s="1">
        <v>10230</v>
      </c>
      <c r="I56" s="11">
        <v>478149</v>
      </c>
      <c r="J56" s="1">
        <v>1333972</v>
      </c>
      <c r="K56" s="11">
        <v>58108032</v>
      </c>
      <c r="L56" s="8">
        <v>12496</v>
      </c>
      <c r="M56" s="11">
        <v>532425</v>
      </c>
      <c r="N56" s="8">
        <v>26115</v>
      </c>
      <c r="O56" s="11">
        <v>1128016</v>
      </c>
      <c r="P56" s="8">
        <v>2</v>
      </c>
      <c r="Q56" s="11">
        <v>122</v>
      </c>
      <c r="R56" s="8">
        <v>94</v>
      </c>
      <c r="S56" s="11">
        <v>4170</v>
      </c>
      <c r="T56" s="53">
        <f t="shared" si="62"/>
        <v>1738901</v>
      </c>
      <c r="U56" s="54">
        <f t="shared" si="42"/>
        <v>76143196</v>
      </c>
      <c r="V56" s="2" t="s">
        <v>58</v>
      </c>
      <c r="AE56" s="2" t="s">
        <v>11</v>
      </c>
      <c r="AF56" s="2">
        <v>2021</v>
      </c>
      <c r="AG56" s="1">
        <f t="shared" si="43"/>
        <v>366222</v>
      </c>
      <c r="AH56" s="11">
        <f t="shared" si="44"/>
        <v>16370431</v>
      </c>
      <c r="AI56" s="1">
        <f t="shared" si="45"/>
        <v>1333972</v>
      </c>
      <c r="AJ56" s="11">
        <f t="shared" si="46"/>
        <v>58108032</v>
      </c>
      <c r="AK56" s="8">
        <f t="shared" si="47"/>
        <v>12496</v>
      </c>
      <c r="AL56" s="11">
        <f t="shared" si="48"/>
        <v>532425</v>
      </c>
      <c r="AM56" s="8">
        <f t="shared" si="49"/>
        <v>26115</v>
      </c>
      <c r="AN56" s="11">
        <f t="shared" si="50"/>
        <v>1128016</v>
      </c>
      <c r="AO56" s="8">
        <f t="shared" si="51"/>
        <v>2</v>
      </c>
      <c r="AP56" s="11">
        <f t="shared" si="52"/>
        <v>122</v>
      </c>
      <c r="AQ56" s="11">
        <f t="shared" si="53"/>
        <v>94</v>
      </c>
      <c r="AR56" s="11">
        <f t="shared" si="54"/>
        <v>4170</v>
      </c>
      <c r="AS56" s="8">
        <f t="shared" si="61"/>
        <v>1738901</v>
      </c>
      <c r="AT56" s="11">
        <f t="shared" si="55"/>
        <v>76143196</v>
      </c>
      <c r="AU56" s="2" t="str">
        <f t="shared" si="56"/>
        <v>SUPERVIA</v>
      </c>
      <c r="AV56" s="37">
        <f t="shared" si="57"/>
        <v>0</v>
      </c>
      <c r="AW56" s="37">
        <f t="shared" si="58"/>
        <v>0</v>
      </c>
    </row>
    <row r="57" spans="2:49" outlineLevel="1" x14ac:dyDescent="0.25">
      <c r="B57" s="2" t="s">
        <v>4</v>
      </c>
      <c r="C57" s="2">
        <v>2022</v>
      </c>
      <c r="D57" s="1">
        <v>235214</v>
      </c>
      <c r="E57" s="11">
        <v>10370597</v>
      </c>
      <c r="F57" s="1">
        <v>199848</v>
      </c>
      <c r="G57" s="11">
        <v>8910835</v>
      </c>
      <c r="H57" s="1">
        <v>9900</v>
      </c>
      <c r="I57" s="11">
        <v>446991</v>
      </c>
      <c r="J57" s="1">
        <v>1694543</v>
      </c>
      <c r="K57" s="11">
        <v>73749926</v>
      </c>
      <c r="L57" s="8">
        <v>15483</v>
      </c>
      <c r="M57" s="11">
        <v>659160</v>
      </c>
      <c r="N57" s="8">
        <v>30227</v>
      </c>
      <c r="O57" s="11">
        <v>1307117</v>
      </c>
      <c r="P57" s="8">
        <v>0</v>
      </c>
      <c r="Q57" s="11">
        <v>0</v>
      </c>
      <c r="R57" s="8">
        <v>205</v>
      </c>
      <c r="S57" s="11">
        <v>8734</v>
      </c>
      <c r="T57" s="53">
        <f t="shared" si="62"/>
        <v>2185420</v>
      </c>
      <c r="U57" s="54">
        <f t="shared" si="42"/>
        <v>95453360</v>
      </c>
      <c r="V57" s="2" t="s">
        <v>58</v>
      </c>
      <c r="AE57" s="2" t="s">
        <v>4</v>
      </c>
      <c r="AF57" s="2">
        <v>2021</v>
      </c>
      <c r="AG57" s="1">
        <f t="shared" si="43"/>
        <v>444962</v>
      </c>
      <c r="AH57" s="11">
        <f t="shared" si="44"/>
        <v>19728423</v>
      </c>
      <c r="AI57" s="1">
        <f t="shared" si="45"/>
        <v>1694543</v>
      </c>
      <c r="AJ57" s="11">
        <f t="shared" si="46"/>
        <v>73749926</v>
      </c>
      <c r="AK57" s="8">
        <f t="shared" si="47"/>
        <v>15483</v>
      </c>
      <c r="AL57" s="11">
        <f t="shared" si="48"/>
        <v>659160</v>
      </c>
      <c r="AM57" s="8">
        <f t="shared" si="49"/>
        <v>30227</v>
      </c>
      <c r="AN57" s="11">
        <f t="shared" si="50"/>
        <v>1307117</v>
      </c>
      <c r="AO57" s="8">
        <f t="shared" si="51"/>
        <v>0</v>
      </c>
      <c r="AP57" s="11">
        <f t="shared" si="52"/>
        <v>0</v>
      </c>
      <c r="AQ57" s="11">
        <f t="shared" si="53"/>
        <v>205</v>
      </c>
      <c r="AR57" s="11">
        <f t="shared" si="54"/>
        <v>8734</v>
      </c>
      <c r="AS57" s="8">
        <f t="shared" si="61"/>
        <v>2185420</v>
      </c>
      <c r="AT57" s="11">
        <f t="shared" si="55"/>
        <v>95453360</v>
      </c>
      <c r="AU57" s="2" t="str">
        <f t="shared" si="56"/>
        <v>SUPERVIA</v>
      </c>
      <c r="AV57" s="37">
        <f t="shared" si="57"/>
        <v>0</v>
      </c>
      <c r="AW57" s="37">
        <f t="shared" si="58"/>
        <v>0</v>
      </c>
    </row>
    <row r="58" spans="2:49" outlineLevel="1" x14ac:dyDescent="0.25">
      <c r="B58" s="2" t="s">
        <v>28</v>
      </c>
      <c r="C58" s="2">
        <v>2022</v>
      </c>
      <c r="D58" s="1">
        <v>241394</v>
      </c>
      <c r="E58" s="11">
        <v>10676873</v>
      </c>
      <c r="F58" s="1">
        <v>198228</v>
      </c>
      <c r="G58" s="11">
        <v>8882444</v>
      </c>
      <c r="H58" s="1">
        <v>9088</v>
      </c>
      <c r="I58" s="11">
        <v>414442</v>
      </c>
      <c r="J58" s="1">
        <v>1708775</v>
      </c>
      <c r="K58" s="11">
        <v>74589608</v>
      </c>
      <c r="L58" s="8">
        <v>14760</v>
      </c>
      <c r="M58" s="11">
        <v>628677</v>
      </c>
      <c r="N58" s="8">
        <v>28486</v>
      </c>
      <c r="O58" s="11">
        <v>1233932</v>
      </c>
      <c r="P58" s="8">
        <v>0</v>
      </c>
      <c r="Q58" s="11">
        <v>0</v>
      </c>
      <c r="R58" s="8">
        <v>375</v>
      </c>
      <c r="S58" s="11">
        <v>19391</v>
      </c>
      <c r="T58" s="53">
        <f t="shared" si="62"/>
        <v>2201106</v>
      </c>
      <c r="U58" s="54">
        <f t="shared" si="42"/>
        <v>96445367</v>
      </c>
      <c r="V58" s="2" t="s">
        <v>58</v>
      </c>
      <c r="AE58" s="2" t="s">
        <v>28</v>
      </c>
      <c r="AF58" s="2">
        <v>2021</v>
      </c>
      <c r="AG58" s="1">
        <f t="shared" si="43"/>
        <v>448710</v>
      </c>
      <c r="AH58" s="11">
        <f t="shared" si="44"/>
        <v>19973759</v>
      </c>
      <c r="AI58" s="1">
        <f t="shared" si="45"/>
        <v>1708775</v>
      </c>
      <c r="AJ58" s="11">
        <f t="shared" si="46"/>
        <v>74589608</v>
      </c>
      <c r="AK58" s="8">
        <f t="shared" si="47"/>
        <v>14760</v>
      </c>
      <c r="AL58" s="11">
        <f t="shared" si="48"/>
        <v>628677</v>
      </c>
      <c r="AM58" s="8">
        <f t="shared" si="49"/>
        <v>28486</v>
      </c>
      <c r="AN58" s="11">
        <f t="shared" si="50"/>
        <v>1233932</v>
      </c>
      <c r="AO58" s="8">
        <f t="shared" si="51"/>
        <v>0</v>
      </c>
      <c r="AP58" s="11">
        <f t="shared" si="52"/>
        <v>0</v>
      </c>
      <c r="AQ58" s="11">
        <f t="shared" si="53"/>
        <v>375</v>
      </c>
      <c r="AR58" s="11">
        <f t="shared" si="54"/>
        <v>19391</v>
      </c>
      <c r="AS58" s="8">
        <f t="shared" si="61"/>
        <v>2201106</v>
      </c>
      <c r="AT58" s="11">
        <f t="shared" si="55"/>
        <v>96445367</v>
      </c>
      <c r="AU58" s="2" t="str">
        <f t="shared" si="56"/>
        <v>SUPERVIA</v>
      </c>
      <c r="AV58" s="37">
        <f t="shared" si="57"/>
        <v>0</v>
      </c>
      <c r="AW58" s="37">
        <f t="shared" si="58"/>
        <v>0</v>
      </c>
    </row>
    <row r="59" spans="2:49" outlineLevel="1" x14ac:dyDescent="0.25">
      <c r="B59" s="2" t="s">
        <v>29</v>
      </c>
      <c r="C59" s="2">
        <v>2022</v>
      </c>
      <c r="D59" s="1">
        <v>261483</v>
      </c>
      <c r="E59" s="11">
        <v>11552044</v>
      </c>
      <c r="F59" s="1">
        <v>226291</v>
      </c>
      <c r="G59" s="11">
        <v>10128875</v>
      </c>
      <c r="H59" s="1">
        <v>8753</v>
      </c>
      <c r="I59" s="11">
        <v>396330</v>
      </c>
      <c r="J59" s="1">
        <v>1891663</v>
      </c>
      <c r="K59" s="11">
        <v>82568335</v>
      </c>
      <c r="L59" s="8">
        <v>16259</v>
      </c>
      <c r="M59" s="11">
        <v>695339</v>
      </c>
      <c r="N59" s="8">
        <v>32214</v>
      </c>
      <c r="O59" s="11">
        <v>1395658</v>
      </c>
      <c r="P59" s="8">
        <v>0</v>
      </c>
      <c r="Q59" s="11">
        <v>0</v>
      </c>
      <c r="R59" s="8">
        <v>860</v>
      </c>
      <c r="S59" s="11">
        <v>45630</v>
      </c>
      <c r="T59" s="53">
        <f>N59+L59+J59+H59+D59+P59+F59+R59</f>
        <v>2437523</v>
      </c>
      <c r="U59" s="54">
        <f t="shared" si="42"/>
        <v>106782211</v>
      </c>
      <c r="V59" s="2" t="s">
        <v>58</v>
      </c>
      <c r="AE59" s="2" t="s">
        <v>29</v>
      </c>
      <c r="AF59" s="2">
        <v>2021</v>
      </c>
      <c r="AG59" s="1">
        <f t="shared" si="43"/>
        <v>496527</v>
      </c>
      <c r="AH59" s="11">
        <f t="shared" si="44"/>
        <v>22077249</v>
      </c>
      <c r="AI59" s="1">
        <f t="shared" si="45"/>
        <v>1891663</v>
      </c>
      <c r="AJ59" s="11">
        <f t="shared" si="46"/>
        <v>82568335</v>
      </c>
      <c r="AK59" s="8">
        <f t="shared" si="47"/>
        <v>16259</v>
      </c>
      <c r="AL59" s="11">
        <f t="shared" si="48"/>
        <v>695339</v>
      </c>
      <c r="AM59" s="8">
        <f t="shared" si="49"/>
        <v>32214</v>
      </c>
      <c r="AN59" s="11">
        <f t="shared" si="50"/>
        <v>1395658</v>
      </c>
      <c r="AO59" s="8">
        <f t="shared" si="51"/>
        <v>0</v>
      </c>
      <c r="AP59" s="11">
        <f t="shared" si="52"/>
        <v>0</v>
      </c>
      <c r="AQ59" s="11">
        <f t="shared" si="53"/>
        <v>860</v>
      </c>
      <c r="AR59" s="11">
        <f t="shared" si="54"/>
        <v>45630</v>
      </c>
      <c r="AS59" s="8">
        <f t="shared" si="61"/>
        <v>2437523</v>
      </c>
      <c r="AT59" s="11">
        <f t="shared" si="55"/>
        <v>106782211</v>
      </c>
      <c r="AU59" s="2" t="str">
        <f t="shared" si="56"/>
        <v>SUPERVIA</v>
      </c>
      <c r="AV59" s="37">
        <f t="shared" si="57"/>
        <v>0</v>
      </c>
      <c r="AW59" s="37">
        <f t="shared" si="58"/>
        <v>0</v>
      </c>
    </row>
    <row r="60" spans="2:49" outlineLevel="1" x14ac:dyDescent="0.25">
      <c r="B60" s="2" t="s">
        <v>30</v>
      </c>
      <c r="C60" s="2">
        <v>2022</v>
      </c>
      <c r="D60" s="1">
        <v>244789</v>
      </c>
      <c r="E60" s="11">
        <v>10817812</v>
      </c>
      <c r="F60" s="1">
        <v>215124</v>
      </c>
      <c r="G60" s="11">
        <v>9631792</v>
      </c>
      <c r="H60" s="1">
        <v>7860</v>
      </c>
      <c r="I60" s="11">
        <v>354091</v>
      </c>
      <c r="J60" s="1">
        <v>1779001</v>
      </c>
      <c r="K60" s="11">
        <v>77687318</v>
      </c>
      <c r="L60" s="8">
        <v>14496</v>
      </c>
      <c r="M60" s="11">
        <v>619807</v>
      </c>
      <c r="N60" s="8">
        <v>30033</v>
      </c>
      <c r="O60" s="11">
        <v>1296827</v>
      </c>
      <c r="P60" s="8">
        <v>0</v>
      </c>
      <c r="Q60" s="11">
        <v>0</v>
      </c>
      <c r="R60" s="8">
        <v>1243</v>
      </c>
      <c r="S60" s="11">
        <v>63948</v>
      </c>
      <c r="T60" s="53">
        <f t="shared" si="62"/>
        <v>2292546</v>
      </c>
      <c r="U60" s="54">
        <f t="shared" si="42"/>
        <v>100471595</v>
      </c>
      <c r="V60" s="2" t="s">
        <v>58</v>
      </c>
      <c r="AE60" s="2" t="s">
        <v>30</v>
      </c>
      <c r="AF60" s="2">
        <v>2021</v>
      </c>
      <c r="AG60" s="1">
        <f t="shared" si="43"/>
        <v>467773</v>
      </c>
      <c r="AH60" s="11">
        <f t="shared" si="44"/>
        <v>20803695</v>
      </c>
      <c r="AI60" s="1">
        <f t="shared" si="45"/>
        <v>1779001</v>
      </c>
      <c r="AJ60" s="11">
        <f t="shared" si="46"/>
        <v>77687318</v>
      </c>
      <c r="AK60" s="8">
        <f t="shared" si="47"/>
        <v>14496</v>
      </c>
      <c r="AL60" s="11">
        <f t="shared" si="48"/>
        <v>619807</v>
      </c>
      <c r="AM60" s="8">
        <f t="shared" si="49"/>
        <v>30033</v>
      </c>
      <c r="AN60" s="11">
        <f t="shared" si="50"/>
        <v>1296827</v>
      </c>
      <c r="AO60" s="8">
        <f t="shared" si="51"/>
        <v>0</v>
      </c>
      <c r="AP60" s="11">
        <f t="shared" si="52"/>
        <v>0</v>
      </c>
      <c r="AQ60" s="11">
        <f t="shared" si="53"/>
        <v>1243</v>
      </c>
      <c r="AR60" s="11">
        <f t="shared" si="54"/>
        <v>63948</v>
      </c>
      <c r="AS60" s="8">
        <f t="shared" si="61"/>
        <v>2292546</v>
      </c>
      <c r="AT60" s="11">
        <f t="shared" si="55"/>
        <v>100471595</v>
      </c>
      <c r="AU60" s="2" t="str">
        <f t="shared" si="56"/>
        <v>SUPERVIA</v>
      </c>
      <c r="AV60" s="37">
        <f t="shared" si="57"/>
        <v>0</v>
      </c>
      <c r="AW60" s="37">
        <f t="shared" si="58"/>
        <v>0</v>
      </c>
    </row>
    <row r="61" spans="2:49" outlineLevel="1" x14ac:dyDescent="0.25">
      <c r="B61" s="2" t="s">
        <v>31</v>
      </c>
      <c r="C61" s="2">
        <v>2022</v>
      </c>
      <c r="D61" s="1">
        <v>231295</v>
      </c>
      <c r="E61" s="11">
        <v>10193579</v>
      </c>
      <c r="F61" s="1">
        <v>202301</v>
      </c>
      <c r="G61" s="11">
        <v>9050680</v>
      </c>
      <c r="H61" s="1">
        <v>7410</v>
      </c>
      <c r="I61" s="11">
        <v>335165</v>
      </c>
      <c r="J61" s="1">
        <v>1643412</v>
      </c>
      <c r="K61" s="11">
        <v>71584829</v>
      </c>
      <c r="L61" s="8">
        <v>12575</v>
      </c>
      <c r="M61" s="11">
        <v>539073</v>
      </c>
      <c r="N61" s="8">
        <v>29286</v>
      </c>
      <c r="O61" s="11">
        <v>1266585</v>
      </c>
      <c r="P61" s="8">
        <v>0</v>
      </c>
      <c r="Q61" s="11">
        <v>0</v>
      </c>
      <c r="R61" s="8">
        <v>1196</v>
      </c>
      <c r="S61" s="11">
        <v>61219</v>
      </c>
      <c r="T61" s="53">
        <f t="shared" si="62"/>
        <v>2127475</v>
      </c>
      <c r="U61" s="54">
        <f t="shared" si="42"/>
        <v>93031130</v>
      </c>
      <c r="V61" s="2" t="s">
        <v>58</v>
      </c>
      <c r="X61" s="13"/>
      <c r="AE61" s="2" t="s">
        <v>31</v>
      </c>
      <c r="AF61" s="2">
        <v>2021</v>
      </c>
      <c r="AG61" s="1">
        <f t="shared" si="43"/>
        <v>441006</v>
      </c>
      <c r="AH61" s="11">
        <f t="shared" si="44"/>
        <v>19579424</v>
      </c>
      <c r="AI61" s="1">
        <f t="shared" si="45"/>
        <v>1643412</v>
      </c>
      <c r="AJ61" s="11">
        <f t="shared" si="46"/>
        <v>71584829</v>
      </c>
      <c r="AK61" s="8">
        <f t="shared" si="47"/>
        <v>12575</v>
      </c>
      <c r="AL61" s="11">
        <f t="shared" si="48"/>
        <v>539073</v>
      </c>
      <c r="AM61" s="8">
        <f t="shared" si="49"/>
        <v>29286</v>
      </c>
      <c r="AN61" s="11">
        <f t="shared" si="50"/>
        <v>1266585</v>
      </c>
      <c r="AO61" s="8">
        <f t="shared" si="51"/>
        <v>0</v>
      </c>
      <c r="AP61" s="11">
        <f t="shared" si="52"/>
        <v>0</v>
      </c>
      <c r="AQ61" s="11">
        <f t="shared" si="53"/>
        <v>1196</v>
      </c>
      <c r="AR61" s="11">
        <f t="shared" si="54"/>
        <v>61219</v>
      </c>
      <c r="AS61" s="8">
        <f t="shared" si="61"/>
        <v>2127475</v>
      </c>
      <c r="AT61" s="11">
        <f t="shared" si="55"/>
        <v>93031130</v>
      </c>
      <c r="AU61" s="2" t="str">
        <f t="shared" si="56"/>
        <v>SUPERVIA</v>
      </c>
      <c r="AV61" s="37">
        <f>+AS61-T61</f>
        <v>0</v>
      </c>
      <c r="AW61" s="37">
        <f t="shared" si="58"/>
        <v>0</v>
      </c>
    </row>
    <row r="62" spans="2:49" outlineLevel="1" x14ac:dyDescent="0.25">
      <c r="AH62" s="9"/>
      <c r="AJ62" s="9"/>
      <c r="AL62" s="9"/>
      <c r="AN62" s="9"/>
      <c r="AO62" s="9"/>
      <c r="AP62" s="9"/>
      <c r="AQ62" s="9"/>
      <c r="AR62" s="9"/>
      <c r="AT62" s="9"/>
    </row>
    <row r="63" spans="2:49" outlineLevel="1" x14ac:dyDescent="0.25">
      <c r="B63" s="3" t="s">
        <v>12</v>
      </c>
      <c r="C63" s="3"/>
      <c r="D63" s="4">
        <f t="shared" ref="D63:O63" si="63">SUM(D50:D62)</f>
        <v>2675134</v>
      </c>
      <c r="E63" s="12">
        <f t="shared" si="63"/>
        <v>117823552</v>
      </c>
      <c r="F63" s="4">
        <f t="shared" si="63"/>
        <v>2307570</v>
      </c>
      <c r="G63" s="12">
        <f t="shared" si="63"/>
        <v>102633093</v>
      </c>
      <c r="H63" s="4">
        <f t="shared" si="63"/>
        <v>117340</v>
      </c>
      <c r="I63" s="12">
        <f t="shared" si="63"/>
        <v>5324962</v>
      </c>
      <c r="J63" s="4">
        <f t="shared" si="63"/>
        <v>18940935</v>
      </c>
      <c r="K63" s="12">
        <f t="shared" si="63"/>
        <v>821068529</v>
      </c>
      <c r="L63" s="4">
        <f t="shared" si="63"/>
        <v>179138</v>
      </c>
      <c r="M63" s="12">
        <f>SUM(M50:M62)</f>
        <v>7598290</v>
      </c>
      <c r="N63" s="4">
        <f t="shared" si="63"/>
        <v>342879</v>
      </c>
      <c r="O63" s="12">
        <f t="shared" si="63"/>
        <v>14718949</v>
      </c>
      <c r="P63" s="4">
        <f>SUM(P50:P62)</f>
        <v>7</v>
      </c>
      <c r="Q63" s="12">
        <f>SUM(Q50:Q62)</f>
        <v>376</v>
      </c>
      <c r="R63" s="4">
        <f>SUM(R50:R62)</f>
        <v>4121</v>
      </c>
      <c r="S63" s="12">
        <f>SUM(S50:S62)</f>
        <v>209429</v>
      </c>
      <c r="T63" s="4">
        <f t="shared" ref="T63:U63" si="64">SUM(T50:T62)</f>
        <v>24567124</v>
      </c>
      <c r="U63" s="12">
        <f t="shared" si="64"/>
        <v>1069377180</v>
      </c>
      <c r="AE63" s="3" t="s">
        <v>12</v>
      </c>
      <c r="AF63" s="3"/>
      <c r="AG63" s="4">
        <f t="shared" ref="AG63:AT63" si="65">SUM(AG50:AG62)</f>
        <v>5100044</v>
      </c>
      <c r="AH63" s="12">
        <f t="shared" si="65"/>
        <v>225781607</v>
      </c>
      <c r="AI63" s="4">
        <f t="shared" si="65"/>
        <v>18940935</v>
      </c>
      <c r="AJ63" s="12">
        <f t="shared" si="65"/>
        <v>821068529</v>
      </c>
      <c r="AK63" s="4">
        <f t="shared" si="65"/>
        <v>179138</v>
      </c>
      <c r="AL63" s="12">
        <f t="shared" si="65"/>
        <v>7598290</v>
      </c>
      <c r="AM63" s="4">
        <f t="shared" si="65"/>
        <v>342879</v>
      </c>
      <c r="AN63" s="12">
        <f t="shared" si="65"/>
        <v>14718949</v>
      </c>
      <c r="AO63" s="4">
        <f t="shared" si="65"/>
        <v>7</v>
      </c>
      <c r="AP63" s="12">
        <f t="shared" si="65"/>
        <v>376</v>
      </c>
      <c r="AQ63" s="4">
        <f t="shared" si="65"/>
        <v>4121</v>
      </c>
      <c r="AR63" s="12">
        <f t="shared" si="65"/>
        <v>209429</v>
      </c>
      <c r="AS63" s="4">
        <f t="shared" si="65"/>
        <v>24567124</v>
      </c>
      <c r="AT63" s="12">
        <f t="shared" si="65"/>
        <v>1069377180</v>
      </c>
    </row>
    <row r="64" spans="2:49" outlineLevel="1" x14ac:dyDescent="0.25">
      <c r="J64" s="46" t="str">
        <f>+$B$45</f>
        <v>Aforo e Ingreso - SUPERVIA</v>
      </c>
      <c r="K64" s="9" t="s">
        <v>84</v>
      </c>
      <c r="L64" s="15">
        <f>AVERAGE(L50:L61)</f>
        <v>14928.166666666666</v>
      </c>
      <c r="M64" s="60">
        <f>AVERAGE(M50:M61)</f>
        <v>633190.83333333337</v>
      </c>
      <c r="T64" s="15">
        <f>AVERAGE(T50:T61)</f>
        <v>2047260.3333333333</v>
      </c>
      <c r="U64" s="28">
        <f>AVERAGE(U50:U61)</f>
        <v>89114765</v>
      </c>
    </row>
    <row r="65" spans="1:49" outlineLevel="1" x14ac:dyDescent="0.25">
      <c r="B65" s="5" t="s">
        <v>14</v>
      </c>
      <c r="J65" s="46" t="str">
        <f>+$B$45</f>
        <v>Aforo e Ingreso - SUPERVIA</v>
      </c>
      <c r="K65" s="9" t="s">
        <v>85</v>
      </c>
      <c r="L65" s="26">
        <f>+L64/$L$316</f>
        <v>7.1820502067558689E-2</v>
      </c>
      <c r="M65" s="36">
        <f>+M64/$M$316</f>
        <v>2.1254530464810795E-2</v>
      </c>
      <c r="N65" s="18"/>
      <c r="O65" s="19"/>
      <c r="P65" s="19"/>
      <c r="Q65" s="19"/>
      <c r="R65" s="19"/>
      <c r="S65" s="19"/>
      <c r="T65" s="36">
        <f>+L64/T64</f>
        <v>7.2917774176578425E-3</v>
      </c>
      <c r="U65" s="62">
        <f>+M64/U64</f>
        <v>7.1053414474395275E-3</v>
      </c>
    </row>
    <row r="66" spans="1:49" outlineLevel="1" x14ac:dyDescent="0.25">
      <c r="B66" s="5" t="s">
        <v>22</v>
      </c>
      <c r="L66" s="26"/>
      <c r="M66" s="26"/>
    </row>
    <row r="67" spans="1:49" outlineLevel="1" x14ac:dyDescent="0.25">
      <c r="B67" s="5"/>
    </row>
    <row r="68" spans="1:49" outlineLevel="1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87</v>
      </c>
      <c r="S68" s="93"/>
      <c r="T68" s="89" t="s">
        <v>12</v>
      </c>
      <c r="U68" s="93"/>
      <c r="AG68" s="89" t="s">
        <v>69</v>
      </c>
      <c r="AH68" s="90"/>
      <c r="AI68" s="89" t="s">
        <v>17</v>
      </c>
      <c r="AJ68" s="93"/>
      <c r="AK68" s="89" t="s">
        <v>18</v>
      </c>
      <c r="AL68" s="93"/>
      <c r="AM68" s="89" t="s">
        <v>13</v>
      </c>
      <c r="AN68" s="93"/>
      <c r="AO68" s="89" t="s">
        <v>34</v>
      </c>
      <c r="AP68" s="93"/>
      <c r="AQ68" s="89" t="s">
        <v>87</v>
      </c>
      <c r="AR68" s="93"/>
      <c r="AS68" s="89" t="s">
        <v>12</v>
      </c>
      <c r="AT68" s="93"/>
    </row>
    <row r="69" spans="1:49" outlineLevel="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Z69" s="33">
        <v>2021</v>
      </c>
      <c r="AA69" s="34">
        <v>0.60381181018303132</v>
      </c>
      <c r="AB69" s="33">
        <f>+Z69</f>
        <v>2021</v>
      </c>
      <c r="AC69" s="35">
        <v>6.8858394255157792E-3</v>
      </c>
      <c r="AE69" s="7" t="s">
        <v>0</v>
      </c>
      <c r="AF69" s="7" t="s">
        <v>1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</row>
    <row r="70" spans="1:49" outlineLevel="1" x14ac:dyDescent="0.25">
      <c r="AH70" s="9"/>
      <c r="AJ70" s="9"/>
      <c r="AL70" s="9"/>
      <c r="AN70" s="9"/>
      <c r="AO70" s="9"/>
      <c r="AP70" s="9"/>
      <c r="AQ70" s="9"/>
      <c r="AR70" s="9"/>
      <c r="AT70" s="9"/>
    </row>
    <row r="71" spans="1:49" outlineLevel="1" x14ac:dyDescent="0.25">
      <c r="B71" s="2" t="s">
        <v>5</v>
      </c>
      <c r="C71" s="2">
        <v>2022</v>
      </c>
      <c r="D71" s="1">
        <v>346947</v>
      </c>
      <c r="E71" s="11">
        <v>20736241</v>
      </c>
      <c r="F71" s="1">
        <v>173098</v>
      </c>
      <c r="G71" s="11">
        <v>10282575</v>
      </c>
      <c r="H71" s="1">
        <v>43311</v>
      </c>
      <c r="I71" s="11">
        <v>3553083</v>
      </c>
      <c r="J71" s="1">
        <v>2023309</v>
      </c>
      <c r="K71" s="11">
        <v>222810535</v>
      </c>
      <c r="L71" s="8">
        <v>102939</v>
      </c>
      <c r="M71" s="11">
        <v>15848629</v>
      </c>
      <c r="N71" s="8">
        <v>80149</v>
      </c>
      <c r="O71" s="11">
        <v>9907220</v>
      </c>
      <c r="P71" s="8">
        <v>0</v>
      </c>
      <c r="Q71" s="11">
        <v>0</v>
      </c>
      <c r="R71" s="8"/>
      <c r="S71" s="11"/>
      <c r="T71" s="53">
        <f>N71+L71+J71+H71+D71+P71+F71+R71</f>
        <v>2769753</v>
      </c>
      <c r="U71" s="54">
        <f t="shared" ref="U71:U82" si="66">O71+M71+K71+I71+E71+Q71+G71+S71</f>
        <v>283138283</v>
      </c>
      <c r="V71" s="2" t="s">
        <v>59</v>
      </c>
      <c r="Z71" s="30"/>
      <c r="AA71" s="30">
        <f>+Z71/J71</f>
        <v>0</v>
      </c>
      <c r="AB71" s="31"/>
      <c r="AC71" s="32">
        <f>+AB71/K71</f>
        <v>0</v>
      </c>
      <c r="AE71" s="2" t="s">
        <v>5</v>
      </c>
      <c r="AF71" s="2">
        <v>2021</v>
      </c>
      <c r="AG71" s="1">
        <f t="shared" ref="AG71:AG82" si="67">D71+H71+F71</f>
        <v>563356</v>
      </c>
      <c r="AH71" s="11">
        <f t="shared" ref="AH71:AH82" si="68">E71+I71+G71</f>
        <v>34571899</v>
      </c>
      <c r="AI71" s="1">
        <f t="shared" ref="AI71:AI82" si="69">+J71</f>
        <v>2023309</v>
      </c>
      <c r="AJ71" s="11">
        <f t="shared" ref="AJ71:AJ82" si="70">+K71</f>
        <v>222810535</v>
      </c>
      <c r="AK71" s="8">
        <f t="shared" ref="AK71:AK82" si="71">+L71</f>
        <v>102939</v>
      </c>
      <c r="AL71" s="11">
        <f t="shared" ref="AL71:AL82" si="72">+M71</f>
        <v>15848629</v>
      </c>
      <c r="AM71" s="8">
        <f t="shared" ref="AM71:AM82" si="73">+N71</f>
        <v>80149</v>
      </c>
      <c r="AN71" s="11">
        <f t="shared" ref="AN71:AN82" si="74">+O71</f>
        <v>9907220</v>
      </c>
      <c r="AO71" s="8">
        <f t="shared" ref="AO71:AO82" si="75">+P71</f>
        <v>0</v>
      </c>
      <c r="AP71" s="11">
        <f t="shared" ref="AP71:AP82" si="76">+Q71</f>
        <v>0</v>
      </c>
      <c r="AQ71" s="11">
        <f t="shared" ref="AQ71:AQ82" si="77">+R71</f>
        <v>0</v>
      </c>
      <c r="AR71" s="11">
        <f t="shared" ref="AR71:AR82" si="78">+S71</f>
        <v>0</v>
      </c>
      <c r="AS71" s="8">
        <f>AO71+AM71+AK71+AI71+AG71+AQ71</f>
        <v>2769753</v>
      </c>
      <c r="AT71" s="11">
        <f t="shared" ref="AT71:AT82" si="79">AP71+AN71+AL71+AJ71+AH71+AR71</f>
        <v>283138283</v>
      </c>
      <c r="AU71" s="2" t="str">
        <f t="shared" ref="AU71:AU82" si="80">+V71</f>
        <v>CONMEX</v>
      </c>
      <c r="AV71" s="37">
        <f t="shared" ref="AV71:AV82" si="81">+AS71-T71</f>
        <v>0</v>
      </c>
      <c r="AW71" s="37">
        <f t="shared" ref="AW71:AW82" si="82">+AT71-U71</f>
        <v>0</v>
      </c>
    </row>
    <row r="72" spans="1:49" outlineLevel="1" x14ac:dyDescent="0.25">
      <c r="B72" s="2" t="s">
        <v>6</v>
      </c>
      <c r="C72" s="2">
        <v>2022</v>
      </c>
      <c r="D72" s="1">
        <v>345360</v>
      </c>
      <c r="E72" s="11">
        <v>21955055</v>
      </c>
      <c r="F72" s="1">
        <v>177822</v>
      </c>
      <c r="G72" s="11">
        <v>11514326</v>
      </c>
      <c r="H72" s="1">
        <v>38612</v>
      </c>
      <c r="I72" s="11">
        <v>3516095</v>
      </c>
      <c r="J72" s="1">
        <v>1922208</v>
      </c>
      <c r="K72" s="11">
        <v>231082485</v>
      </c>
      <c r="L72" s="8">
        <v>86267</v>
      </c>
      <c r="M72" s="11">
        <v>14616130</v>
      </c>
      <c r="N72" s="8">
        <v>79122</v>
      </c>
      <c r="O72" s="11">
        <v>10875832</v>
      </c>
      <c r="P72" s="8">
        <v>11</v>
      </c>
      <c r="Q72" s="11">
        <v>945</v>
      </c>
      <c r="R72" s="8"/>
      <c r="S72" s="11"/>
      <c r="T72" s="53">
        <f t="shared" ref="T72:T82" si="83">N72+L72+J72+H72+D72+P72+F72+R72</f>
        <v>2649402</v>
      </c>
      <c r="U72" s="54">
        <f t="shared" si="66"/>
        <v>293560868</v>
      </c>
      <c r="V72" s="2" t="s">
        <v>59</v>
      </c>
      <c r="Z72" s="30"/>
      <c r="AA72" s="30">
        <f t="shared" ref="AA72:AA82" si="84">+Z72/J72</f>
        <v>0</v>
      </c>
      <c r="AB72" s="31"/>
      <c r="AC72" s="32">
        <f t="shared" ref="AC72:AC82" si="85">+AB72/K72</f>
        <v>0</v>
      </c>
      <c r="AE72" s="2" t="s">
        <v>6</v>
      </c>
      <c r="AF72" s="2">
        <v>2021</v>
      </c>
      <c r="AG72" s="1">
        <f t="shared" si="67"/>
        <v>561794</v>
      </c>
      <c r="AH72" s="11">
        <f t="shared" si="68"/>
        <v>36985476</v>
      </c>
      <c r="AI72" s="1">
        <f t="shared" si="69"/>
        <v>1922208</v>
      </c>
      <c r="AJ72" s="11">
        <f t="shared" si="70"/>
        <v>231082485</v>
      </c>
      <c r="AK72" s="8">
        <f t="shared" si="71"/>
        <v>86267</v>
      </c>
      <c r="AL72" s="11">
        <f t="shared" si="72"/>
        <v>14616130</v>
      </c>
      <c r="AM72" s="8">
        <f t="shared" si="73"/>
        <v>79122</v>
      </c>
      <c r="AN72" s="11">
        <f t="shared" si="74"/>
        <v>10875832</v>
      </c>
      <c r="AO72" s="8">
        <f t="shared" si="75"/>
        <v>11</v>
      </c>
      <c r="AP72" s="11">
        <f t="shared" si="76"/>
        <v>945</v>
      </c>
      <c r="AQ72" s="11">
        <f t="shared" si="77"/>
        <v>0</v>
      </c>
      <c r="AR72" s="11">
        <f t="shared" si="78"/>
        <v>0</v>
      </c>
      <c r="AS72" s="8">
        <f t="shared" ref="AS72:AS82" si="86">AO72+AM72+AK72+AI72+AG72+AQ72</f>
        <v>2649402</v>
      </c>
      <c r="AT72" s="11">
        <f t="shared" si="79"/>
        <v>293560868</v>
      </c>
      <c r="AU72" s="2" t="str">
        <f t="shared" si="80"/>
        <v>CONMEX</v>
      </c>
      <c r="AV72" s="37">
        <f t="shared" si="81"/>
        <v>0</v>
      </c>
      <c r="AW72" s="37">
        <f t="shared" si="82"/>
        <v>0</v>
      </c>
    </row>
    <row r="73" spans="1:49" outlineLevel="1" x14ac:dyDescent="0.25">
      <c r="B73" s="2" t="s">
        <v>7</v>
      </c>
      <c r="C73" s="2">
        <v>2022</v>
      </c>
      <c r="D73" s="1">
        <v>403900</v>
      </c>
      <c r="E73" s="11">
        <v>27540428</v>
      </c>
      <c r="F73" s="1">
        <v>227642</v>
      </c>
      <c r="G73" s="11">
        <v>15604113</v>
      </c>
      <c r="H73" s="1">
        <v>44559</v>
      </c>
      <c r="I73" s="11">
        <v>4622542</v>
      </c>
      <c r="J73" s="1">
        <v>2317907</v>
      </c>
      <c r="K73" s="11">
        <v>305275080</v>
      </c>
      <c r="L73" s="8">
        <v>107521</v>
      </c>
      <c r="M73" s="11">
        <v>20461991</v>
      </c>
      <c r="N73" s="8">
        <v>95433</v>
      </c>
      <c r="O73" s="11">
        <v>14592214</v>
      </c>
      <c r="P73" s="8">
        <v>10</v>
      </c>
      <c r="Q73" s="11">
        <v>1790</v>
      </c>
      <c r="R73" s="8">
        <v>5</v>
      </c>
      <c r="S73" s="11">
        <v>163</v>
      </c>
      <c r="T73" s="53">
        <f t="shared" ref="T73" si="87">N73+L73+J73+H73+D73+P73+F73+R73</f>
        <v>3196977</v>
      </c>
      <c r="U73" s="54">
        <f t="shared" ref="U73" si="88">O73+M73+K73+I73+E73+Q73+G73+S73</f>
        <v>388098321</v>
      </c>
      <c r="V73" s="2" t="s">
        <v>59</v>
      </c>
      <c r="Z73" s="30"/>
      <c r="AA73" s="30">
        <f t="shared" si="84"/>
        <v>0</v>
      </c>
      <c r="AB73" s="31"/>
      <c r="AC73" s="32">
        <f t="shared" si="85"/>
        <v>0</v>
      </c>
      <c r="AD73" s="13"/>
      <c r="AE73" s="2" t="s">
        <v>7</v>
      </c>
      <c r="AF73" s="2">
        <v>2021</v>
      </c>
      <c r="AG73" s="1">
        <f t="shared" si="67"/>
        <v>676101</v>
      </c>
      <c r="AH73" s="11">
        <f t="shared" si="68"/>
        <v>47767083</v>
      </c>
      <c r="AI73" s="1">
        <f t="shared" si="69"/>
        <v>2317907</v>
      </c>
      <c r="AJ73" s="11">
        <f t="shared" si="70"/>
        <v>305275080</v>
      </c>
      <c r="AK73" s="8">
        <f t="shared" si="71"/>
        <v>107521</v>
      </c>
      <c r="AL73" s="11">
        <f t="shared" si="72"/>
        <v>20461991</v>
      </c>
      <c r="AM73" s="8">
        <f t="shared" si="73"/>
        <v>95433</v>
      </c>
      <c r="AN73" s="11">
        <f t="shared" si="74"/>
        <v>14592214</v>
      </c>
      <c r="AO73" s="8">
        <f t="shared" si="75"/>
        <v>10</v>
      </c>
      <c r="AP73" s="11">
        <f t="shared" si="76"/>
        <v>1790</v>
      </c>
      <c r="AQ73" s="11">
        <f t="shared" si="77"/>
        <v>5</v>
      </c>
      <c r="AR73" s="11">
        <f t="shared" si="78"/>
        <v>163</v>
      </c>
      <c r="AS73" s="8">
        <f t="shared" si="86"/>
        <v>3196977</v>
      </c>
      <c r="AT73" s="11">
        <f t="shared" si="79"/>
        <v>388098321</v>
      </c>
      <c r="AU73" s="2" t="str">
        <f t="shared" si="80"/>
        <v>CONMEX</v>
      </c>
      <c r="AV73" s="37">
        <f t="shared" si="81"/>
        <v>0</v>
      </c>
      <c r="AW73" s="37">
        <f t="shared" si="82"/>
        <v>0</v>
      </c>
    </row>
    <row r="74" spans="1:49" outlineLevel="1" x14ac:dyDescent="0.25">
      <c r="B74" s="2" t="s">
        <v>8</v>
      </c>
      <c r="C74" s="2">
        <v>2022</v>
      </c>
      <c r="D74" s="1">
        <v>371927</v>
      </c>
      <c r="E74" s="11">
        <v>25448880</v>
      </c>
      <c r="F74" s="1">
        <v>215896</v>
      </c>
      <c r="G74" s="11">
        <v>15039919</v>
      </c>
      <c r="H74" s="1">
        <v>44864</v>
      </c>
      <c r="I74" s="11">
        <v>5059638</v>
      </c>
      <c r="J74" s="1">
        <v>2200720</v>
      </c>
      <c r="K74" s="11">
        <v>287076050</v>
      </c>
      <c r="L74" s="8">
        <v>105058</v>
      </c>
      <c r="M74" s="11">
        <v>20503772</v>
      </c>
      <c r="N74" s="8">
        <v>86433</v>
      </c>
      <c r="O74" s="11">
        <v>13294145</v>
      </c>
      <c r="P74" s="8">
        <v>8</v>
      </c>
      <c r="Q74" s="11">
        <v>1922</v>
      </c>
      <c r="R74" s="8">
        <v>8</v>
      </c>
      <c r="S74" s="11">
        <v>656</v>
      </c>
      <c r="T74" s="53">
        <f t="shared" si="83"/>
        <v>3024914</v>
      </c>
      <c r="U74" s="54">
        <f t="shared" si="66"/>
        <v>366424982</v>
      </c>
      <c r="V74" s="2" t="s">
        <v>59</v>
      </c>
      <c r="Z74" s="30"/>
      <c r="AA74" s="30">
        <f t="shared" si="84"/>
        <v>0</v>
      </c>
      <c r="AB74" s="31"/>
      <c r="AC74" s="32">
        <f t="shared" si="85"/>
        <v>0</v>
      </c>
      <c r="AD74" s="13"/>
      <c r="AE74" s="2" t="s">
        <v>8</v>
      </c>
      <c r="AF74" s="2">
        <v>2021</v>
      </c>
      <c r="AG74" s="1">
        <f t="shared" si="67"/>
        <v>632687</v>
      </c>
      <c r="AH74" s="11">
        <f t="shared" si="68"/>
        <v>45548437</v>
      </c>
      <c r="AI74" s="1">
        <f t="shared" si="69"/>
        <v>2200720</v>
      </c>
      <c r="AJ74" s="11">
        <f t="shared" si="70"/>
        <v>287076050</v>
      </c>
      <c r="AK74" s="8">
        <f t="shared" si="71"/>
        <v>105058</v>
      </c>
      <c r="AL74" s="11">
        <f t="shared" si="72"/>
        <v>20503772</v>
      </c>
      <c r="AM74" s="8">
        <f t="shared" si="73"/>
        <v>86433</v>
      </c>
      <c r="AN74" s="11">
        <f t="shared" si="74"/>
        <v>13294145</v>
      </c>
      <c r="AO74" s="8">
        <f t="shared" si="75"/>
        <v>8</v>
      </c>
      <c r="AP74" s="11">
        <f t="shared" si="76"/>
        <v>1922</v>
      </c>
      <c r="AQ74" s="11">
        <f t="shared" si="77"/>
        <v>8</v>
      </c>
      <c r="AR74" s="11">
        <f t="shared" si="78"/>
        <v>656</v>
      </c>
      <c r="AS74" s="8">
        <f t="shared" si="86"/>
        <v>3024914</v>
      </c>
      <c r="AT74" s="11">
        <f t="shared" si="79"/>
        <v>366424982</v>
      </c>
      <c r="AU74" s="2" t="str">
        <f t="shared" si="80"/>
        <v>CONMEX</v>
      </c>
      <c r="AV74" s="37">
        <f t="shared" si="81"/>
        <v>0</v>
      </c>
      <c r="AW74" s="37">
        <f t="shared" si="82"/>
        <v>0</v>
      </c>
    </row>
    <row r="75" spans="1:49" outlineLevel="1" x14ac:dyDescent="0.25">
      <c r="B75" s="2" t="s">
        <v>9</v>
      </c>
      <c r="C75" s="2">
        <v>2022</v>
      </c>
      <c r="D75" s="1">
        <v>404003</v>
      </c>
      <c r="E75" s="11">
        <v>27253991</v>
      </c>
      <c r="F75" s="1">
        <v>236675</v>
      </c>
      <c r="G75" s="11">
        <v>16550743</v>
      </c>
      <c r="H75" s="1">
        <v>46767</v>
      </c>
      <c r="I75" s="11">
        <v>5625136</v>
      </c>
      <c r="J75" s="1">
        <v>2361343</v>
      </c>
      <c r="K75" s="11">
        <v>306804873</v>
      </c>
      <c r="L75" s="8">
        <v>111206</v>
      </c>
      <c r="M75" s="11">
        <v>21739218</v>
      </c>
      <c r="N75" s="8">
        <v>94107</v>
      </c>
      <c r="O75" s="11">
        <v>14182204.640000001</v>
      </c>
      <c r="P75" s="8">
        <v>6</v>
      </c>
      <c r="Q75" s="11">
        <v>1023</v>
      </c>
      <c r="R75" s="8">
        <v>30</v>
      </c>
      <c r="S75" s="11">
        <v>1901</v>
      </c>
      <c r="T75" s="53">
        <f t="shared" si="83"/>
        <v>3254137</v>
      </c>
      <c r="U75" s="54">
        <f t="shared" si="66"/>
        <v>392159089.63999999</v>
      </c>
      <c r="V75" s="2" t="s">
        <v>59</v>
      </c>
      <c r="Z75" s="30"/>
      <c r="AA75" s="30">
        <f t="shared" si="84"/>
        <v>0</v>
      </c>
      <c r="AB75" s="31"/>
      <c r="AC75" s="32">
        <f t="shared" si="85"/>
        <v>0</v>
      </c>
      <c r="AD75" s="13"/>
      <c r="AE75" s="2" t="s">
        <v>9</v>
      </c>
      <c r="AF75" s="2">
        <v>2021</v>
      </c>
      <c r="AG75" s="1">
        <f t="shared" si="67"/>
        <v>687445</v>
      </c>
      <c r="AH75" s="11">
        <f t="shared" si="68"/>
        <v>49429870</v>
      </c>
      <c r="AI75" s="1">
        <f t="shared" si="69"/>
        <v>2361343</v>
      </c>
      <c r="AJ75" s="11">
        <f t="shared" si="70"/>
        <v>306804873</v>
      </c>
      <c r="AK75" s="8">
        <f t="shared" si="71"/>
        <v>111206</v>
      </c>
      <c r="AL75" s="11">
        <f t="shared" si="72"/>
        <v>21739218</v>
      </c>
      <c r="AM75" s="8">
        <f t="shared" si="73"/>
        <v>94107</v>
      </c>
      <c r="AN75" s="11">
        <f t="shared" si="74"/>
        <v>14182204.640000001</v>
      </c>
      <c r="AO75" s="8">
        <f t="shared" si="75"/>
        <v>6</v>
      </c>
      <c r="AP75" s="11">
        <f t="shared" si="76"/>
        <v>1023</v>
      </c>
      <c r="AQ75" s="11">
        <f t="shared" si="77"/>
        <v>30</v>
      </c>
      <c r="AR75" s="11">
        <f t="shared" si="78"/>
        <v>1901</v>
      </c>
      <c r="AS75" s="8">
        <f t="shared" si="86"/>
        <v>3254137</v>
      </c>
      <c r="AT75" s="11">
        <f t="shared" si="79"/>
        <v>392159089.63999999</v>
      </c>
      <c r="AU75" s="2" t="str">
        <f t="shared" si="80"/>
        <v>CONMEX</v>
      </c>
      <c r="AV75" s="37">
        <f t="shared" si="81"/>
        <v>0</v>
      </c>
      <c r="AW75" s="37">
        <f t="shared" si="82"/>
        <v>0</v>
      </c>
    </row>
    <row r="76" spans="1:49" outlineLevel="1" x14ac:dyDescent="0.25">
      <c r="B76" s="2" t="s">
        <v>10</v>
      </c>
      <c r="C76" s="2">
        <v>2022</v>
      </c>
      <c r="D76" s="1">
        <v>407136</v>
      </c>
      <c r="E76" s="11">
        <v>27945285</v>
      </c>
      <c r="F76" s="1">
        <v>221278</v>
      </c>
      <c r="G76" s="11">
        <v>15833727</v>
      </c>
      <c r="H76" s="1">
        <v>47690</v>
      </c>
      <c r="I76" s="11">
        <v>5915562</v>
      </c>
      <c r="J76" s="1">
        <v>2316655</v>
      </c>
      <c r="K76" s="11">
        <v>303365283</v>
      </c>
      <c r="L76" s="8">
        <v>103826</v>
      </c>
      <c r="M76" s="11">
        <v>20416858</v>
      </c>
      <c r="N76" s="8">
        <v>96026</v>
      </c>
      <c r="O76" s="11">
        <v>14555911</v>
      </c>
      <c r="P76" s="8">
        <v>6</v>
      </c>
      <c r="Q76" s="11">
        <v>854</v>
      </c>
      <c r="R76" s="8">
        <v>102</v>
      </c>
      <c r="S76" s="11">
        <v>5348</v>
      </c>
      <c r="T76" s="53">
        <f t="shared" si="83"/>
        <v>3192719</v>
      </c>
      <c r="U76" s="54">
        <f t="shared" si="66"/>
        <v>388038828</v>
      </c>
      <c r="V76" s="2" t="s">
        <v>59</v>
      </c>
      <c r="Z76" s="30"/>
      <c r="AA76" s="30">
        <f t="shared" si="84"/>
        <v>0</v>
      </c>
      <c r="AB76" s="31"/>
      <c r="AC76" s="32">
        <f t="shared" si="85"/>
        <v>0</v>
      </c>
      <c r="AE76" s="2" t="s">
        <v>10</v>
      </c>
      <c r="AF76" s="2">
        <v>2021</v>
      </c>
      <c r="AG76" s="1">
        <f t="shared" si="67"/>
        <v>676104</v>
      </c>
      <c r="AH76" s="11">
        <f t="shared" si="68"/>
        <v>49694574</v>
      </c>
      <c r="AI76" s="1">
        <f t="shared" si="69"/>
        <v>2316655</v>
      </c>
      <c r="AJ76" s="11">
        <f t="shared" si="70"/>
        <v>303365283</v>
      </c>
      <c r="AK76" s="8">
        <f t="shared" si="71"/>
        <v>103826</v>
      </c>
      <c r="AL76" s="11">
        <f t="shared" si="72"/>
        <v>20416858</v>
      </c>
      <c r="AM76" s="8">
        <f t="shared" si="73"/>
        <v>96026</v>
      </c>
      <c r="AN76" s="11">
        <f t="shared" si="74"/>
        <v>14555911</v>
      </c>
      <c r="AO76" s="8">
        <f t="shared" si="75"/>
        <v>6</v>
      </c>
      <c r="AP76" s="11">
        <f t="shared" si="76"/>
        <v>854</v>
      </c>
      <c r="AQ76" s="11">
        <f t="shared" si="77"/>
        <v>102</v>
      </c>
      <c r="AR76" s="11">
        <f t="shared" si="78"/>
        <v>5348</v>
      </c>
      <c r="AS76" s="8">
        <f t="shared" si="86"/>
        <v>3192719</v>
      </c>
      <c r="AT76" s="11">
        <f t="shared" si="79"/>
        <v>388038828</v>
      </c>
      <c r="AU76" s="2" t="str">
        <f t="shared" si="80"/>
        <v>CONMEX</v>
      </c>
      <c r="AV76" s="37">
        <f t="shared" si="81"/>
        <v>0</v>
      </c>
      <c r="AW76" s="37">
        <f t="shared" si="82"/>
        <v>0</v>
      </c>
    </row>
    <row r="77" spans="1:49" outlineLevel="1" x14ac:dyDescent="0.25">
      <c r="B77" s="2" t="s">
        <v>11</v>
      </c>
      <c r="C77" s="2">
        <v>2022</v>
      </c>
      <c r="D77" s="1">
        <v>407609</v>
      </c>
      <c r="E77" s="11">
        <v>28041959</v>
      </c>
      <c r="F77" s="1">
        <v>222171</v>
      </c>
      <c r="G77" s="11">
        <v>15774001</v>
      </c>
      <c r="H77" s="1">
        <v>50467</v>
      </c>
      <c r="I77" s="11">
        <v>6341823</v>
      </c>
      <c r="J77" s="1">
        <v>2314909</v>
      </c>
      <c r="K77" s="11">
        <v>302199672</v>
      </c>
      <c r="L77" s="8">
        <v>100565</v>
      </c>
      <c r="M77" s="11">
        <v>19889176</v>
      </c>
      <c r="N77" s="8">
        <v>95645</v>
      </c>
      <c r="O77" s="11">
        <v>14562677</v>
      </c>
      <c r="P77" s="8">
        <v>6</v>
      </c>
      <c r="Q77" s="11">
        <v>1034</v>
      </c>
      <c r="R77" s="8">
        <v>601</v>
      </c>
      <c r="S77" s="11">
        <v>32159</v>
      </c>
      <c r="T77" s="53">
        <f t="shared" si="83"/>
        <v>3191973</v>
      </c>
      <c r="U77" s="54">
        <f t="shared" si="66"/>
        <v>386842501</v>
      </c>
      <c r="V77" s="2" t="s">
        <v>59</v>
      </c>
      <c r="Z77" s="30"/>
      <c r="AA77" s="30">
        <f t="shared" si="84"/>
        <v>0</v>
      </c>
      <c r="AB77" s="31"/>
      <c r="AC77" s="32">
        <f t="shared" si="85"/>
        <v>0</v>
      </c>
      <c r="AE77" s="2" t="s">
        <v>11</v>
      </c>
      <c r="AF77" s="2">
        <v>2021</v>
      </c>
      <c r="AG77" s="1">
        <f t="shared" si="67"/>
        <v>680247</v>
      </c>
      <c r="AH77" s="11">
        <f t="shared" si="68"/>
        <v>50157783</v>
      </c>
      <c r="AI77" s="1">
        <f t="shared" si="69"/>
        <v>2314909</v>
      </c>
      <c r="AJ77" s="11">
        <f t="shared" si="70"/>
        <v>302199672</v>
      </c>
      <c r="AK77" s="8">
        <f t="shared" si="71"/>
        <v>100565</v>
      </c>
      <c r="AL77" s="11">
        <f t="shared" si="72"/>
        <v>19889176</v>
      </c>
      <c r="AM77" s="8">
        <f t="shared" si="73"/>
        <v>95645</v>
      </c>
      <c r="AN77" s="11">
        <f t="shared" si="74"/>
        <v>14562677</v>
      </c>
      <c r="AO77" s="8">
        <f t="shared" si="75"/>
        <v>6</v>
      </c>
      <c r="AP77" s="11">
        <f t="shared" si="76"/>
        <v>1034</v>
      </c>
      <c r="AQ77" s="11">
        <f t="shared" si="77"/>
        <v>601</v>
      </c>
      <c r="AR77" s="11">
        <f t="shared" si="78"/>
        <v>32159</v>
      </c>
      <c r="AS77" s="8">
        <f t="shared" si="86"/>
        <v>3191973</v>
      </c>
      <c r="AT77" s="11">
        <f t="shared" si="79"/>
        <v>386842501</v>
      </c>
      <c r="AU77" s="2" t="str">
        <f t="shared" si="80"/>
        <v>CONMEX</v>
      </c>
      <c r="AV77" s="37">
        <f t="shared" si="81"/>
        <v>0</v>
      </c>
      <c r="AW77" s="37">
        <f t="shared" si="82"/>
        <v>0</v>
      </c>
    </row>
    <row r="78" spans="1:49" outlineLevel="1" x14ac:dyDescent="0.25">
      <c r="B78" s="2" t="s">
        <v>4</v>
      </c>
      <c r="C78" s="2">
        <v>2022</v>
      </c>
      <c r="D78" s="1">
        <v>423139</v>
      </c>
      <c r="E78" s="11">
        <v>28780571</v>
      </c>
      <c r="F78" s="1">
        <v>235275</v>
      </c>
      <c r="G78" s="11">
        <v>16712749</v>
      </c>
      <c r="H78" s="1">
        <v>61843</v>
      </c>
      <c r="I78" s="11">
        <v>8867202</v>
      </c>
      <c r="J78" s="1">
        <v>2474631</v>
      </c>
      <c r="K78" s="11">
        <v>316006551</v>
      </c>
      <c r="L78" s="8">
        <v>89905</v>
      </c>
      <c r="M78" s="11">
        <v>16891403</v>
      </c>
      <c r="N78" s="8">
        <v>101269</v>
      </c>
      <c r="O78" s="11">
        <v>15265886</v>
      </c>
      <c r="P78" s="8">
        <v>13</v>
      </c>
      <c r="Q78" s="11">
        <v>1822</v>
      </c>
      <c r="R78" s="8">
        <v>2183</v>
      </c>
      <c r="S78" s="11">
        <v>173997</v>
      </c>
      <c r="T78" s="53">
        <f t="shared" si="83"/>
        <v>3388258</v>
      </c>
      <c r="U78" s="54">
        <f t="shared" si="66"/>
        <v>402700181</v>
      </c>
      <c r="V78" s="2" t="s">
        <v>59</v>
      </c>
      <c r="Z78" s="30"/>
      <c r="AA78" s="30">
        <f t="shared" si="84"/>
        <v>0</v>
      </c>
      <c r="AB78" s="31"/>
      <c r="AC78" s="32">
        <f t="shared" si="85"/>
        <v>0</v>
      </c>
      <c r="AE78" s="2" t="s">
        <v>4</v>
      </c>
      <c r="AF78" s="2">
        <v>2021</v>
      </c>
      <c r="AG78" s="1">
        <f t="shared" si="67"/>
        <v>720257</v>
      </c>
      <c r="AH78" s="11">
        <f t="shared" si="68"/>
        <v>54360522</v>
      </c>
      <c r="AI78" s="1">
        <f t="shared" si="69"/>
        <v>2474631</v>
      </c>
      <c r="AJ78" s="11">
        <f t="shared" si="70"/>
        <v>316006551</v>
      </c>
      <c r="AK78" s="8">
        <f t="shared" si="71"/>
        <v>89905</v>
      </c>
      <c r="AL78" s="11">
        <f t="shared" si="72"/>
        <v>16891403</v>
      </c>
      <c r="AM78" s="8">
        <f t="shared" si="73"/>
        <v>101269</v>
      </c>
      <c r="AN78" s="11">
        <f t="shared" si="74"/>
        <v>15265886</v>
      </c>
      <c r="AO78" s="8">
        <f t="shared" si="75"/>
        <v>13</v>
      </c>
      <c r="AP78" s="11">
        <f t="shared" si="76"/>
        <v>1822</v>
      </c>
      <c r="AQ78" s="11">
        <f t="shared" si="77"/>
        <v>2183</v>
      </c>
      <c r="AR78" s="11">
        <f t="shared" si="78"/>
        <v>173997</v>
      </c>
      <c r="AS78" s="8">
        <f t="shared" si="86"/>
        <v>3388258</v>
      </c>
      <c r="AT78" s="11">
        <f t="shared" si="79"/>
        <v>402700181</v>
      </c>
      <c r="AU78" s="2" t="str">
        <f t="shared" si="80"/>
        <v>CONMEX</v>
      </c>
      <c r="AV78" s="37">
        <f t="shared" si="81"/>
        <v>0</v>
      </c>
      <c r="AW78" s="37">
        <f t="shared" si="82"/>
        <v>0</v>
      </c>
    </row>
    <row r="79" spans="1:49" outlineLevel="1" x14ac:dyDescent="0.25">
      <c r="B79" s="2" t="s">
        <v>28</v>
      </c>
      <c r="C79" s="2">
        <v>2022</v>
      </c>
      <c r="D79" s="1">
        <v>420559</v>
      </c>
      <c r="E79" s="11">
        <v>28421389</v>
      </c>
      <c r="F79" s="1">
        <v>224057</v>
      </c>
      <c r="G79" s="11">
        <v>15951144</v>
      </c>
      <c r="H79" s="1">
        <v>70415</v>
      </c>
      <c r="I79" s="11">
        <v>11474442</v>
      </c>
      <c r="J79" s="1">
        <v>2378856</v>
      </c>
      <c r="K79" s="11">
        <v>301272515</v>
      </c>
      <c r="L79" s="8">
        <v>66690</v>
      </c>
      <c r="M79" s="11">
        <v>11841811</v>
      </c>
      <c r="N79" s="8">
        <v>96772</v>
      </c>
      <c r="O79" s="11">
        <v>14656320</v>
      </c>
      <c r="P79" s="8">
        <v>14</v>
      </c>
      <c r="Q79" s="11">
        <v>2930</v>
      </c>
      <c r="R79" s="8">
        <v>1880</v>
      </c>
      <c r="S79" s="11">
        <v>116747</v>
      </c>
      <c r="T79" s="53">
        <f t="shared" si="83"/>
        <v>3259243</v>
      </c>
      <c r="U79" s="54">
        <f t="shared" si="66"/>
        <v>383737298</v>
      </c>
      <c r="V79" s="2" t="s">
        <v>59</v>
      </c>
      <c r="Z79" s="30"/>
      <c r="AA79" s="30">
        <f t="shared" si="84"/>
        <v>0</v>
      </c>
      <c r="AB79" s="31"/>
      <c r="AC79" s="32">
        <f t="shared" si="85"/>
        <v>0</v>
      </c>
      <c r="AE79" s="2" t="s">
        <v>28</v>
      </c>
      <c r="AF79" s="2">
        <v>2021</v>
      </c>
      <c r="AG79" s="1">
        <f t="shared" si="67"/>
        <v>715031</v>
      </c>
      <c r="AH79" s="11">
        <f t="shared" si="68"/>
        <v>55846975</v>
      </c>
      <c r="AI79" s="1">
        <f t="shared" si="69"/>
        <v>2378856</v>
      </c>
      <c r="AJ79" s="11">
        <f t="shared" si="70"/>
        <v>301272515</v>
      </c>
      <c r="AK79" s="8">
        <f t="shared" si="71"/>
        <v>66690</v>
      </c>
      <c r="AL79" s="11">
        <f t="shared" si="72"/>
        <v>11841811</v>
      </c>
      <c r="AM79" s="8">
        <f t="shared" si="73"/>
        <v>96772</v>
      </c>
      <c r="AN79" s="11">
        <f t="shared" si="74"/>
        <v>14656320</v>
      </c>
      <c r="AO79" s="8">
        <f t="shared" si="75"/>
        <v>14</v>
      </c>
      <c r="AP79" s="11">
        <f t="shared" si="76"/>
        <v>2930</v>
      </c>
      <c r="AQ79" s="11">
        <f t="shared" si="77"/>
        <v>1880</v>
      </c>
      <c r="AR79" s="11">
        <f t="shared" si="78"/>
        <v>116747</v>
      </c>
      <c r="AS79" s="8">
        <f t="shared" si="86"/>
        <v>3259243</v>
      </c>
      <c r="AT79" s="11">
        <f t="shared" si="79"/>
        <v>383737298</v>
      </c>
      <c r="AU79" s="2" t="str">
        <f t="shared" si="80"/>
        <v>CONMEX</v>
      </c>
      <c r="AV79" s="37">
        <f t="shared" si="81"/>
        <v>0</v>
      </c>
      <c r="AW79" s="37">
        <f t="shared" si="82"/>
        <v>0</v>
      </c>
    </row>
    <row r="80" spans="1:49" outlineLevel="1" x14ac:dyDescent="0.25">
      <c r="B80" s="2" t="s">
        <v>29</v>
      </c>
      <c r="C80" s="2">
        <v>2022</v>
      </c>
      <c r="D80" s="1">
        <v>451219</v>
      </c>
      <c r="E80" s="11">
        <v>31111981</v>
      </c>
      <c r="F80" s="1">
        <v>245300</v>
      </c>
      <c r="G80" s="11">
        <v>17430113</v>
      </c>
      <c r="H80" s="1">
        <v>81579</v>
      </c>
      <c r="I80" s="11">
        <v>14235193</v>
      </c>
      <c r="J80" s="1">
        <v>2561013</v>
      </c>
      <c r="K80" s="11">
        <v>325006909</v>
      </c>
      <c r="L80" s="8">
        <v>65267</v>
      </c>
      <c r="M80" s="11">
        <v>11518451</v>
      </c>
      <c r="N80" s="8">
        <v>105732</v>
      </c>
      <c r="O80" s="11">
        <v>16292975</v>
      </c>
      <c r="P80" s="8">
        <v>13</v>
      </c>
      <c r="Q80" s="11">
        <v>3673</v>
      </c>
      <c r="R80" s="8">
        <v>2096</v>
      </c>
      <c r="S80" s="11">
        <v>145547</v>
      </c>
      <c r="T80" s="53">
        <f>N80+L80+J80+H80+D80+P80+F80+R80</f>
        <v>3512219</v>
      </c>
      <c r="U80" s="54">
        <f t="shared" si="66"/>
        <v>415744842</v>
      </c>
      <c r="V80" s="2" t="s">
        <v>59</v>
      </c>
      <c r="Z80" s="30"/>
      <c r="AA80" s="30">
        <f t="shared" si="84"/>
        <v>0</v>
      </c>
      <c r="AB80" s="31"/>
      <c r="AC80" s="32">
        <f t="shared" si="85"/>
        <v>0</v>
      </c>
      <c r="AE80" s="2" t="s">
        <v>29</v>
      </c>
      <c r="AF80" s="2">
        <v>2021</v>
      </c>
      <c r="AG80" s="1">
        <f t="shared" si="67"/>
        <v>778098</v>
      </c>
      <c r="AH80" s="11">
        <f t="shared" si="68"/>
        <v>62777287</v>
      </c>
      <c r="AI80" s="1">
        <f t="shared" si="69"/>
        <v>2561013</v>
      </c>
      <c r="AJ80" s="11">
        <f t="shared" si="70"/>
        <v>325006909</v>
      </c>
      <c r="AK80" s="8">
        <f t="shared" si="71"/>
        <v>65267</v>
      </c>
      <c r="AL80" s="11">
        <f t="shared" si="72"/>
        <v>11518451</v>
      </c>
      <c r="AM80" s="8">
        <f t="shared" si="73"/>
        <v>105732</v>
      </c>
      <c r="AN80" s="11">
        <f t="shared" si="74"/>
        <v>16292975</v>
      </c>
      <c r="AO80" s="8">
        <f t="shared" si="75"/>
        <v>13</v>
      </c>
      <c r="AP80" s="11">
        <f t="shared" si="76"/>
        <v>3673</v>
      </c>
      <c r="AQ80" s="11">
        <f t="shared" si="77"/>
        <v>2096</v>
      </c>
      <c r="AR80" s="11">
        <f t="shared" si="78"/>
        <v>145547</v>
      </c>
      <c r="AS80" s="8">
        <f t="shared" si="86"/>
        <v>3512219</v>
      </c>
      <c r="AT80" s="11">
        <f t="shared" si="79"/>
        <v>415744842</v>
      </c>
      <c r="AU80" s="2" t="str">
        <f t="shared" si="80"/>
        <v>CONMEX</v>
      </c>
      <c r="AV80" s="37">
        <f t="shared" si="81"/>
        <v>0</v>
      </c>
      <c r="AW80" s="37">
        <f t="shared" si="82"/>
        <v>0</v>
      </c>
    </row>
    <row r="81" spans="1:49" outlineLevel="1" x14ac:dyDescent="0.25">
      <c r="B81" s="2" t="s">
        <v>30</v>
      </c>
      <c r="C81" s="2">
        <v>2022</v>
      </c>
      <c r="D81" s="1">
        <v>436040</v>
      </c>
      <c r="E81" s="11">
        <v>30276333</v>
      </c>
      <c r="F81" s="1">
        <v>241320</v>
      </c>
      <c r="G81" s="11">
        <v>17182817</v>
      </c>
      <c r="H81" s="1">
        <v>80403</v>
      </c>
      <c r="I81" s="11">
        <v>14231555</v>
      </c>
      <c r="J81" s="1">
        <v>2491000</v>
      </c>
      <c r="K81" s="11">
        <v>316735858</v>
      </c>
      <c r="L81" s="8">
        <v>61046</v>
      </c>
      <c r="M81" s="11">
        <v>10773818</v>
      </c>
      <c r="N81" s="8">
        <v>101758</v>
      </c>
      <c r="O81" s="11">
        <v>15533765</v>
      </c>
      <c r="P81" s="8">
        <v>18</v>
      </c>
      <c r="Q81" s="11">
        <v>4874</v>
      </c>
      <c r="R81" s="8">
        <v>2148</v>
      </c>
      <c r="S81" s="11">
        <v>165825</v>
      </c>
      <c r="T81" s="53">
        <f t="shared" si="83"/>
        <v>3413733</v>
      </c>
      <c r="U81" s="54">
        <f t="shared" si="66"/>
        <v>404904845</v>
      </c>
      <c r="V81" s="2" t="s">
        <v>59</v>
      </c>
      <c r="Z81" s="30"/>
      <c r="AA81" s="30">
        <f t="shared" si="84"/>
        <v>0</v>
      </c>
      <c r="AB81" s="31"/>
      <c r="AC81" s="32">
        <f t="shared" si="85"/>
        <v>0</v>
      </c>
      <c r="AE81" s="2" t="s">
        <v>30</v>
      </c>
      <c r="AF81" s="2">
        <v>2021</v>
      </c>
      <c r="AG81" s="1">
        <f t="shared" si="67"/>
        <v>757763</v>
      </c>
      <c r="AH81" s="11">
        <f t="shared" si="68"/>
        <v>61690705</v>
      </c>
      <c r="AI81" s="1">
        <f t="shared" si="69"/>
        <v>2491000</v>
      </c>
      <c r="AJ81" s="11">
        <f t="shared" si="70"/>
        <v>316735858</v>
      </c>
      <c r="AK81" s="8">
        <f t="shared" si="71"/>
        <v>61046</v>
      </c>
      <c r="AL81" s="11">
        <f t="shared" si="72"/>
        <v>10773818</v>
      </c>
      <c r="AM81" s="8">
        <f t="shared" si="73"/>
        <v>101758</v>
      </c>
      <c r="AN81" s="11">
        <f t="shared" si="74"/>
        <v>15533765</v>
      </c>
      <c r="AO81" s="8">
        <f t="shared" si="75"/>
        <v>18</v>
      </c>
      <c r="AP81" s="11">
        <f t="shared" si="76"/>
        <v>4874</v>
      </c>
      <c r="AQ81" s="11">
        <f t="shared" si="77"/>
        <v>2148</v>
      </c>
      <c r="AR81" s="11">
        <f t="shared" si="78"/>
        <v>165825</v>
      </c>
      <c r="AS81" s="8">
        <f t="shared" si="86"/>
        <v>3413733</v>
      </c>
      <c r="AT81" s="11">
        <f t="shared" si="79"/>
        <v>404904845</v>
      </c>
      <c r="AU81" s="2" t="str">
        <f t="shared" si="80"/>
        <v>CONMEX</v>
      </c>
      <c r="AV81" s="37">
        <f t="shared" si="81"/>
        <v>0</v>
      </c>
      <c r="AW81" s="37">
        <f t="shared" si="82"/>
        <v>0</v>
      </c>
    </row>
    <row r="82" spans="1:49" outlineLevel="1" x14ac:dyDescent="0.25">
      <c r="B82" s="2" t="s">
        <v>31</v>
      </c>
      <c r="C82" s="2">
        <v>2022</v>
      </c>
      <c r="D82" s="1">
        <v>451140</v>
      </c>
      <c r="E82" s="11">
        <v>30627396</v>
      </c>
      <c r="F82" s="1">
        <v>262616</v>
      </c>
      <c r="G82" s="11">
        <v>18483182</v>
      </c>
      <c r="H82" s="1">
        <v>85880</v>
      </c>
      <c r="I82" s="11">
        <v>15225243</v>
      </c>
      <c r="J82" s="1">
        <v>2537880</v>
      </c>
      <c r="K82" s="11">
        <v>315813423</v>
      </c>
      <c r="L82" s="8">
        <v>58287</v>
      </c>
      <c r="M82" s="11">
        <v>10271468</v>
      </c>
      <c r="N82" s="8">
        <v>102515</v>
      </c>
      <c r="O82" s="11">
        <v>15647275</v>
      </c>
      <c r="P82" s="8">
        <v>22</v>
      </c>
      <c r="Q82" s="11">
        <v>6881</v>
      </c>
      <c r="R82" s="11">
        <v>2174</v>
      </c>
      <c r="S82" s="11">
        <v>157889</v>
      </c>
      <c r="T82" s="53">
        <f t="shared" si="83"/>
        <v>3500514</v>
      </c>
      <c r="U82" s="54">
        <f t="shared" si="66"/>
        <v>406232757</v>
      </c>
      <c r="V82" s="2" t="s">
        <v>59</v>
      </c>
      <c r="X82" s="13"/>
      <c r="Z82" s="30"/>
      <c r="AA82" s="30">
        <f t="shared" si="84"/>
        <v>0</v>
      </c>
      <c r="AB82" s="31"/>
      <c r="AC82" s="32">
        <f t="shared" si="85"/>
        <v>0</v>
      </c>
      <c r="AE82" s="2" t="s">
        <v>31</v>
      </c>
      <c r="AF82" s="2">
        <v>2021</v>
      </c>
      <c r="AG82" s="1">
        <f t="shared" si="67"/>
        <v>799636</v>
      </c>
      <c r="AH82" s="11">
        <f t="shared" si="68"/>
        <v>64335821</v>
      </c>
      <c r="AI82" s="1">
        <f t="shared" si="69"/>
        <v>2537880</v>
      </c>
      <c r="AJ82" s="11">
        <f t="shared" si="70"/>
        <v>315813423</v>
      </c>
      <c r="AK82" s="8">
        <f t="shared" si="71"/>
        <v>58287</v>
      </c>
      <c r="AL82" s="11">
        <f t="shared" si="72"/>
        <v>10271468</v>
      </c>
      <c r="AM82" s="8">
        <f t="shared" si="73"/>
        <v>102515</v>
      </c>
      <c r="AN82" s="11">
        <f t="shared" si="74"/>
        <v>15647275</v>
      </c>
      <c r="AO82" s="8">
        <f t="shared" si="75"/>
        <v>22</v>
      </c>
      <c r="AP82" s="11">
        <f t="shared" si="76"/>
        <v>6881</v>
      </c>
      <c r="AQ82" s="11">
        <f t="shared" si="77"/>
        <v>2174</v>
      </c>
      <c r="AR82" s="11">
        <f t="shared" si="78"/>
        <v>157889</v>
      </c>
      <c r="AS82" s="8">
        <f t="shared" si="86"/>
        <v>3500514</v>
      </c>
      <c r="AT82" s="11">
        <f t="shared" si="79"/>
        <v>406232757</v>
      </c>
      <c r="AU82" s="2" t="str">
        <f t="shared" si="80"/>
        <v>CONMEX</v>
      </c>
      <c r="AV82" s="37">
        <f t="shared" si="81"/>
        <v>0</v>
      </c>
      <c r="AW82" s="37">
        <f t="shared" si="82"/>
        <v>0</v>
      </c>
    </row>
    <row r="83" spans="1:49" outlineLevel="1" x14ac:dyDescent="0.25">
      <c r="AH83" s="9"/>
      <c r="AJ83" s="9"/>
      <c r="AL83" s="9"/>
      <c r="AN83" s="9"/>
      <c r="AO83" s="9"/>
      <c r="AP83" s="9"/>
      <c r="AQ83" s="9"/>
      <c r="AR83" s="9"/>
      <c r="AT83" s="9"/>
    </row>
    <row r="84" spans="1:49" outlineLevel="1" x14ac:dyDescent="0.25">
      <c r="B84" s="3" t="s">
        <v>12</v>
      </c>
      <c r="C84" s="3"/>
      <c r="D84" s="4">
        <f t="shared" ref="D84:O84" si="89">SUM(D71:D83)</f>
        <v>4868979</v>
      </c>
      <c r="E84" s="12">
        <f t="shared" si="89"/>
        <v>328139509</v>
      </c>
      <c r="F84" s="4">
        <f t="shared" si="89"/>
        <v>2683150</v>
      </c>
      <c r="G84" s="12">
        <f t="shared" si="89"/>
        <v>186359409</v>
      </c>
      <c r="H84" s="4">
        <f t="shared" si="89"/>
        <v>696390</v>
      </c>
      <c r="I84" s="12">
        <f t="shared" si="89"/>
        <v>98667514</v>
      </c>
      <c r="J84" s="4">
        <f t="shared" si="89"/>
        <v>27900431</v>
      </c>
      <c r="K84" s="12">
        <f t="shared" si="89"/>
        <v>3533449234</v>
      </c>
      <c r="L84" s="4">
        <f t="shared" si="89"/>
        <v>1058577</v>
      </c>
      <c r="M84" s="12">
        <f t="shared" si="89"/>
        <v>194772725</v>
      </c>
      <c r="N84" s="4">
        <f t="shared" si="89"/>
        <v>1134961</v>
      </c>
      <c r="O84" s="12">
        <f t="shared" si="89"/>
        <v>169366424.63999999</v>
      </c>
      <c r="P84" s="4">
        <f>SUM(P71:P83)</f>
        <v>127</v>
      </c>
      <c r="Q84" s="12">
        <f>SUM(Q71:Q83)</f>
        <v>27748</v>
      </c>
      <c r="R84" s="4">
        <f>SUM(R71:R83)</f>
        <v>11227</v>
      </c>
      <c r="S84" s="12">
        <f>SUM(S71:S83)</f>
        <v>800232</v>
      </c>
      <c r="T84" s="4">
        <f t="shared" ref="T84:U84" si="90">SUM(T71:T83)</f>
        <v>38353842</v>
      </c>
      <c r="U84" s="12">
        <f t="shared" si="90"/>
        <v>4511582795.6399994</v>
      </c>
      <c r="Z84" s="12" t="e">
        <f>AVERAGE(Z71:Z83)</f>
        <v>#DIV/0!</v>
      </c>
      <c r="AA84" s="12">
        <f t="shared" ref="AA84:AC84" si="91">AVERAGE(AA71:AA83)</f>
        <v>0</v>
      </c>
      <c r="AB84" s="12" t="e">
        <f t="shared" si="91"/>
        <v>#DIV/0!</v>
      </c>
      <c r="AC84" s="16">
        <f t="shared" si="91"/>
        <v>0</v>
      </c>
      <c r="AE84" s="3" t="s">
        <v>12</v>
      </c>
      <c r="AF84" s="3"/>
      <c r="AG84" s="4">
        <f t="shared" ref="AG84:AT84" si="92">SUM(AG71:AG83)</f>
        <v>8248519</v>
      </c>
      <c r="AH84" s="12">
        <f t="shared" si="92"/>
        <v>613166432</v>
      </c>
      <c r="AI84" s="4">
        <f t="shared" si="92"/>
        <v>27900431</v>
      </c>
      <c r="AJ84" s="12">
        <f t="shared" si="92"/>
        <v>3533449234</v>
      </c>
      <c r="AK84" s="4">
        <f t="shared" si="92"/>
        <v>1058577</v>
      </c>
      <c r="AL84" s="12">
        <f t="shared" si="92"/>
        <v>194772725</v>
      </c>
      <c r="AM84" s="4">
        <f t="shared" si="92"/>
        <v>1134961</v>
      </c>
      <c r="AN84" s="12">
        <f t="shared" si="92"/>
        <v>169366424.63999999</v>
      </c>
      <c r="AO84" s="4">
        <f t="shared" si="92"/>
        <v>127</v>
      </c>
      <c r="AP84" s="12">
        <f t="shared" si="92"/>
        <v>27748</v>
      </c>
      <c r="AQ84" s="4">
        <f t="shared" si="92"/>
        <v>11227</v>
      </c>
      <c r="AR84" s="12">
        <f t="shared" si="92"/>
        <v>800232</v>
      </c>
      <c r="AS84" s="4">
        <f t="shared" si="92"/>
        <v>38353842</v>
      </c>
      <c r="AT84" s="12">
        <f t="shared" si="92"/>
        <v>4511582795.6399994</v>
      </c>
    </row>
    <row r="85" spans="1:49" outlineLevel="1" x14ac:dyDescent="0.25">
      <c r="J85" s="46" t="str">
        <f>+$B$66</f>
        <v>Aforo e Ingreso - CONMEX</v>
      </c>
      <c r="K85" s="9" t="s">
        <v>84</v>
      </c>
      <c r="L85" s="15">
        <f>AVERAGE(L71:L82)</f>
        <v>88214.75</v>
      </c>
      <c r="M85" s="60">
        <f>AVERAGE(M71:M82)</f>
        <v>16231060.416666666</v>
      </c>
      <c r="T85" s="15">
        <f>AVERAGE(T71:T82)</f>
        <v>3196153.5</v>
      </c>
      <c r="U85" s="28">
        <f>AVERAGE(U71:U82)</f>
        <v>375965232.96999997</v>
      </c>
    </row>
    <row r="86" spans="1:49" outlineLevel="1" x14ac:dyDescent="0.25">
      <c r="B86" s="5" t="s">
        <v>14</v>
      </c>
      <c r="J86" s="46" t="str">
        <f>+$B$66</f>
        <v>Aforo e Ingreso - CONMEX</v>
      </c>
      <c r="K86" s="9" t="s">
        <v>85</v>
      </c>
      <c r="L86" s="26">
        <f>+L85/$L$316</f>
        <v>0.42440761657029819</v>
      </c>
      <c r="M86" s="36">
        <f>+M85/$M$316</f>
        <v>0.54483348453753599</v>
      </c>
      <c r="N86" s="18"/>
      <c r="O86" s="19"/>
      <c r="P86" s="19"/>
      <c r="Q86" s="19"/>
      <c r="R86" s="19"/>
      <c r="S86" s="19"/>
      <c r="T86" s="36">
        <f>+L85/T85</f>
        <v>2.7600285781017714E-2</v>
      </c>
      <c r="U86" s="62">
        <f>+M85/U85</f>
        <v>4.3171705767702774E-2</v>
      </c>
    </row>
    <row r="87" spans="1:49" outlineLevel="1" x14ac:dyDescent="0.25">
      <c r="B87" s="5" t="s">
        <v>32</v>
      </c>
      <c r="L87" s="26"/>
      <c r="M87" s="26"/>
    </row>
    <row r="88" spans="1:49" outlineLevel="1" x14ac:dyDescent="0.25">
      <c r="B88" s="5"/>
    </row>
    <row r="89" spans="1:49" outlineLevel="1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87</v>
      </c>
      <c r="S89" s="93"/>
      <c r="T89" s="89" t="s">
        <v>12</v>
      </c>
      <c r="U89" s="93"/>
      <c r="AG89" s="89" t="s">
        <v>69</v>
      </c>
      <c r="AH89" s="90"/>
      <c r="AI89" s="89" t="s">
        <v>17</v>
      </c>
      <c r="AJ89" s="93"/>
      <c r="AK89" s="89" t="s">
        <v>18</v>
      </c>
      <c r="AL89" s="93"/>
      <c r="AM89" s="89" t="s">
        <v>13</v>
      </c>
      <c r="AN89" s="93"/>
      <c r="AO89" s="89" t="s">
        <v>34</v>
      </c>
      <c r="AP89" s="93"/>
      <c r="AQ89" s="89" t="s">
        <v>87</v>
      </c>
      <c r="AR89" s="93"/>
      <c r="AS89" s="89" t="s">
        <v>12</v>
      </c>
      <c r="AT89" s="93"/>
    </row>
    <row r="90" spans="1:49" outlineLevel="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Z90" s="33">
        <v>2021</v>
      </c>
      <c r="AA90" s="34">
        <v>0.6329092398706947</v>
      </c>
      <c r="AB90" s="33">
        <f>+Z90</f>
        <v>2021</v>
      </c>
      <c r="AC90" s="35">
        <v>7.6919407049435623E-3</v>
      </c>
      <c r="AE90" s="7" t="s">
        <v>0</v>
      </c>
      <c r="AF90" s="7" t="s">
        <v>1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  <c r="AQ90" s="7" t="s">
        <v>2</v>
      </c>
      <c r="AR90" s="10" t="s">
        <v>3</v>
      </c>
      <c r="AS90" s="7" t="s">
        <v>2</v>
      </c>
      <c r="AT90" s="10" t="s">
        <v>3</v>
      </c>
    </row>
    <row r="91" spans="1:49" outlineLevel="1" x14ac:dyDescent="0.25">
      <c r="AH91" s="9"/>
      <c r="AJ91" s="9"/>
      <c r="AL91" s="9"/>
      <c r="AN91" s="9"/>
      <c r="AO91" s="9"/>
      <c r="AP91" s="9"/>
      <c r="AQ91" s="9"/>
      <c r="AR91" s="9"/>
      <c r="AT91" s="9"/>
    </row>
    <row r="92" spans="1:49" outlineLevel="1" x14ac:dyDescent="0.25">
      <c r="B92" s="2" t="s">
        <v>5</v>
      </c>
      <c r="C92" s="2">
        <v>2022</v>
      </c>
      <c r="D92" s="1">
        <v>13514</v>
      </c>
      <c r="E92" s="11">
        <v>1389093</v>
      </c>
      <c r="F92" s="1">
        <v>5546</v>
      </c>
      <c r="G92" s="11">
        <v>925704</v>
      </c>
      <c r="H92" s="1">
        <v>1500</v>
      </c>
      <c r="I92" s="11">
        <v>281827</v>
      </c>
      <c r="J92" s="1">
        <v>215736</v>
      </c>
      <c r="K92" s="11">
        <v>39146383</v>
      </c>
      <c r="L92" s="8">
        <v>12617</v>
      </c>
      <c r="M92" s="11">
        <v>2812393</v>
      </c>
      <c r="N92" s="8">
        <v>10110</v>
      </c>
      <c r="O92" s="11">
        <v>1530097</v>
      </c>
      <c r="P92" s="8">
        <v>0</v>
      </c>
      <c r="Q92" s="11">
        <v>0</v>
      </c>
      <c r="R92" s="8">
        <v>0</v>
      </c>
      <c r="S92" s="11">
        <v>0</v>
      </c>
      <c r="T92" s="53">
        <f>N92+L92+J92+H92+D92+P92+F92+R92</f>
        <v>259023</v>
      </c>
      <c r="U92" s="54">
        <f t="shared" ref="U92:U103" si="93">O92+M92+K92+I92+E92+Q92+G92+S92</f>
        <v>46085497</v>
      </c>
      <c r="V92" s="2" t="s">
        <v>60</v>
      </c>
      <c r="Z92" s="30"/>
      <c r="AA92" s="30">
        <f>+Z92/J92</f>
        <v>0</v>
      </c>
      <c r="AB92" s="31"/>
      <c r="AC92" s="32">
        <f>+AB92/K92</f>
        <v>0</v>
      </c>
      <c r="AD92" s="13"/>
      <c r="AE92" s="2" t="s">
        <v>5</v>
      </c>
      <c r="AF92" s="2">
        <v>2021</v>
      </c>
      <c r="AG92" s="1">
        <f t="shared" ref="AG92:AG103" si="94">D92+H92+F92</f>
        <v>20560</v>
      </c>
      <c r="AH92" s="11">
        <f t="shared" ref="AH92:AH103" si="95">E92+I92+G92</f>
        <v>2596624</v>
      </c>
      <c r="AI92" s="1">
        <f t="shared" ref="AI92:AI103" si="96">+J92</f>
        <v>215736</v>
      </c>
      <c r="AJ92" s="11">
        <f t="shared" ref="AJ92:AJ103" si="97">+K92</f>
        <v>39146383</v>
      </c>
      <c r="AK92" s="8">
        <f t="shared" ref="AK92:AK103" si="98">+L92</f>
        <v>12617</v>
      </c>
      <c r="AL92" s="11">
        <f t="shared" ref="AL92:AL103" si="99">+M92</f>
        <v>2812393</v>
      </c>
      <c r="AM92" s="8">
        <f t="shared" ref="AM92:AM103" si="100">+N92</f>
        <v>10110</v>
      </c>
      <c r="AN92" s="11">
        <f t="shared" ref="AN92:AN103" si="101">+O92</f>
        <v>1530097</v>
      </c>
      <c r="AO92" s="8">
        <f t="shared" ref="AO92:AO103" si="102">+P92</f>
        <v>0</v>
      </c>
      <c r="AP92" s="11">
        <f t="shared" ref="AP92:AP103" si="103">+Q92</f>
        <v>0</v>
      </c>
      <c r="AQ92" s="11">
        <f t="shared" ref="AQ92:AQ103" si="104">+R92</f>
        <v>0</v>
      </c>
      <c r="AR92" s="11">
        <f t="shared" ref="AR92:AR103" si="105">+S92</f>
        <v>0</v>
      </c>
      <c r="AS92" s="8">
        <f>AO92+AM92+AK92+AI92+AG92+AQ92</f>
        <v>259023</v>
      </c>
      <c r="AT92" s="11">
        <f t="shared" ref="AT92:AT103" si="106">AP92+AN92+AL92+AJ92+AH92+AR92</f>
        <v>46085497</v>
      </c>
      <c r="AU92" s="2" t="str">
        <f t="shared" ref="AU92:AU103" si="107">+V92</f>
        <v>LEP</v>
      </c>
      <c r="AV92" s="37">
        <f t="shared" ref="AV92:AV103" si="108">+AS92-T92</f>
        <v>0</v>
      </c>
      <c r="AW92" s="37">
        <f t="shared" ref="AW92:AW103" si="109">+AT92-U92</f>
        <v>0</v>
      </c>
    </row>
    <row r="93" spans="1:49" outlineLevel="1" x14ac:dyDescent="0.25">
      <c r="B93" s="2" t="s">
        <v>6</v>
      </c>
      <c r="C93" s="2">
        <v>2022</v>
      </c>
      <c r="D93" s="1">
        <v>11797</v>
      </c>
      <c r="E93" s="11">
        <v>1349697</v>
      </c>
      <c r="F93" s="1">
        <v>5586</v>
      </c>
      <c r="G93" s="11">
        <v>1011738</v>
      </c>
      <c r="H93" s="1">
        <v>1497</v>
      </c>
      <c r="I93" s="11">
        <v>298650</v>
      </c>
      <c r="J93" s="1">
        <v>205576</v>
      </c>
      <c r="K93" s="11">
        <v>39022830</v>
      </c>
      <c r="L93" s="8">
        <v>11839</v>
      </c>
      <c r="M93" s="11">
        <v>2735383</v>
      </c>
      <c r="N93" s="8">
        <v>9723</v>
      </c>
      <c r="O93" s="11">
        <v>1478165</v>
      </c>
      <c r="P93" s="8">
        <v>0</v>
      </c>
      <c r="Q93" s="11">
        <v>0</v>
      </c>
      <c r="R93" s="8">
        <v>0</v>
      </c>
      <c r="S93" s="11">
        <v>0</v>
      </c>
      <c r="T93" s="53">
        <f t="shared" ref="T93:T103" si="110">N93+L93+J93+H93+D93+P93+F93+R93</f>
        <v>246018</v>
      </c>
      <c r="U93" s="54">
        <f t="shared" si="93"/>
        <v>45896463</v>
      </c>
      <c r="V93" s="2" t="s">
        <v>60</v>
      </c>
      <c r="Z93" s="30"/>
      <c r="AA93" s="30">
        <f t="shared" ref="AA93:AA103" si="111">+Z93/J93</f>
        <v>0</v>
      </c>
      <c r="AB93" s="31"/>
      <c r="AC93" s="32">
        <f t="shared" ref="AC93:AC103" si="112">+AB93/K93</f>
        <v>0</v>
      </c>
      <c r="AD93" s="13"/>
      <c r="AE93" s="2" t="s">
        <v>6</v>
      </c>
      <c r="AF93" s="2">
        <v>2021</v>
      </c>
      <c r="AG93" s="1">
        <f t="shared" si="94"/>
        <v>18880</v>
      </c>
      <c r="AH93" s="11">
        <f t="shared" si="95"/>
        <v>2660085</v>
      </c>
      <c r="AI93" s="1">
        <f t="shared" si="96"/>
        <v>205576</v>
      </c>
      <c r="AJ93" s="11">
        <f t="shared" si="97"/>
        <v>39022830</v>
      </c>
      <c r="AK93" s="8">
        <f t="shared" si="98"/>
        <v>11839</v>
      </c>
      <c r="AL93" s="11">
        <f t="shared" si="99"/>
        <v>2735383</v>
      </c>
      <c r="AM93" s="8">
        <f t="shared" si="100"/>
        <v>9723</v>
      </c>
      <c r="AN93" s="11">
        <f t="shared" si="101"/>
        <v>1478165</v>
      </c>
      <c r="AO93" s="8">
        <f t="shared" si="102"/>
        <v>0</v>
      </c>
      <c r="AP93" s="11">
        <f t="shared" si="103"/>
        <v>0</v>
      </c>
      <c r="AQ93" s="11">
        <f t="shared" si="104"/>
        <v>0</v>
      </c>
      <c r="AR93" s="11">
        <f t="shared" si="105"/>
        <v>0</v>
      </c>
      <c r="AS93" s="8">
        <f t="shared" ref="AS93:AS103" si="113">AO93+AM93+AK93+AI93+AG93+AQ93</f>
        <v>246018</v>
      </c>
      <c r="AT93" s="11">
        <f t="shared" si="106"/>
        <v>45896463</v>
      </c>
      <c r="AU93" s="2" t="str">
        <f t="shared" si="107"/>
        <v>LEP</v>
      </c>
      <c r="AV93" s="37">
        <f t="shared" si="108"/>
        <v>0</v>
      </c>
      <c r="AW93" s="37">
        <f t="shared" si="109"/>
        <v>0</v>
      </c>
    </row>
    <row r="94" spans="1:49" outlineLevel="1" x14ac:dyDescent="0.25">
      <c r="B94" s="2" t="s">
        <v>7</v>
      </c>
      <c r="C94" s="2">
        <v>2022</v>
      </c>
      <c r="D94" s="1">
        <v>13827</v>
      </c>
      <c r="E94" s="11">
        <v>1609217</v>
      </c>
      <c r="F94" s="1">
        <v>6621</v>
      </c>
      <c r="G94" s="11">
        <v>1260180</v>
      </c>
      <c r="H94" s="1">
        <v>1810</v>
      </c>
      <c r="I94" s="11">
        <v>373852</v>
      </c>
      <c r="J94" s="1">
        <v>238982</v>
      </c>
      <c r="K94" s="11">
        <v>46224211</v>
      </c>
      <c r="L94" s="8">
        <v>13090</v>
      </c>
      <c r="M94" s="11">
        <v>3105190</v>
      </c>
      <c r="N94" s="8">
        <v>11564</v>
      </c>
      <c r="O94" s="11">
        <v>1775947</v>
      </c>
      <c r="P94" s="8">
        <v>0</v>
      </c>
      <c r="Q94" s="11">
        <v>0</v>
      </c>
      <c r="R94" s="8">
        <v>1</v>
      </c>
      <c r="S94" s="11">
        <v>49</v>
      </c>
      <c r="T94" s="53">
        <f t="shared" ref="T94" si="114">N94+L94+J94+H94+D94+P94+F94+R94</f>
        <v>285895</v>
      </c>
      <c r="U94" s="54">
        <f t="shared" ref="U94" si="115">O94+M94+K94+I94+E94+Q94+G94+S94</f>
        <v>54348646</v>
      </c>
      <c r="V94" s="2" t="s">
        <v>60</v>
      </c>
      <c r="Z94" s="30"/>
      <c r="AA94" s="30">
        <f t="shared" si="111"/>
        <v>0</v>
      </c>
      <c r="AB94" s="31"/>
      <c r="AC94" s="32">
        <f t="shared" si="112"/>
        <v>0</v>
      </c>
      <c r="AD94" s="13"/>
      <c r="AE94" s="2" t="s">
        <v>7</v>
      </c>
      <c r="AF94" s="2">
        <v>2021</v>
      </c>
      <c r="AG94" s="1">
        <f t="shared" si="94"/>
        <v>22258</v>
      </c>
      <c r="AH94" s="11">
        <f t="shared" si="95"/>
        <v>3243249</v>
      </c>
      <c r="AI94" s="1">
        <f t="shared" si="96"/>
        <v>238982</v>
      </c>
      <c r="AJ94" s="11">
        <f t="shared" si="97"/>
        <v>46224211</v>
      </c>
      <c r="AK94" s="8">
        <f t="shared" si="98"/>
        <v>13090</v>
      </c>
      <c r="AL94" s="11">
        <f t="shared" si="99"/>
        <v>3105190</v>
      </c>
      <c r="AM94" s="8">
        <f t="shared" si="100"/>
        <v>11564</v>
      </c>
      <c r="AN94" s="11">
        <f t="shared" si="101"/>
        <v>1775947</v>
      </c>
      <c r="AO94" s="8">
        <f t="shared" si="102"/>
        <v>0</v>
      </c>
      <c r="AP94" s="11">
        <f t="shared" si="103"/>
        <v>0</v>
      </c>
      <c r="AQ94" s="11">
        <f t="shared" si="104"/>
        <v>1</v>
      </c>
      <c r="AR94" s="11">
        <f t="shared" si="105"/>
        <v>49</v>
      </c>
      <c r="AS94" s="8">
        <f t="shared" si="113"/>
        <v>285895</v>
      </c>
      <c r="AT94" s="11">
        <f t="shared" si="106"/>
        <v>54348646</v>
      </c>
      <c r="AU94" s="2" t="str">
        <f t="shared" si="107"/>
        <v>LEP</v>
      </c>
      <c r="AV94" s="37">
        <f t="shared" si="108"/>
        <v>0</v>
      </c>
      <c r="AW94" s="37">
        <f t="shared" si="109"/>
        <v>0</v>
      </c>
    </row>
    <row r="95" spans="1:49" outlineLevel="1" x14ac:dyDescent="0.25">
      <c r="B95" s="2" t="s">
        <v>8</v>
      </c>
      <c r="C95" s="2">
        <v>2022</v>
      </c>
      <c r="D95" s="1">
        <v>15869</v>
      </c>
      <c r="E95" s="11">
        <v>1710938</v>
      </c>
      <c r="F95" s="1">
        <v>6636</v>
      </c>
      <c r="G95" s="11">
        <v>1192164</v>
      </c>
      <c r="H95" s="1">
        <v>1750</v>
      </c>
      <c r="I95" s="11">
        <v>362622</v>
      </c>
      <c r="J95" s="1">
        <v>231076</v>
      </c>
      <c r="K95" s="11">
        <v>43074349</v>
      </c>
      <c r="L95" s="8">
        <v>11988</v>
      </c>
      <c r="M95" s="11">
        <v>2800504</v>
      </c>
      <c r="N95" s="8">
        <v>11394</v>
      </c>
      <c r="O95" s="11">
        <v>1711952</v>
      </c>
      <c r="P95" s="8">
        <v>0</v>
      </c>
      <c r="Q95" s="11">
        <v>0</v>
      </c>
      <c r="R95" s="8">
        <v>0</v>
      </c>
      <c r="S95" s="11">
        <v>0</v>
      </c>
      <c r="T95" s="53">
        <f t="shared" si="110"/>
        <v>278713</v>
      </c>
      <c r="U95" s="54">
        <f t="shared" si="93"/>
        <v>50852529</v>
      </c>
      <c r="V95" s="2" t="s">
        <v>60</v>
      </c>
      <c r="Z95" s="30"/>
      <c r="AA95" s="30">
        <f t="shared" si="111"/>
        <v>0</v>
      </c>
      <c r="AB95" s="31"/>
      <c r="AC95" s="32">
        <f t="shared" si="112"/>
        <v>0</v>
      </c>
      <c r="AD95" s="13"/>
      <c r="AE95" s="2" t="s">
        <v>8</v>
      </c>
      <c r="AF95" s="2">
        <v>2021</v>
      </c>
      <c r="AG95" s="1">
        <f t="shared" si="94"/>
        <v>24255</v>
      </c>
      <c r="AH95" s="11">
        <f t="shared" si="95"/>
        <v>3265724</v>
      </c>
      <c r="AI95" s="1">
        <f t="shared" si="96"/>
        <v>231076</v>
      </c>
      <c r="AJ95" s="11">
        <f t="shared" si="97"/>
        <v>43074349</v>
      </c>
      <c r="AK95" s="8">
        <f t="shared" si="98"/>
        <v>11988</v>
      </c>
      <c r="AL95" s="11">
        <f t="shared" si="99"/>
        <v>2800504</v>
      </c>
      <c r="AM95" s="8">
        <f t="shared" si="100"/>
        <v>11394</v>
      </c>
      <c r="AN95" s="11">
        <f t="shared" si="101"/>
        <v>1711952</v>
      </c>
      <c r="AO95" s="8">
        <f t="shared" si="102"/>
        <v>0</v>
      </c>
      <c r="AP95" s="11">
        <f t="shared" si="103"/>
        <v>0</v>
      </c>
      <c r="AQ95" s="11">
        <f t="shared" si="104"/>
        <v>0</v>
      </c>
      <c r="AR95" s="11">
        <f t="shared" si="105"/>
        <v>0</v>
      </c>
      <c r="AS95" s="8">
        <f t="shared" si="113"/>
        <v>278713</v>
      </c>
      <c r="AT95" s="11">
        <f t="shared" si="106"/>
        <v>50852529</v>
      </c>
      <c r="AU95" s="2" t="str">
        <f t="shared" si="107"/>
        <v>LEP</v>
      </c>
      <c r="AV95" s="37">
        <f t="shared" si="108"/>
        <v>0</v>
      </c>
      <c r="AW95" s="37">
        <f t="shared" si="109"/>
        <v>0</v>
      </c>
    </row>
    <row r="96" spans="1:49" outlineLevel="1" x14ac:dyDescent="0.25">
      <c r="B96" s="2" t="s">
        <v>9</v>
      </c>
      <c r="C96" s="2">
        <v>2022</v>
      </c>
      <c r="D96" s="1">
        <v>13655</v>
      </c>
      <c r="E96" s="11">
        <v>1622753</v>
      </c>
      <c r="F96" s="1">
        <v>6683</v>
      </c>
      <c r="G96" s="11">
        <v>1256586</v>
      </c>
      <c r="H96" s="1">
        <v>1754</v>
      </c>
      <c r="I96" s="11">
        <v>354638</v>
      </c>
      <c r="J96" s="1">
        <v>231893</v>
      </c>
      <c r="K96" s="11">
        <v>45046514</v>
      </c>
      <c r="L96" s="8">
        <v>12056</v>
      </c>
      <c r="M96" s="11">
        <v>2832233</v>
      </c>
      <c r="N96" s="8">
        <v>11599</v>
      </c>
      <c r="O96" s="11">
        <v>1748960</v>
      </c>
      <c r="P96" s="8">
        <v>0</v>
      </c>
      <c r="Q96" s="11">
        <v>0</v>
      </c>
      <c r="R96" s="8">
        <v>2</v>
      </c>
      <c r="S96" s="11">
        <v>121</v>
      </c>
      <c r="T96" s="53">
        <f t="shared" si="110"/>
        <v>277642</v>
      </c>
      <c r="U96" s="54">
        <f t="shared" si="93"/>
        <v>52861805</v>
      </c>
      <c r="V96" s="2" t="s">
        <v>60</v>
      </c>
      <c r="Z96" s="30"/>
      <c r="AA96" s="30">
        <f t="shared" si="111"/>
        <v>0</v>
      </c>
      <c r="AB96" s="31"/>
      <c r="AC96" s="32">
        <f t="shared" si="112"/>
        <v>0</v>
      </c>
      <c r="AD96" s="13"/>
      <c r="AE96" s="2" t="s">
        <v>9</v>
      </c>
      <c r="AF96" s="2">
        <v>2021</v>
      </c>
      <c r="AG96" s="1">
        <f t="shared" si="94"/>
        <v>22092</v>
      </c>
      <c r="AH96" s="11">
        <f t="shared" si="95"/>
        <v>3233977</v>
      </c>
      <c r="AI96" s="1">
        <f t="shared" si="96"/>
        <v>231893</v>
      </c>
      <c r="AJ96" s="11">
        <f t="shared" si="97"/>
        <v>45046514</v>
      </c>
      <c r="AK96" s="8">
        <f t="shared" si="98"/>
        <v>12056</v>
      </c>
      <c r="AL96" s="11">
        <f t="shared" si="99"/>
        <v>2832233</v>
      </c>
      <c r="AM96" s="8">
        <f t="shared" si="100"/>
        <v>11599</v>
      </c>
      <c r="AN96" s="11">
        <f t="shared" si="101"/>
        <v>1748960</v>
      </c>
      <c r="AO96" s="8">
        <f t="shared" si="102"/>
        <v>0</v>
      </c>
      <c r="AP96" s="11">
        <f t="shared" si="103"/>
        <v>0</v>
      </c>
      <c r="AQ96" s="11">
        <f t="shared" si="104"/>
        <v>2</v>
      </c>
      <c r="AR96" s="11">
        <f t="shared" si="105"/>
        <v>121</v>
      </c>
      <c r="AS96" s="8">
        <f t="shared" si="113"/>
        <v>277642</v>
      </c>
      <c r="AT96" s="11">
        <f t="shared" si="106"/>
        <v>52861805</v>
      </c>
      <c r="AU96" s="2" t="str">
        <f t="shared" si="107"/>
        <v>LEP</v>
      </c>
      <c r="AV96" s="37">
        <f t="shared" si="108"/>
        <v>0</v>
      </c>
      <c r="AW96" s="37">
        <f t="shared" si="109"/>
        <v>0</v>
      </c>
    </row>
    <row r="97" spans="1:49" outlineLevel="1" x14ac:dyDescent="0.25">
      <c r="B97" s="2" t="s">
        <v>10</v>
      </c>
      <c r="C97" s="2">
        <v>2022</v>
      </c>
      <c r="D97" s="1">
        <v>12466</v>
      </c>
      <c r="E97" s="11">
        <v>1528000</v>
      </c>
      <c r="F97" s="1">
        <v>6329</v>
      </c>
      <c r="G97" s="11">
        <v>1229830</v>
      </c>
      <c r="H97" s="1">
        <v>1703</v>
      </c>
      <c r="I97" s="11">
        <v>341539</v>
      </c>
      <c r="J97" s="1">
        <v>221797</v>
      </c>
      <c r="K97" s="11">
        <v>43521868</v>
      </c>
      <c r="L97" s="8">
        <v>11038</v>
      </c>
      <c r="M97" s="11">
        <v>2602309</v>
      </c>
      <c r="N97" s="8">
        <v>11261</v>
      </c>
      <c r="O97" s="11">
        <v>1763765</v>
      </c>
      <c r="P97" s="8">
        <v>0</v>
      </c>
      <c r="Q97" s="11">
        <v>0</v>
      </c>
      <c r="R97" s="8">
        <v>0</v>
      </c>
      <c r="S97" s="11">
        <v>0</v>
      </c>
      <c r="T97" s="53">
        <f t="shared" si="110"/>
        <v>264594</v>
      </c>
      <c r="U97" s="54">
        <f t="shared" si="93"/>
        <v>50987311</v>
      </c>
      <c r="V97" s="2" t="s">
        <v>60</v>
      </c>
      <c r="Z97" s="30"/>
      <c r="AA97" s="30">
        <f t="shared" si="111"/>
        <v>0</v>
      </c>
      <c r="AB97" s="31"/>
      <c r="AC97" s="32">
        <f t="shared" si="112"/>
        <v>0</v>
      </c>
      <c r="AD97" s="13"/>
      <c r="AE97" s="2" t="s">
        <v>10</v>
      </c>
      <c r="AF97" s="2">
        <v>2021</v>
      </c>
      <c r="AG97" s="1">
        <f t="shared" si="94"/>
        <v>20498</v>
      </c>
      <c r="AH97" s="11">
        <f t="shared" si="95"/>
        <v>3099369</v>
      </c>
      <c r="AI97" s="1">
        <f t="shared" si="96"/>
        <v>221797</v>
      </c>
      <c r="AJ97" s="11">
        <f t="shared" si="97"/>
        <v>43521868</v>
      </c>
      <c r="AK97" s="8">
        <f t="shared" si="98"/>
        <v>11038</v>
      </c>
      <c r="AL97" s="11">
        <f t="shared" si="99"/>
        <v>2602309</v>
      </c>
      <c r="AM97" s="8">
        <f t="shared" si="100"/>
        <v>11261</v>
      </c>
      <c r="AN97" s="11">
        <f t="shared" si="101"/>
        <v>1763765</v>
      </c>
      <c r="AO97" s="8">
        <f t="shared" si="102"/>
        <v>0</v>
      </c>
      <c r="AP97" s="11">
        <f t="shared" si="103"/>
        <v>0</v>
      </c>
      <c r="AQ97" s="11">
        <f t="shared" si="104"/>
        <v>0</v>
      </c>
      <c r="AR97" s="11">
        <f t="shared" si="105"/>
        <v>0</v>
      </c>
      <c r="AS97" s="8">
        <f t="shared" si="113"/>
        <v>264594</v>
      </c>
      <c r="AT97" s="11">
        <f t="shared" si="106"/>
        <v>50987311</v>
      </c>
      <c r="AU97" s="2" t="str">
        <f t="shared" si="107"/>
        <v>LEP</v>
      </c>
      <c r="AV97" s="37">
        <f t="shared" si="108"/>
        <v>0</v>
      </c>
      <c r="AW97" s="37">
        <f t="shared" si="109"/>
        <v>0</v>
      </c>
    </row>
    <row r="98" spans="1:49" outlineLevel="1" x14ac:dyDescent="0.25">
      <c r="B98" s="2" t="s">
        <v>11</v>
      </c>
      <c r="C98" s="2">
        <v>2022</v>
      </c>
      <c r="D98" s="1">
        <v>14499</v>
      </c>
      <c r="E98" s="11">
        <v>1657825</v>
      </c>
      <c r="F98" s="1">
        <v>6931</v>
      </c>
      <c r="G98" s="11">
        <v>1265590</v>
      </c>
      <c r="H98" s="1">
        <v>1843</v>
      </c>
      <c r="I98" s="11">
        <v>357518</v>
      </c>
      <c r="J98" s="1">
        <v>235375</v>
      </c>
      <c r="K98" s="11">
        <v>44553468</v>
      </c>
      <c r="L98" s="8">
        <v>11017</v>
      </c>
      <c r="M98" s="11">
        <v>2568915</v>
      </c>
      <c r="N98" s="8">
        <v>11612</v>
      </c>
      <c r="O98" s="11">
        <v>1757168</v>
      </c>
      <c r="P98" s="8">
        <v>0</v>
      </c>
      <c r="Q98" s="11">
        <v>0</v>
      </c>
      <c r="R98" s="8">
        <v>22</v>
      </c>
      <c r="S98" s="11">
        <v>1933</v>
      </c>
      <c r="T98" s="53">
        <f t="shared" si="110"/>
        <v>281299</v>
      </c>
      <c r="U98" s="54">
        <f t="shared" si="93"/>
        <v>52162417</v>
      </c>
      <c r="V98" s="2" t="s">
        <v>60</v>
      </c>
      <c r="Z98" s="30"/>
      <c r="AA98" s="30">
        <f t="shared" si="111"/>
        <v>0</v>
      </c>
      <c r="AB98" s="31"/>
      <c r="AC98" s="32">
        <f t="shared" si="112"/>
        <v>0</v>
      </c>
      <c r="AE98" s="2" t="s">
        <v>11</v>
      </c>
      <c r="AF98" s="2">
        <v>2021</v>
      </c>
      <c r="AG98" s="1">
        <f t="shared" si="94"/>
        <v>23273</v>
      </c>
      <c r="AH98" s="11">
        <f t="shared" si="95"/>
        <v>3280933</v>
      </c>
      <c r="AI98" s="1">
        <f t="shared" si="96"/>
        <v>235375</v>
      </c>
      <c r="AJ98" s="11">
        <f t="shared" si="97"/>
        <v>44553468</v>
      </c>
      <c r="AK98" s="8">
        <f t="shared" si="98"/>
        <v>11017</v>
      </c>
      <c r="AL98" s="11">
        <f t="shared" si="99"/>
        <v>2568915</v>
      </c>
      <c r="AM98" s="8">
        <f t="shared" si="100"/>
        <v>11612</v>
      </c>
      <c r="AN98" s="11">
        <f t="shared" si="101"/>
        <v>1757168</v>
      </c>
      <c r="AO98" s="8">
        <f t="shared" si="102"/>
        <v>0</v>
      </c>
      <c r="AP98" s="11">
        <f t="shared" si="103"/>
        <v>0</v>
      </c>
      <c r="AQ98" s="11">
        <f t="shared" si="104"/>
        <v>22</v>
      </c>
      <c r="AR98" s="11">
        <f t="shared" si="105"/>
        <v>1933</v>
      </c>
      <c r="AS98" s="8">
        <f t="shared" si="113"/>
        <v>281299</v>
      </c>
      <c r="AT98" s="11">
        <f t="shared" si="106"/>
        <v>52162417</v>
      </c>
      <c r="AU98" s="2" t="str">
        <f t="shared" si="107"/>
        <v>LEP</v>
      </c>
      <c r="AV98" s="37">
        <f t="shared" si="108"/>
        <v>0</v>
      </c>
      <c r="AW98" s="37">
        <f t="shared" si="109"/>
        <v>0</v>
      </c>
    </row>
    <row r="99" spans="1:49" outlineLevel="1" x14ac:dyDescent="0.25">
      <c r="B99" s="2" t="s">
        <v>4</v>
      </c>
      <c r="C99" s="2">
        <v>2022</v>
      </c>
      <c r="D99" s="1">
        <v>15354</v>
      </c>
      <c r="E99" s="11">
        <v>1773359</v>
      </c>
      <c r="F99" s="1">
        <v>7389</v>
      </c>
      <c r="G99" s="11">
        <v>1345387</v>
      </c>
      <c r="H99" s="1">
        <v>2122</v>
      </c>
      <c r="I99" s="11">
        <v>416606</v>
      </c>
      <c r="J99" s="1">
        <v>244034</v>
      </c>
      <c r="K99" s="11">
        <v>45907053</v>
      </c>
      <c r="L99" s="8">
        <v>10676</v>
      </c>
      <c r="M99" s="11">
        <v>2446659</v>
      </c>
      <c r="N99" s="8">
        <v>12598</v>
      </c>
      <c r="O99" s="11">
        <v>1918377</v>
      </c>
      <c r="P99" s="8">
        <v>0</v>
      </c>
      <c r="Q99" s="11">
        <v>0</v>
      </c>
      <c r="R99" s="8">
        <v>37</v>
      </c>
      <c r="S99" s="11">
        <v>5940</v>
      </c>
      <c r="T99" s="53">
        <f t="shared" si="110"/>
        <v>292210</v>
      </c>
      <c r="U99" s="54">
        <f t="shared" si="93"/>
        <v>53813381</v>
      </c>
      <c r="V99" s="2" t="s">
        <v>60</v>
      </c>
      <c r="Z99" s="30"/>
      <c r="AA99" s="30">
        <f t="shared" si="111"/>
        <v>0</v>
      </c>
      <c r="AB99" s="31"/>
      <c r="AC99" s="32">
        <f t="shared" si="112"/>
        <v>0</v>
      </c>
      <c r="AE99" s="2" t="s">
        <v>4</v>
      </c>
      <c r="AF99" s="2">
        <v>2021</v>
      </c>
      <c r="AG99" s="1">
        <f t="shared" si="94"/>
        <v>24865</v>
      </c>
      <c r="AH99" s="11">
        <f t="shared" si="95"/>
        <v>3535352</v>
      </c>
      <c r="AI99" s="1">
        <f t="shared" si="96"/>
        <v>244034</v>
      </c>
      <c r="AJ99" s="11">
        <f t="shared" si="97"/>
        <v>45907053</v>
      </c>
      <c r="AK99" s="8">
        <f t="shared" si="98"/>
        <v>10676</v>
      </c>
      <c r="AL99" s="11">
        <f t="shared" si="99"/>
        <v>2446659</v>
      </c>
      <c r="AM99" s="8">
        <f t="shared" si="100"/>
        <v>12598</v>
      </c>
      <c r="AN99" s="11">
        <f t="shared" si="101"/>
        <v>1918377</v>
      </c>
      <c r="AO99" s="8">
        <f t="shared" si="102"/>
        <v>0</v>
      </c>
      <c r="AP99" s="11">
        <f t="shared" si="103"/>
        <v>0</v>
      </c>
      <c r="AQ99" s="11">
        <f t="shared" si="104"/>
        <v>37</v>
      </c>
      <c r="AR99" s="11">
        <f t="shared" si="105"/>
        <v>5940</v>
      </c>
      <c r="AS99" s="8">
        <f t="shared" si="113"/>
        <v>292210</v>
      </c>
      <c r="AT99" s="11">
        <f t="shared" si="106"/>
        <v>53813381</v>
      </c>
      <c r="AU99" s="2" t="str">
        <f t="shared" si="107"/>
        <v>LEP</v>
      </c>
      <c r="AV99" s="37">
        <f t="shared" si="108"/>
        <v>0</v>
      </c>
      <c r="AW99" s="37">
        <f t="shared" si="109"/>
        <v>0</v>
      </c>
    </row>
    <row r="100" spans="1:49" outlineLevel="1" x14ac:dyDescent="0.25">
      <c r="B100" s="2" t="s">
        <v>28</v>
      </c>
      <c r="C100" s="2">
        <v>2022</v>
      </c>
      <c r="D100" s="1">
        <v>13172</v>
      </c>
      <c r="E100" s="11">
        <v>1578918</v>
      </c>
      <c r="F100" s="1">
        <v>6443</v>
      </c>
      <c r="G100" s="11">
        <v>1164264</v>
      </c>
      <c r="H100" s="1">
        <v>2119</v>
      </c>
      <c r="I100" s="11">
        <v>450145</v>
      </c>
      <c r="J100" s="1">
        <v>227482</v>
      </c>
      <c r="K100" s="11">
        <v>43636432</v>
      </c>
      <c r="L100" s="8">
        <v>9599</v>
      </c>
      <c r="M100" s="11">
        <v>2238388</v>
      </c>
      <c r="N100" s="8">
        <v>12439</v>
      </c>
      <c r="O100" s="11">
        <v>1876866</v>
      </c>
      <c r="P100" s="8">
        <v>0</v>
      </c>
      <c r="Q100" s="11">
        <v>0</v>
      </c>
      <c r="R100" s="8">
        <v>27</v>
      </c>
      <c r="S100" s="11">
        <v>3647</v>
      </c>
      <c r="T100" s="53">
        <f t="shared" si="110"/>
        <v>271281</v>
      </c>
      <c r="U100" s="54">
        <f>O100+M100+K100+I100+E100+Q100+G100+S100</f>
        <v>50948660</v>
      </c>
      <c r="V100" s="2" t="s">
        <v>60</v>
      </c>
      <c r="Z100" s="30"/>
      <c r="AA100" s="30">
        <f t="shared" si="111"/>
        <v>0</v>
      </c>
      <c r="AB100" s="31"/>
      <c r="AC100" s="32">
        <f t="shared" si="112"/>
        <v>0</v>
      </c>
      <c r="AE100" s="2" t="s">
        <v>28</v>
      </c>
      <c r="AF100" s="2">
        <v>2021</v>
      </c>
      <c r="AG100" s="1">
        <f t="shared" si="94"/>
        <v>21734</v>
      </c>
      <c r="AH100" s="11">
        <f t="shared" si="95"/>
        <v>3193327</v>
      </c>
      <c r="AI100" s="1">
        <f t="shared" si="96"/>
        <v>227482</v>
      </c>
      <c r="AJ100" s="11">
        <f t="shared" si="97"/>
        <v>43636432</v>
      </c>
      <c r="AK100" s="8">
        <f t="shared" si="98"/>
        <v>9599</v>
      </c>
      <c r="AL100" s="11">
        <f t="shared" si="99"/>
        <v>2238388</v>
      </c>
      <c r="AM100" s="8">
        <f t="shared" si="100"/>
        <v>12439</v>
      </c>
      <c r="AN100" s="11">
        <f t="shared" si="101"/>
        <v>1876866</v>
      </c>
      <c r="AO100" s="8">
        <f t="shared" si="102"/>
        <v>0</v>
      </c>
      <c r="AP100" s="11">
        <f t="shared" si="103"/>
        <v>0</v>
      </c>
      <c r="AQ100" s="11">
        <f t="shared" si="104"/>
        <v>27</v>
      </c>
      <c r="AR100" s="11">
        <f t="shared" si="105"/>
        <v>3647</v>
      </c>
      <c r="AS100" s="8">
        <f t="shared" si="113"/>
        <v>271281</v>
      </c>
      <c r="AT100" s="11">
        <f t="shared" si="106"/>
        <v>50948660</v>
      </c>
      <c r="AU100" s="2" t="str">
        <f t="shared" si="107"/>
        <v>LEP</v>
      </c>
      <c r="AV100" s="37">
        <f t="shared" si="108"/>
        <v>0</v>
      </c>
      <c r="AW100" s="37">
        <f t="shared" si="109"/>
        <v>0</v>
      </c>
    </row>
    <row r="101" spans="1:49" outlineLevel="1" x14ac:dyDescent="0.25">
      <c r="B101" s="2" t="s">
        <v>29</v>
      </c>
      <c r="C101" s="2">
        <v>2022</v>
      </c>
      <c r="D101" s="1">
        <v>14725</v>
      </c>
      <c r="E101" s="11">
        <v>1822680</v>
      </c>
      <c r="F101" s="1">
        <v>7158</v>
      </c>
      <c r="G101" s="11">
        <v>1306786</v>
      </c>
      <c r="H101" s="1">
        <v>2744</v>
      </c>
      <c r="I101" s="11">
        <v>552980</v>
      </c>
      <c r="J101" s="1">
        <v>248196</v>
      </c>
      <c r="K101" s="11">
        <v>47414189</v>
      </c>
      <c r="L101" s="8">
        <v>9736</v>
      </c>
      <c r="M101" s="11">
        <v>2221396</v>
      </c>
      <c r="N101" s="8">
        <v>13923</v>
      </c>
      <c r="O101" s="11">
        <v>2151623</v>
      </c>
      <c r="P101" s="8">
        <v>0</v>
      </c>
      <c r="Q101" s="11">
        <v>0</v>
      </c>
      <c r="R101" s="8">
        <v>35</v>
      </c>
      <c r="S101" s="11">
        <v>4583</v>
      </c>
      <c r="T101" s="53">
        <f>N101+L101+J101+H101+D101+P101+F101+R101</f>
        <v>296517</v>
      </c>
      <c r="U101" s="54">
        <f t="shared" si="93"/>
        <v>55474237</v>
      </c>
      <c r="V101" s="2" t="s">
        <v>60</v>
      </c>
      <c r="Z101" s="30"/>
      <c r="AA101" s="30">
        <f t="shared" si="111"/>
        <v>0</v>
      </c>
      <c r="AB101" s="31"/>
      <c r="AC101" s="32">
        <f t="shared" si="112"/>
        <v>0</v>
      </c>
      <c r="AE101" s="2" t="s">
        <v>29</v>
      </c>
      <c r="AF101" s="2">
        <v>2021</v>
      </c>
      <c r="AG101" s="1">
        <f t="shared" si="94"/>
        <v>24627</v>
      </c>
      <c r="AH101" s="11">
        <f t="shared" si="95"/>
        <v>3682446</v>
      </c>
      <c r="AI101" s="1">
        <f t="shared" si="96"/>
        <v>248196</v>
      </c>
      <c r="AJ101" s="11">
        <f t="shared" si="97"/>
        <v>47414189</v>
      </c>
      <c r="AK101" s="8">
        <f t="shared" si="98"/>
        <v>9736</v>
      </c>
      <c r="AL101" s="11">
        <f t="shared" si="99"/>
        <v>2221396</v>
      </c>
      <c r="AM101" s="8">
        <f t="shared" si="100"/>
        <v>13923</v>
      </c>
      <c r="AN101" s="11">
        <f t="shared" si="101"/>
        <v>2151623</v>
      </c>
      <c r="AO101" s="8">
        <f t="shared" si="102"/>
        <v>0</v>
      </c>
      <c r="AP101" s="11">
        <f t="shared" si="103"/>
        <v>0</v>
      </c>
      <c r="AQ101" s="11">
        <f t="shared" si="104"/>
        <v>35</v>
      </c>
      <c r="AR101" s="11">
        <f t="shared" si="105"/>
        <v>4583</v>
      </c>
      <c r="AS101" s="8">
        <f t="shared" si="113"/>
        <v>296517</v>
      </c>
      <c r="AT101" s="11">
        <f t="shared" si="106"/>
        <v>55474237</v>
      </c>
      <c r="AU101" s="2" t="str">
        <f t="shared" si="107"/>
        <v>LEP</v>
      </c>
      <c r="AV101" s="37">
        <f t="shared" si="108"/>
        <v>0</v>
      </c>
      <c r="AW101" s="37">
        <f t="shared" si="109"/>
        <v>0</v>
      </c>
    </row>
    <row r="102" spans="1:49" outlineLevel="1" x14ac:dyDescent="0.25">
      <c r="B102" s="2" t="s">
        <v>30</v>
      </c>
      <c r="C102" s="2">
        <v>2022</v>
      </c>
      <c r="D102" s="1">
        <v>14669</v>
      </c>
      <c r="E102" s="11">
        <v>1754696</v>
      </c>
      <c r="F102" s="1">
        <v>7350</v>
      </c>
      <c r="G102" s="11">
        <v>1349855</v>
      </c>
      <c r="H102" s="1">
        <v>2853</v>
      </c>
      <c r="I102" s="11">
        <v>564611</v>
      </c>
      <c r="J102" s="1">
        <v>241109</v>
      </c>
      <c r="K102" s="11">
        <v>45748456</v>
      </c>
      <c r="L102" s="8">
        <v>8441</v>
      </c>
      <c r="M102" s="11">
        <v>1968261</v>
      </c>
      <c r="N102" s="8">
        <v>13397</v>
      </c>
      <c r="O102" s="11">
        <v>2063012</v>
      </c>
      <c r="P102" s="8">
        <v>0</v>
      </c>
      <c r="Q102" s="11">
        <v>0</v>
      </c>
      <c r="R102" s="8">
        <v>50</v>
      </c>
      <c r="S102" s="11">
        <v>5583</v>
      </c>
      <c r="T102" s="53">
        <f t="shared" si="110"/>
        <v>287869</v>
      </c>
      <c r="U102" s="54">
        <f t="shared" si="93"/>
        <v>53454474</v>
      </c>
      <c r="V102" s="2" t="s">
        <v>60</v>
      </c>
      <c r="Z102" s="30"/>
      <c r="AA102" s="30">
        <f t="shared" si="111"/>
        <v>0</v>
      </c>
      <c r="AB102" s="31"/>
      <c r="AC102" s="32">
        <f t="shared" si="112"/>
        <v>0</v>
      </c>
      <c r="AE102" s="2" t="s">
        <v>30</v>
      </c>
      <c r="AF102" s="2">
        <v>2021</v>
      </c>
      <c r="AG102" s="1">
        <f t="shared" si="94"/>
        <v>24872</v>
      </c>
      <c r="AH102" s="11">
        <f t="shared" si="95"/>
        <v>3669162</v>
      </c>
      <c r="AI102" s="1">
        <f t="shared" si="96"/>
        <v>241109</v>
      </c>
      <c r="AJ102" s="11">
        <f t="shared" si="97"/>
        <v>45748456</v>
      </c>
      <c r="AK102" s="8">
        <f t="shared" si="98"/>
        <v>8441</v>
      </c>
      <c r="AL102" s="11">
        <f t="shared" si="99"/>
        <v>1968261</v>
      </c>
      <c r="AM102" s="8">
        <f t="shared" si="100"/>
        <v>13397</v>
      </c>
      <c r="AN102" s="11">
        <f t="shared" si="101"/>
        <v>2063012</v>
      </c>
      <c r="AO102" s="8">
        <f t="shared" si="102"/>
        <v>0</v>
      </c>
      <c r="AP102" s="11">
        <f t="shared" si="103"/>
        <v>0</v>
      </c>
      <c r="AQ102" s="11">
        <f t="shared" si="104"/>
        <v>50</v>
      </c>
      <c r="AR102" s="11">
        <f t="shared" si="105"/>
        <v>5583</v>
      </c>
      <c r="AS102" s="8">
        <f t="shared" si="113"/>
        <v>287869</v>
      </c>
      <c r="AT102" s="11">
        <f t="shared" si="106"/>
        <v>53454474</v>
      </c>
      <c r="AU102" s="2" t="str">
        <f t="shared" si="107"/>
        <v>LEP</v>
      </c>
      <c r="AV102" s="37">
        <f t="shared" si="108"/>
        <v>0</v>
      </c>
      <c r="AW102" s="37">
        <f t="shared" si="109"/>
        <v>0</v>
      </c>
    </row>
    <row r="103" spans="1:49" outlineLevel="1" x14ac:dyDescent="0.25">
      <c r="B103" s="2" t="s">
        <v>31</v>
      </c>
      <c r="C103" s="2">
        <v>2022</v>
      </c>
      <c r="D103" s="1">
        <v>17988</v>
      </c>
      <c r="E103" s="11">
        <v>1965706</v>
      </c>
      <c r="F103" s="1">
        <v>8276</v>
      </c>
      <c r="G103" s="11">
        <v>1494634</v>
      </c>
      <c r="H103" s="1">
        <v>2745</v>
      </c>
      <c r="I103" s="11">
        <v>546515</v>
      </c>
      <c r="J103" s="1">
        <v>255499</v>
      </c>
      <c r="K103" s="11">
        <v>46459767</v>
      </c>
      <c r="L103" s="8">
        <v>8295</v>
      </c>
      <c r="M103" s="11">
        <v>1923123</v>
      </c>
      <c r="N103" s="8">
        <v>14436</v>
      </c>
      <c r="O103" s="11">
        <v>2182266</v>
      </c>
      <c r="P103" s="8">
        <v>0</v>
      </c>
      <c r="Q103" s="11">
        <v>0</v>
      </c>
      <c r="R103" s="8">
        <v>61</v>
      </c>
      <c r="S103" s="11">
        <v>6435</v>
      </c>
      <c r="T103" s="53">
        <f t="shared" si="110"/>
        <v>307300</v>
      </c>
      <c r="U103" s="54">
        <f t="shared" si="93"/>
        <v>54578446</v>
      </c>
      <c r="V103" s="2" t="s">
        <v>60</v>
      </c>
      <c r="X103" s="13"/>
      <c r="Z103" s="30"/>
      <c r="AA103" s="30">
        <f t="shared" si="111"/>
        <v>0</v>
      </c>
      <c r="AB103" s="31"/>
      <c r="AC103" s="32">
        <f t="shared" si="112"/>
        <v>0</v>
      </c>
      <c r="AE103" s="2" t="s">
        <v>31</v>
      </c>
      <c r="AF103" s="2">
        <v>2021</v>
      </c>
      <c r="AG103" s="1">
        <f t="shared" si="94"/>
        <v>29009</v>
      </c>
      <c r="AH103" s="11">
        <f t="shared" si="95"/>
        <v>4006855</v>
      </c>
      <c r="AI103" s="1">
        <f t="shared" si="96"/>
        <v>255499</v>
      </c>
      <c r="AJ103" s="11">
        <f t="shared" si="97"/>
        <v>46459767</v>
      </c>
      <c r="AK103" s="8">
        <f t="shared" si="98"/>
        <v>8295</v>
      </c>
      <c r="AL103" s="11">
        <f t="shared" si="99"/>
        <v>1923123</v>
      </c>
      <c r="AM103" s="8">
        <f t="shared" si="100"/>
        <v>14436</v>
      </c>
      <c r="AN103" s="11">
        <f t="shared" si="101"/>
        <v>2182266</v>
      </c>
      <c r="AO103" s="8">
        <f t="shared" si="102"/>
        <v>0</v>
      </c>
      <c r="AP103" s="11">
        <f t="shared" si="103"/>
        <v>0</v>
      </c>
      <c r="AQ103" s="11">
        <f t="shared" si="104"/>
        <v>61</v>
      </c>
      <c r="AR103" s="11">
        <f t="shared" si="105"/>
        <v>6435</v>
      </c>
      <c r="AS103" s="8">
        <f t="shared" si="113"/>
        <v>307300</v>
      </c>
      <c r="AT103" s="11">
        <f t="shared" si="106"/>
        <v>54578446</v>
      </c>
      <c r="AU103" s="2" t="str">
        <f t="shared" si="107"/>
        <v>LEP</v>
      </c>
      <c r="AV103" s="37">
        <f t="shared" si="108"/>
        <v>0</v>
      </c>
      <c r="AW103" s="37">
        <f t="shared" si="109"/>
        <v>0</v>
      </c>
    </row>
    <row r="104" spans="1:49" outlineLevel="1" x14ac:dyDescent="0.25">
      <c r="AH104" s="9"/>
      <c r="AJ104" s="9"/>
      <c r="AL104" s="9"/>
      <c r="AN104" s="9"/>
      <c r="AO104" s="9"/>
      <c r="AP104" s="9"/>
      <c r="AQ104" s="9"/>
      <c r="AR104" s="9"/>
      <c r="AT104" s="9"/>
    </row>
    <row r="105" spans="1:49" outlineLevel="1" x14ac:dyDescent="0.25">
      <c r="B105" s="3" t="s">
        <v>12</v>
      </c>
      <c r="C105" s="3"/>
      <c r="D105" s="4">
        <f t="shared" ref="D105:U105" si="116">SUM(D92:D104)</f>
        <v>171535</v>
      </c>
      <c r="E105" s="12">
        <f t="shared" si="116"/>
        <v>19762882</v>
      </c>
      <c r="F105" s="4">
        <f t="shared" si="116"/>
        <v>80948</v>
      </c>
      <c r="G105" s="12">
        <f t="shared" si="116"/>
        <v>14802718</v>
      </c>
      <c r="H105" s="4">
        <f t="shared" si="116"/>
        <v>24440</v>
      </c>
      <c r="I105" s="12">
        <f t="shared" si="116"/>
        <v>4901503</v>
      </c>
      <c r="J105" s="4">
        <f t="shared" si="116"/>
        <v>2796755</v>
      </c>
      <c r="K105" s="12">
        <f t="shared" si="116"/>
        <v>529755520</v>
      </c>
      <c r="L105" s="4">
        <f t="shared" si="116"/>
        <v>130392</v>
      </c>
      <c r="M105" s="12">
        <f t="shared" si="116"/>
        <v>30254754</v>
      </c>
      <c r="N105" s="4">
        <f t="shared" si="116"/>
        <v>144056</v>
      </c>
      <c r="O105" s="12">
        <f t="shared" si="116"/>
        <v>21958198</v>
      </c>
      <c r="P105" s="4">
        <f>SUM(P92:P104)</f>
        <v>0</v>
      </c>
      <c r="Q105" s="12">
        <f>SUM(Q92:Q104)</f>
        <v>0</v>
      </c>
      <c r="R105" s="4">
        <f>SUM(R92:R104)</f>
        <v>235</v>
      </c>
      <c r="S105" s="12">
        <f>SUM(S92:S104)</f>
        <v>28291</v>
      </c>
      <c r="T105" s="4">
        <f t="shared" si="116"/>
        <v>3348361</v>
      </c>
      <c r="U105" s="12">
        <f t="shared" si="116"/>
        <v>621463866</v>
      </c>
      <c r="Z105" s="12" t="e">
        <f>AVERAGE(Z92:Z104)</f>
        <v>#DIV/0!</v>
      </c>
      <c r="AA105" s="12">
        <f t="shared" ref="AA105:AC105" si="117">AVERAGE(AA92:AA104)</f>
        <v>0</v>
      </c>
      <c r="AB105" s="12" t="e">
        <f t="shared" si="117"/>
        <v>#DIV/0!</v>
      </c>
      <c r="AC105" s="16">
        <f t="shared" si="117"/>
        <v>0</v>
      </c>
      <c r="AE105" s="3" t="s">
        <v>12</v>
      </c>
      <c r="AF105" s="3"/>
      <c r="AG105" s="4">
        <f t="shared" ref="AG105:AT105" si="118">SUM(AG92:AG104)</f>
        <v>276923</v>
      </c>
      <c r="AH105" s="12">
        <f t="shared" si="118"/>
        <v>39467103</v>
      </c>
      <c r="AI105" s="4">
        <f t="shared" si="118"/>
        <v>2796755</v>
      </c>
      <c r="AJ105" s="12">
        <f t="shared" si="118"/>
        <v>529755520</v>
      </c>
      <c r="AK105" s="4">
        <f t="shared" si="118"/>
        <v>130392</v>
      </c>
      <c r="AL105" s="12">
        <f t="shared" si="118"/>
        <v>30254754</v>
      </c>
      <c r="AM105" s="4">
        <f t="shared" si="118"/>
        <v>144056</v>
      </c>
      <c r="AN105" s="12">
        <f t="shared" si="118"/>
        <v>21958198</v>
      </c>
      <c r="AO105" s="4">
        <f t="shared" si="118"/>
        <v>0</v>
      </c>
      <c r="AP105" s="12">
        <f t="shared" si="118"/>
        <v>0</v>
      </c>
      <c r="AQ105" s="4">
        <f t="shared" si="118"/>
        <v>235</v>
      </c>
      <c r="AR105" s="12">
        <f t="shared" si="118"/>
        <v>28291</v>
      </c>
      <c r="AS105" s="4">
        <f t="shared" si="118"/>
        <v>3348361</v>
      </c>
      <c r="AT105" s="12">
        <f t="shared" si="118"/>
        <v>621463866</v>
      </c>
    </row>
    <row r="106" spans="1:49" outlineLevel="1" x14ac:dyDescent="0.25">
      <c r="J106" s="46" t="str">
        <f>+$B$87</f>
        <v>Aforo e Ingreso - LEPSA</v>
      </c>
      <c r="K106" s="9" t="s">
        <v>84</v>
      </c>
      <c r="L106" s="15">
        <f>AVERAGE(L92:L103)</f>
        <v>10866</v>
      </c>
      <c r="M106" s="60">
        <f>AVERAGE(M92:M103)</f>
        <v>2521229.5</v>
      </c>
      <c r="T106" s="15">
        <f>AVERAGE(T92:T103)</f>
        <v>279030.08333333331</v>
      </c>
      <c r="U106" s="28">
        <f>AVERAGE(U92:U103)</f>
        <v>51788655.5</v>
      </c>
    </row>
    <row r="107" spans="1:49" outlineLevel="1" x14ac:dyDescent="0.25">
      <c r="B107" s="5" t="s">
        <v>14</v>
      </c>
      <c r="J107" s="46" t="str">
        <f>+$B$87</f>
        <v>Aforo e Ingreso - LEPSA</v>
      </c>
      <c r="K107" s="9" t="s">
        <v>85</v>
      </c>
      <c r="L107" s="26">
        <f>+L106/$L$316</f>
        <v>5.2277121021743644E-2</v>
      </c>
      <c r="M107" s="36">
        <f>+M106/$M$316</f>
        <v>8.4630961781974129E-2</v>
      </c>
      <c r="N107" s="18"/>
      <c r="O107" s="19"/>
      <c r="P107" s="19"/>
      <c r="Q107" s="19"/>
      <c r="R107" s="19"/>
      <c r="S107" s="19"/>
      <c r="T107" s="36">
        <f>+L106/T106</f>
        <v>3.8942037611834568E-2</v>
      </c>
      <c r="U107" s="62">
        <f>+M106/U106</f>
        <v>4.8683046038914837E-2</v>
      </c>
    </row>
    <row r="108" spans="1:49" outlineLevel="1" x14ac:dyDescent="0.25">
      <c r="B108" s="5" t="s">
        <v>35</v>
      </c>
      <c r="L108" s="26"/>
      <c r="M108" s="26"/>
      <c r="N108" s="9"/>
      <c r="P108"/>
    </row>
    <row r="109" spans="1:49" outlineLevel="1" x14ac:dyDescent="0.25">
      <c r="B109" s="5"/>
      <c r="N109" s="9"/>
      <c r="P109"/>
    </row>
    <row r="110" spans="1:49" outlineLevel="1" x14ac:dyDescent="0.25">
      <c r="D110" s="89" t="s">
        <v>15</v>
      </c>
      <c r="E110" s="90"/>
      <c r="F110" s="89" t="s">
        <v>71</v>
      </c>
      <c r="G110" s="90"/>
      <c r="H110" s="89" t="s">
        <v>16</v>
      </c>
      <c r="I110" s="90"/>
      <c r="J110" s="89" t="s">
        <v>17</v>
      </c>
      <c r="K110" s="93"/>
      <c r="L110" s="89" t="s">
        <v>18</v>
      </c>
      <c r="M110" s="93"/>
      <c r="N110" s="89" t="s">
        <v>13</v>
      </c>
      <c r="O110" s="93"/>
      <c r="P110" s="89" t="s">
        <v>34</v>
      </c>
      <c r="Q110" s="93"/>
      <c r="R110" s="89" t="s">
        <v>87</v>
      </c>
      <c r="S110" s="93"/>
      <c r="T110" s="89" t="s">
        <v>46</v>
      </c>
      <c r="U110" s="90"/>
      <c r="V110" s="89" t="s">
        <v>12</v>
      </c>
      <c r="W110" s="93"/>
      <c r="AG110" s="89" t="s">
        <v>69</v>
      </c>
      <c r="AH110" s="90"/>
      <c r="AI110" s="89" t="s">
        <v>17</v>
      </c>
      <c r="AJ110" s="93"/>
      <c r="AK110" s="89" t="s">
        <v>18</v>
      </c>
      <c r="AL110" s="93"/>
      <c r="AM110" s="89" t="s">
        <v>13</v>
      </c>
      <c r="AN110" s="93"/>
      <c r="AO110" s="89" t="s">
        <v>34</v>
      </c>
      <c r="AP110" s="93"/>
      <c r="AQ110" s="89" t="s">
        <v>87</v>
      </c>
      <c r="AR110" s="93"/>
      <c r="AS110" s="89" t="s">
        <v>12</v>
      </c>
      <c r="AT110" s="93"/>
    </row>
    <row r="111" spans="1:49" outlineLevel="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V111" s="7" t="s">
        <v>2</v>
      </c>
      <c r="W111" s="10" t="s">
        <v>3</v>
      </c>
      <c r="Z111" s="33">
        <v>2021</v>
      </c>
      <c r="AA111" s="34">
        <v>0.62545378114302086</v>
      </c>
      <c r="AB111" s="33">
        <f>+Z111</f>
        <v>2021</v>
      </c>
      <c r="AC111" s="35">
        <v>7.7605765187370272E-3</v>
      </c>
      <c r="AE111" s="7" t="s">
        <v>0</v>
      </c>
      <c r="AF111" s="7" t="s">
        <v>1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</row>
    <row r="112" spans="1:49" outlineLevel="1" x14ac:dyDescent="0.25">
      <c r="T112" s="9"/>
      <c r="W112" s="9"/>
      <c r="AH112" s="9"/>
      <c r="AJ112" s="9"/>
      <c r="AL112" s="9"/>
      <c r="AN112" s="9"/>
      <c r="AO112" s="9"/>
      <c r="AP112" s="9"/>
      <c r="AQ112" s="9"/>
      <c r="AR112" s="9"/>
      <c r="AT112" s="9"/>
    </row>
    <row r="113" spans="2:50" outlineLevel="1" x14ac:dyDescent="0.25">
      <c r="B113" s="2" t="s">
        <v>5</v>
      </c>
      <c r="C113" s="2">
        <v>2022</v>
      </c>
      <c r="D113" s="1">
        <v>25977</v>
      </c>
      <c r="E113" s="11">
        <v>2626061</v>
      </c>
      <c r="F113" s="1">
        <v>9652</v>
      </c>
      <c r="G113" s="11">
        <v>1084315</v>
      </c>
      <c r="H113" s="1">
        <v>27397</v>
      </c>
      <c r="I113" s="11">
        <v>2973008</v>
      </c>
      <c r="J113" s="1">
        <v>261517</v>
      </c>
      <c r="K113" s="11">
        <v>41049736</v>
      </c>
      <c r="L113" s="1">
        <v>29374</v>
      </c>
      <c r="M113" s="11">
        <v>4533113</v>
      </c>
      <c r="N113" s="1">
        <v>33060</v>
      </c>
      <c r="O113" s="11">
        <v>4671954</v>
      </c>
      <c r="P113" s="1">
        <v>0</v>
      </c>
      <c r="Q113" s="11">
        <v>0</v>
      </c>
      <c r="R113" s="1">
        <v>0</v>
      </c>
      <c r="S113" s="11">
        <v>0</v>
      </c>
      <c r="T113" s="1">
        <v>48</v>
      </c>
      <c r="U113" s="11">
        <v>2694</v>
      </c>
      <c r="V113" s="55">
        <f>N113+L113+J113+H113+D113+P113+T113+F113+R113</f>
        <v>387025</v>
      </c>
      <c r="W113" s="54">
        <f>O113+M113+K113+I113+E113+Q113+U113+G113+S113</f>
        <v>56940881</v>
      </c>
      <c r="X113" s="2" t="s">
        <v>61</v>
      </c>
      <c r="Z113" s="30"/>
      <c r="AA113" s="30">
        <f>+Z113/J113</f>
        <v>0</v>
      </c>
      <c r="AB113" s="31"/>
      <c r="AC113" s="32">
        <f>+AB113/K113</f>
        <v>0</v>
      </c>
      <c r="AE113" s="2" t="s">
        <v>5</v>
      </c>
      <c r="AF113" s="2">
        <v>2021</v>
      </c>
      <c r="AG113" s="1">
        <f t="shared" ref="AG113:AG124" si="119">D113+H113+F113+T113</f>
        <v>63074</v>
      </c>
      <c r="AH113" s="11">
        <f t="shared" ref="AH113:AH124" si="120">E113+I113+G113+U113</f>
        <v>6686078</v>
      </c>
      <c r="AI113" s="1">
        <f t="shared" ref="AI113:AI124" si="121">+J113</f>
        <v>261517</v>
      </c>
      <c r="AJ113" s="11">
        <f t="shared" ref="AJ113:AJ124" si="122">+K113</f>
        <v>41049736</v>
      </c>
      <c r="AK113" s="8">
        <f t="shared" ref="AK113:AK124" si="123">+L113</f>
        <v>29374</v>
      </c>
      <c r="AL113" s="11">
        <f t="shared" ref="AL113:AL124" si="124">+M113</f>
        <v>4533113</v>
      </c>
      <c r="AM113" s="8">
        <f t="shared" ref="AM113:AM124" si="125">+N113</f>
        <v>33060</v>
      </c>
      <c r="AN113" s="11">
        <f t="shared" ref="AN113:AN124" si="126">+O113</f>
        <v>4671954</v>
      </c>
      <c r="AO113" s="8">
        <f t="shared" ref="AO113:AO124" si="127">+P113</f>
        <v>0</v>
      </c>
      <c r="AP113" s="11">
        <f t="shared" ref="AP113:AP124" si="128">+Q113</f>
        <v>0</v>
      </c>
      <c r="AQ113" s="11">
        <f t="shared" ref="AQ113:AQ124" si="129">+R113</f>
        <v>0</v>
      </c>
      <c r="AR113" s="11">
        <f t="shared" ref="AR113:AR124" si="130">+S113</f>
        <v>0</v>
      </c>
      <c r="AS113" s="8">
        <f>AO113+AM113+AK113+AI113+AG113+AQ113</f>
        <v>387025</v>
      </c>
      <c r="AT113" s="11">
        <f t="shared" ref="AT113:AT124" si="131">AP113+AN113+AL113+AJ113+AH113+AR113</f>
        <v>56940881</v>
      </c>
      <c r="AU113" s="2" t="str">
        <f t="shared" ref="AU113:AU124" si="132">+X113</f>
        <v>GANA</v>
      </c>
      <c r="AV113" s="37">
        <f t="shared" ref="AV113:AV124" si="133">+AS113-V113</f>
        <v>0</v>
      </c>
      <c r="AW113" s="37">
        <f t="shared" ref="AW113:AW124" si="134">+AT113-W113</f>
        <v>0</v>
      </c>
    </row>
    <row r="114" spans="2:50" outlineLevel="1" x14ac:dyDescent="0.25">
      <c r="B114" s="2" t="s">
        <v>6</v>
      </c>
      <c r="C114" s="2">
        <v>2022</v>
      </c>
      <c r="D114" s="1">
        <v>22621</v>
      </c>
      <c r="E114" s="11">
        <v>2345808</v>
      </c>
      <c r="F114" s="1">
        <v>8736</v>
      </c>
      <c r="G114" s="11">
        <v>971192</v>
      </c>
      <c r="H114" s="1">
        <v>23069</v>
      </c>
      <c r="I114" s="11">
        <v>2510673</v>
      </c>
      <c r="J114" s="1">
        <v>248130</v>
      </c>
      <c r="K114" s="11">
        <v>39140121</v>
      </c>
      <c r="L114" s="1">
        <v>26828</v>
      </c>
      <c r="M114" s="11">
        <v>4152752</v>
      </c>
      <c r="N114" s="1">
        <v>32013</v>
      </c>
      <c r="O114" s="11">
        <v>4513451</v>
      </c>
      <c r="P114" s="1">
        <v>2</v>
      </c>
      <c r="Q114" s="11">
        <v>511</v>
      </c>
      <c r="R114" s="1">
        <v>0</v>
      </c>
      <c r="S114" s="11">
        <v>0</v>
      </c>
      <c r="T114" s="1">
        <v>0</v>
      </c>
      <c r="U114" s="11">
        <v>0</v>
      </c>
      <c r="V114" s="55">
        <f t="shared" ref="V114:V115" si="135">N114+L114+J114+H114+D114+P114+T114+F114+R114</f>
        <v>361399</v>
      </c>
      <c r="W114" s="54">
        <f t="shared" ref="W114:W115" si="136">O114+M114+K114+I114+E114+Q114+U114+G114+S114</f>
        <v>53634508</v>
      </c>
      <c r="X114" s="2" t="s">
        <v>61</v>
      </c>
      <c r="Z114" s="30"/>
      <c r="AA114" s="30">
        <f t="shared" ref="AA114:AA124" si="137">+Z114/J114</f>
        <v>0</v>
      </c>
      <c r="AB114" s="31"/>
      <c r="AC114" s="32">
        <f t="shared" ref="AC114:AC124" si="138">+AB114/K114</f>
        <v>0</v>
      </c>
      <c r="AE114" s="2" t="s">
        <v>6</v>
      </c>
      <c r="AF114" s="2">
        <v>2021</v>
      </c>
      <c r="AG114" s="1">
        <f t="shared" si="119"/>
        <v>54426</v>
      </c>
      <c r="AH114" s="11">
        <f t="shared" si="120"/>
        <v>5827673</v>
      </c>
      <c r="AI114" s="1">
        <f t="shared" si="121"/>
        <v>248130</v>
      </c>
      <c r="AJ114" s="11">
        <f t="shared" si="122"/>
        <v>39140121</v>
      </c>
      <c r="AK114" s="8">
        <f t="shared" si="123"/>
        <v>26828</v>
      </c>
      <c r="AL114" s="11">
        <f t="shared" si="124"/>
        <v>4152752</v>
      </c>
      <c r="AM114" s="8">
        <f t="shared" si="125"/>
        <v>32013</v>
      </c>
      <c r="AN114" s="11">
        <f t="shared" si="126"/>
        <v>4513451</v>
      </c>
      <c r="AO114" s="8">
        <f t="shared" si="127"/>
        <v>2</v>
      </c>
      <c r="AP114" s="11">
        <f t="shared" si="128"/>
        <v>511</v>
      </c>
      <c r="AQ114" s="11">
        <f t="shared" si="129"/>
        <v>0</v>
      </c>
      <c r="AR114" s="11">
        <f t="shared" si="130"/>
        <v>0</v>
      </c>
      <c r="AS114" s="8">
        <f t="shared" ref="AS114:AS124" si="139">AO114+AM114+AK114+AI114+AG114+AQ114</f>
        <v>361399</v>
      </c>
      <c r="AT114" s="11">
        <f t="shared" si="131"/>
        <v>53634508</v>
      </c>
      <c r="AU114" s="2" t="str">
        <f t="shared" si="132"/>
        <v>GANA</v>
      </c>
      <c r="AV114" s="37">
        <f t="shared" si="133"/>
        <v>0</v>
      </c>
      <c r="AW114" s="37">
        <f t="shared" si="134"/>
        <v>0</v>
      </c>
    </row>
    <row r="115" spans="2:50" outlineLevel="1" x14ac:dyDescent="0.25">
      <c r="B115" s="2" t="s">
        <v>7</v>
      </c>
      <c r="C115" s="2">
        <v>2022</v>
      </c>
      <c r="D115" s="1">
        <v>28069</v>
      </c>
      <c r="E115" s="11">
        <v>2971895</v>
      </c>
      <c r="F115" s="1">
        <v>10921</v>
      </c>
      <c r="G115" s="11">
        <v>1211547</v>
      </c>
      <c r="H115" s="1">
        <v>29140</v>
      </c>
      <c r="I115" s="11">
        <v>3137034</v>
      </c>
      <c r="J115" s="1">
        <v>296548</v>
      </c>
      <c r="K115" s="11">
        <v>46482150</v>
      </c>
      <c r="L115" s="1">
        <v>32966</v>
      </c>
      <c r="M115" s="11">
        <v>5081396</v>
      </c>
      <c r="N115" s="1">
        <v>37905</v>
      </c>
      <c r="O115" s="11">
        <v>5262123</v>
      </c>
      <c r="P115" s="1">
        <v>3</v>
      </c>
      <c r="Q115" s="11">
        <v>699</v>
      </c>
      <c r="R115" s="1">
        <v>0</v>
      </c>
      <c r="S115" s="11">
        <v>0</v>
      </c>
      <c r="T115" s="1">
        <v>0</v>
      </c>
      <c r="U115" s="11">
        <v>0</v>
      </c>
      <c r="V115" s="55">
        <f t="shared" si="135"/>
        <v>435552</v>
      </c>
      <c r="W115" s="54">
        <f t="shared" si="136"/>
        <v>64146844</v>
      </c>
      <c r="X115" s="2" t="s">
        <v>61</v>
      </c>
      <c r="Z115" s="30"/>
      <c r="AA115" s="30">
        <f t="shared" si="137"/>
        <v>0</v>
      </c>
      <c r="AB115" s="31"/>
      <c r="AC115" s="32">
        <f t="shared" si="138"/>
        <v>0</v>
      </c>
      <c r="AD115" s="13"/>
      <c r="AE115" s="2" t="s">
        <v>7</v>
      </c>
      <c r="AF115" s="2">
        <v>2021</v>
      </c>
      <c r="AG115" s="1">
        <f t="shared" si="119"/>
        <v>68130</v>
      </c>
      <c r="AH115" s="11">
        <f t="shared" si="120"/>
        <v>7320476</v>
      </c>
      <c r="AI115" s="1">
        <f t="shared" si="121"/>
        <v>296548</v>
      </c>
      <c r="AJ115" s="11">
        <f t="shared" si="122"/>
        <v>46482150</v>
      </c>
      <c r="AK115" s="8">
        <f t="shared" si="123"/>
        <v>32966</v>
      </c>
      <c r="AL115" s="11">
        <f t="shared" si="124"/>
        <v>5081396</v>
      </c>
      <c r="AM115" s="8">
        <f t="shared" si="125"/>
        <v>37905</v>
      </c>
      <c r="AN115" s="11">
        <f t="shared" si="126"/>
        <v>5262123</v>
      </c>
      <c r="AO115" s="8">
        <f t="shared" si="127"/>
        <v>3</v>
      </c>
      <c r="AP115" s="11">
        <f t="shared" si="128"/>
        <v>699</v>
      </c>
      <c r="AQ115" s="11">
        <f t="shared" si="129"/>
        <v>0</v>
      </c>
      <c r="AR115" s="11">
        <f t="shared" si="130"/>
        <v>0</v>
      </c>
      <c r="AS115" s="8">
        <f t="shared" si="139"/>
        <v>435552</v>
      </c>
      <c r="AT115" s="11">
        <f t="shared" si="131"/>
        <v>64146844</v>
      </c>
      <c r="AU115" s="2" t="str">
        <f t="shared" si="132"/>
        <v>GANA</v>
      </c>
      <c r="AV115" s="37">
        <f t="shared" si="133"/>
        <v>0</v>
      </c>
      <c r="AW115" s="37">
        <f t="shared" si="134"/>
        <v>0</v>
      </c>
    </row>
    <row r="116" spans="2:50" outlineLevel="1" x14ac:dyDescent="0.25">
      <c r="B116" s="2" t="s">
        <v>8</v>
      </c>
      <c r="C116" s="2">
        <v>2022</v>
      </c>
      <c r="D116" s="1">
        <v>30336</v>
      </c>
      <c r="E116" s="11">
        <v>3157384</v>
      </c>
      <c r="F116" s="1">
        <v>10543</v>
      </c>
      <c r="G116" s="11">
        <v>1167322</v>
      </c>
      <c r="H116" s="1">
        <v>29624</v>
      </c>
      <c r="I116" s="11">
        <v>3283417</v>
      </c>
      <c r="J116" s="1">
        <v>297339</v>
      </c>
      <c r="K116" s="11">
        <v>45900087</v>
      </c>
      <c r="L116" s="1">
        <v>35002</v>
      </c>
      <c r="M116" s="11">
        <v>5410957</v>
      </c>
      <c r="N116" s="1">
        <v>37799</v>
      </c>
      <c r="O116" s="11">
        <v>5175155</v>
      </c>
      <c r="P116" s="1">
        <v>0</v>
      </c>
      <c r="Q116" s="11">
        <v>0</v>
      </c>
      <c r="R116" s="1">
        <v>0</v>
      </c>
      <c r="S116" s="11">
        <v>0</v>
      </c>
      <c r="T116" s="1">
        <v>0</v>
      </c>
      <c r="U116" s="11">
        <v>0</v>
      </c>
      <c r="V116" s="55">
        <f t="shared" ref="V116:V124" si="140">N116+L116+J116+H116+D116+P116+T116+F116+R116</f>
        <v>440643</v>
      </c>
      <c r="W116" s="54">
        <f t="shared" ref="W116:W124" si="141">O116+M116+K116+I116+E116+Q116+U116+G116+S116</f>
        <v>64094322</v>
      </c>
      <c r="X116" s="2" t="s">
        <v>61</v>
      </c>
      <c r="Z116" s="30"/>
      <c r="AA116" s="30">
        <f t="shared" si="137"/>
        <v>0</v>
      </c>
      <c r="AB116" s="31"/>
      <c r="AC116" s="32">
        <f t="shared" si="138"/>
        <v>0</v>
      </c>
      <c r="AD116" s="13"/>
      <c r="AE116" s="2" t="s">
        <v>8</v>
      </c>
      <c r="AF116" s="2">
        <v>2021</v>
      </c>
      <c r="AG116" s="1">
        <f t="shared" si="119"/>
        <v>70503</v>
      </c>
      <c r="AH116" s="11">
        <f t="shared" si="120"/>
        <v>7608123</v>
      </c>
      <c r="AI116" s="1">
        <f t="shared" si="121"/>
        <v>297339</v>
      </c>
      <c r="AJ116" s="11">
        <f t="shared" si="122"/>
        <v>45900087</v>
      </c>
      <c r="AK116" s="8">
        <f t="shared" si="123"/>
        <v>35002</v>
      </c>
      <c r="AL116" s="11">
        <f t="shared" si="124"/>
        <v>5410957</v>
      </c>
      <c r="AM116" s="8">
        <f t="shared" si="125"/>
        <v>37799</v>
      </c>
      <c r="AN116" s="11">
        <f t="shared" si="126"/>
        <v>5175155</v>
      </c>
      <c r="AO116" s="8">
        <f t="shared" si="127"/>
        <v>0</v>
      </c>
      <c r="AP116" s="11">
        <f t="shared" si="128"/>
        <v>0</v>
      </c>
      <c r="AQ116" s="11">
        <f t="shared" si="129"/>
        <v>0</v>
      </c>
      <c r="AR116" s="11">
        <f t="shared" si="130"/>
        <v>0</v>
      </c>
      <c r="AS116" s="8">
        <f t="shared" si="139"/>
        <v>440643</v>
      </c>
      <c r="AT116" s="11">
        <f t="shared" si="131"/>
        <v>64094322</v>
      </c>
      <c r="AU116" s="2" t="str">
        <f t="shared" si="132"/>
        <v>GANA</v>
      </c>
      <c r="AV116" s="37">
        <f t="shared" si="133"/>
        <v>0</v>
      </c>
      <c r="AW116" s="37">
        <f t="shared" si="134"/>
        <v>0</v>
      </c>
    </row>
    <row r="117" spans="2:50" outlineLevel="1" x14ac:dyDescent="0.25">
      <c r="B117" s="2" t="s">
        <v>9</v>
      </c>
      <c r="C117" s="2">
        <v>2022</v>
      </c>
      <c r="D117" s="1">
        <v>28970</v>
      </c>
      <c r="E117" s="11">
        <v>3192936</v>
      </c>
      <c r="F117" s="1">
        <v>10219</v>
      </c>
      <c r="G117" s="11">
        <v>1201849</v>
      </c>
      <c r="H117" s="1">
        <v>27404</v>
      </c>
      <c r="I117" s="11">
        <v>3183080</v>
      </c>
      <c r="J117" s="1">
        <v>299912</v>
      </c>
      <c r="K117" s="11">
        <v>49769115</v>
      </c>
      <c r="L117" s="1">
        <v>33897</v>
      </c>
      <c r="M117" s="11">
        <v>5564990</v>
      </c>
      <c r="N117" s="1">
        <v>39649</v>
      </c>
      <c r="O117" s="11">
        <v>5774024</v>
      </c>
      <c r="P117" s="1">
        <v>3</v>
      </c>
      <c r="Q117" s="11">
        <v>747</v>
      </c>
      <c r="R117" s="1">
        <v>0</v>
      </c>
      <c r="S117" s="11">
        <v>0</v>
      </c>
      <c r="T117" s="1">
        <v>0</v>
      </c>
      <c r="U117" s="11">
        <v>0</v>
      </c>
      <c r="V117" s="55">
        <f t="shared" si="140"/>
        <v>440054</v>
      </c>
      <c r="W117" s="54">
        <f t="shared" si="141"/>
        <v>68686741</v>
      </c>
      <c r="X117" s="2" t="s">
        <v>61</v>
      </c>
      <c r="Z117" s="30"/>
      <c r="AA117" s="30">
        <f t="shared" si="137"/>
        <v>0</v>
      </c>
      <c r="AB117" s="31"/>
      <c r="AC117" s="32">
        <f t="shared" si="138"/>
        <v>0</v>
      </c>
      <c r="AD117" s="13"/>
      <c r="AE117" s="2" t="s">
        <v>9</v>
      </c>
      <c r="AF117" s="2">
        <v>2021</v>
      </c>
      <c r="AG117" s="1">
        <f t="shared" si="119"/>
        <v>66593</v>
      </c>
      <c r="AH117" s="11">
        <f t="shared" si="120"/>
        <v>7577865</v>
      </c>
      <c r="AI117" s="1">
        <f t="shared" si="121"/>
        <v>299912</v>
      </c>
      <c r="AJ117" s="11">
        <f t="shared" si="122"/>
        <v>49769115</v>
      </c>
      <c r="AK117" s="8">
        <f t="shared" si="123"/>
        <v>33897</v>
      </c>
      <c r="AL117" s="11">
        <f t="shared" si="124"/>
        <v>5564990</v>
      </c>
      <c r="AM117" s="8">
        <f t="shared" si="125"/>
        <v>39649</v>
      </c>
      <c r="AN117" s="11">
        <f t="shared" si="126"/>
        <v>5774024</v>
      </c>
      <c r="AO117" s="8">
        <f t="shared" si="127"/>
        <v>3</v>
      </c>
      <c r="AP117" s="11">
        <f t="shared" si="128"/>
        <v>747</v>
      </c>
      <c r="AQ117" s="11">
        <f t="shared" si="129"/>
        <v>0</v>
      </c>
      <c r="AR117" s="11">
        <f t="shared" si="130"/>
        <v>0</v>
      </c>
      <c r="AS117" s="8">
        <f t="shared" si="139"/>
        <v>440054</v>
      </c>
      <c r="AT117" s="11">
        <f t="shared" si="131"/>
        <v>68686741</v>
      </c>
      <c r="AU117" s="2" t="str">
        <f t="shared" si="132"/>
        <v>GANA</v>
      </c>
      <c r="AV117" s="37">
        <f t="shared" si="133"/>
        <v>0</v>
      </c>
      <c r="AW117" s="37">
        <f t="shared" si="134"/>
        <v>0</v>
      </c>
    </row>
    <row r="118" spans="2:50" outlineLevel="1" x14ac:dyDescent="0.25">
      <c r="B118" s="2" t="s">
        <v>10</v>
      </c>
      <c r="C118" s="2">
        <v>2022</v>
      </c>
      <c r="D118" s="1">
        <v>28106</v>
      </c>
      <c r="E118" s="11">
        <v>3206994</v>
      </c>
      <c r="F118" s="1">
        <v>9279</v>
      </c>
      <c r="G118" s="11">
        <v>1103123</v>
      </c>
      <c r="H118" s="1">
        <v>24866</v>
      </c>
      <c r="I118" s="11">
        <v>3203377</v>
      </c>
      <c r="J118" s="1">
        <v>298768</v>
      </c>
      <c r="K118" s="11">
        <v>50219625</v>
      </c>
      <c r="L118" s="1">
        <v>30069</v>
      </c>
      <c r="M118" s="11">
        <v>5252422</v>
      </c>
      <c r="N118" s="1">
        <v>38630</v>
      </c>
      <c r="O118" s="11">
        <v>5646462</v>
      </c>
      <c r="P118" s="1">
        <v>0</v>
      </c>
      <c r="Q118" s="11">
        <v>0</v>
      </c>
      <c r="R118" s="1">
        <v>0</v>
      </c>
      <c r="S118" s="11">
        <v>0</v>
      </c>
      <c r="T118" s="1">
        <v>0</v>
      </c>
      <c r="U118" s="11">
        <v>0</v>
      </c>
      <c r="V118" s="55">
        <f t="shared" si="140"/>
        <v>429718</v>
      </c>
      <c r="W118" s="54">
        <f t="shared" si="141"/>
        <v>68632003</v>
      </c>
      <c r="X118" s="2" t="s">
        <v>61</v>
      </c>
      <c r="Z118" s="30"/>
      <c r="AA118" s="30">
        <f t="shared" si="137"/>
        <v>0</v>
      </c>
      <c r="AB118" s="31"/>
      <c r="AC118" s="32">
        <f t="shared" si="138"/>
        <v>0</v>
      </c>
      <c r="AE118" s="2" t="s">
        <v>10</v>
      </c>
      <c r="AF118" s="2">
        <v>2021</v>
      </c>
      <c r="AG118" s="1">
        <f t="shared" si="119"/>
        <v>62251</v>
      </c>
      <c r="AH118" s="11">
        <f t="shared" si="120"/>
        <v>7513494</v>
      </c>
      <c r="AI118" s="1">
        <f t="shared" si="121"/>
        <v>298768</v>
      </c>
      <c r="AJ118" s="11">
        <f t="shared" si="122"/>
        <v>50219625</v>
      </c>
      <c r="AK118" s="8">
        <f t="shared" si="123"/>
        <v>30069</v>
      </c>
      <c r="AL118" s="11">
        <f t="shared" si="124"/>
        <v>5252422</v>
      </c>
      <c r="AM118" s="8">
        <f t="shared" si="125"/>
        <v>38630</v>
      </c>
      <c r="AN118" s="11">
        <f t="shared" si="126"/>
        <v>5646462</v>
      </c>
      <c r="AO118" s="8">
        <f t="shared" si="127"/>
        <v>0</v>
      </c>
      <c r="AP118" s="11">
        <f t="shared" si="128"/>
        <v>0</v>
      </c>
      <c r="AQ118" s="11">
        <f t="shared" si="129"/>
        <v>0</v>
      </c>
      <c r="AR118" s="11">
        <f t="shared" si="130"/>
        <v>0</v>
      </c>
      <c r="AS118" s="8">
        <f t="shared" si="139"/>
        <v>429718</v>
      </c>
      <c r="AT118" s="11">
        <f t="shared" si="131"/>
        <v>68632003</v>
      </c>
      <c r="AU118" s="2" t="str">
        <f t="shared" si="132"/>
        <v>GANA</v>
      </c>
      <c r="AV118" s="37">
        <f t="shared" si="133"/>
        <v>0</v>
      </c>
      <c r="AW118" s="37">
        <f t="shared" si="134"/>
        <v>0</v>
      </c>
    </row>
    <row r="119" spans="2:50" outlineLevel="1" x14ac:dyDescent="0.25">
      <c r="B119" s="2" t="s">
        <v>11</v>
      </c>
      <c r="C119" s="2">
        <v>2022</v>
      </c>
      <c r="D119" s="1">
        <v>28140</v>
      </c>
      <c r="E119" s="11">
        <v>2977230</v>
      </c>
      <c r="F119" s="1">
        <v>9102</v>
      </c>
      <c r="G119" s="11">
        <v>1020333</v>
      </c>
      <c r="H119" s="1">
        <v>21395</v>
      </c>
      <c r="I119" s="11">
        <v>2788721</v>
      </c>
      <c r="J119" s="1">
        <v>292093</v>
      </c>
      <c r="K119" s="11">
        <v>45508527</v>
      </c>
      <c r="L119" s="1">
        <v>28444</v>
      </c>
      <c r="M119" s="11">
        <v>4693779</v>
      </c>
      <c r="N119" s="1">
        <v>37002</v>
      </c>
      <c r="O119" s="11">
        <v>5046361</v>
      </c>
      <c r="P119" s="1">
        <v>0</v>
      </c>
      <c r="Q119" s="11">
        <v>0</v>
      </c>
      <c r="R119" s="1">
        <v>0</v>
      </c>
      <c r="S119" s="11">
        <v>0</v>
      </c>
      <c r="T119" s="1">
        <v>0</v>
      </c>
      <c r="U119" s="11">
        <v>0</v>
      </c>
      <c r="V119" s="55">
        <f t="shared" si="140"/>
        <v>416176</v>
      </c>
      <c r="W119" s="54">
        <f t="shared" si="141"/>
        <v>62034951</v>
      </c>
      <c r="X119" s="2" t="s">
        <v>61</v>
      </c>
      <c r="Z119" s="30"/>
      <c r="AA119" s="30">
        <f t="shared" si="137"/>
        <v>0</v>
      </c>
      <c r="AB119" s="31"/>
      <c r="AC119" s="32">
        <f t="shared" si="138"/>
        <v>0</v>
      </c>
      <c r="AE119" s="2" t="s">
        <v>11</v>
      </c>
      <c r="AF119" s="2">
        <v>2021</v>
      </c>
      <c r="AG119" s="1">
        <f t="shared" si="119"/>
        <v>58637</v>
      </c>
      <c r="AH119" s="11">
        <f t="shared" si="120"/>
        <v>6786284</v>
      </c>
      <c r="AI119" s="1">
        <f t="shared" si="121"/>
        <v>292093</v>
      </c>
      <c r="AJ119" s="11">
        <f t="shared" si="122"/>
        <v>45508527</v>
      </c>
      <c r="AK119" s="8">
        <f t="shared" si="123"/>
        <v>28444</v>
      </c>
      <c r="AL119" s="11">
        <f t="shared" si="124"/>
        <v>4693779</v>
      </c>
      <c r="AM119" s="8">
        <f t="shared" si="125"/>
        <v>37002</v>
      </c>
      <c r="AN119" s="11">
        <f t="shared" si="126"/>
        <v>5046361</v>
      </c>
      <c r="AO119" s="8">
        <f t="shared" si="127"/>
        <v>0</v>
      </c>
      <c r="AP119" s="11">
        <f t="shared" si="128"/>
        <v>0</v>
      </c>
      <c r="AQ119" s="11">
        <f t="shared" si="129"/>
        <v>0</v>
      </c>
      <c r="AR119" s="11">
        <f t="shared" si="130"/>
        <v>0</v>
      </c>
      <c r="AS119" s="8">
        <f t="shared" si="139"/>
        <v>416176</v>
      </c>
      <c r="AT119" s="11">
        <f t="shared" si="131"/>
        <v>62034951</v>
      </c>
      <c r="AU119" s="2" t="str">
        <f t="shared" si="132"/>
        <v>GANA</v>
      </c>
      <c r="AV119" s="37">
        <f t="shared" si="133"/>
        <v>0</v>
      </c>
      <c r="AW119" s="37">
        <f t="shared" si="134"/>
        <v>0</v>
      </c>
    </row>
    <row r="120" spans="2:50" outlineLevel="1" x14ac:dyDescent="0.25">
      <c r="B120" s="2" t="s">
        <v>4</v>
      </c>
      <c r="C120" s="2">
        <v>2022</v>
      </c>
      <c r="D120" s="1">
        <v>31175</v>
      </c>
      <c r="E120" s="11">
        <v>3252649</v>
      </c>
      <c r="F120" s="1">
        <v>10912</v>
      </c>
      <c r="G120" s="11">
        <v>1217887</v>
      </c>
      <c r="H120" s="1">
        <v>30765</v>
      </c>
      <c r="I120" s="11">
        <v>3703656</v>
      </c>
      <c r="J120" s="1">
        <v>328463</v>
      </c>
      <c r="K120" s="11">
        <v>50273364</v>
      </c>
      <c r="L120" s="1">
        <v>32418</v>
      </c>
      <c r="M120" s="11">
        <v>5206270</v>
      </c>
      <c r="N120" s="1">
        <v>42198</v>
      </c>
      <c r="O120" s="11">
        <v>5597488</v>
      </c>
      <c r="P120" s="1">
        <v>1</v>
      </c>
      <c r="Q120" s="11">
        <v>55</v>
      </c>
      <c r="R120" s="1">
        <v>0</v>
      </c>
      <c r="S120" s="11">
        <v>0</v>
      </c>
      <c r="T120" s="1">
        <v>0</v>
      </c>
      <c r="U120" s="11">
        <v>0</v>
      </c>
      <c r="V120" s="55">
        <f t="shared" si="140"/>
        <v>475932</v>
      </c>
      <c r="W120" s="54">
        <f t="shared" si="141"/>
        <v>69251369</v>
      </c>
      <c r="X120" s="2" t="s">
        <v>61</v>
      </c>
      <c r="Z120" s="30"/>
      <c r="AA120" s="30">
        <f t="shared" si="137"/>
        <v>0</v>
      </c>
      <c r="AB120" s="31"/>
      <c r="AC120" s="32">
        <f t="shared" si="138"/>
        <v>0</v>
      </c>
      <c r="AE120" s="2" t="s">
        <v>4</v>
      </c>
      <c r="AF120" s="2">
        <v>2021</v>
      </c>
      <c r="AG120" s="1">
        <f t="shared" si="119"/>
        <v>72852</v>
      </c>
      <c r="AH120" s="11">
        <f t="shared" si="120"/>
        <v>8174192</v>
      </c>
      <c r="AI120" s="1">
        <f t="shared" si="121"/>
        <v>328463</v>
      </c>
      <c r="AJ120" s="11">
        <f t="shared" si="122"/>
        <v>50273364</v>
      </c>
      <c r="AK120" s="8">
        <f t="shared" si="123"/>
        <v>32418</v>
      </c>
      <c r="AL120" s="11">
        <f t="shared" si="124"/>
        <v>5206270</v>
      </c>
      <c r="AM120" s="8">
        <f t="shared" si="125"/>
        <v>42198</v>
      </c>
      <c r="AN120" s="11">
        <f t="shared" si="126"/>
        <v>5597488</v>
      </c>
      <c r="AO120" s="8">
        <f t="shared" si="127"/>
        <v>1</v>
      </c>
      <c r="AP120" s="11">
        <f t="shared" si="128"/>
        <v>55</v>
      </c>
      <c r="AQ120" s="11">
        <f t="shared" si="129"/>
        <v>0</v>
      </c>
      <c r="AR120" s="11">
        <f t="shared" si="130"/>
        <v>0</v>
      </c>
      <c r="AS120" s="8">
        <f t="shared" si="139"/>
        <v>475932</v>
      </c>
      <c r="AT120" s="11">
        <f t="shared" si="131"/>
        <v>69251369</v>
      </c>
      <c r="AU120" s="2" t="str">
        <f t="shared" si="132"/>
        <v>GANA</v>
      </c>
      <c r="AV120" s="37">
        <f t="shared" si="133"/>
        <v>0</v>
      </c>
      <c r="AW120" s="37">
        <f t="shared" si="134"/>
        <v>0</v>
      </c>
      <c r="AX120" s="13"/>
    </row>
    <row r="121" spans="2:50" outlineLevel="1" x14ac:dyDescent="0.25">
      <c r="B121" s="2" t="s">
        <v>28</v>
      </c>
      <c r="C121" s="2">
        <v>2022</v>
      </c>
      <c r="D121" s="1">
        <v>28698</v>
      </c>
      <c r="E121" s="11">
        <v>3010134</v>
      </c>
      <c r="F121" s="1">
        <v>9330</v>
      </c>
      <c r="G121" s="11">
        <v>1044864</v>
      </c>
      <c r="H121" s="1">
        <v>32049</v>
      </c>
      <c r="I121" s="11">
        <v>4053090</v>
      </c>
      <c r="J121" s="1">
        <v>296643</v>
      </c>
      <c r="K121" s="11">
        <v>46331524</v>
      </c>
      <c r="L121" s="1">
        <v>23198</v>
      </c>
      <c r="M121" s="11">
        <v>3719196</v>
      </c>
      <c r="N121" s="1">
        <v>38464</v>
      </c>
      <c r="O121" s="11">
        <v>5125846</v>
      </c>
      <c r="P121" s="1">
        <v>0</v>
      </c>
      <c r="Q121" s="11">
        <v>0</v>
      </c>
      <c r="R121" s="1">
        <v>0</v>
      </c>
      <c r="S121" s="11">
        <v>0</v>
      </c>
      <c r="T121" s="1">
        <v>0</v>
      </c>
      <c r="U121" s="11">
        <v>0</v>
      </c>
      <c r="V121" s="55">
        <f t="shared" si="140"/>
        <v>428382</v>
      </c>
      <c r="W121" s="54">
        <f t="shared" si="141"/>
        <v>63284654</v>
      </c>
      <c r="X121" s="2" t="s">
        <v>61</v>
      </c>
      <c r="Z121" s="30"/>
      <c r="AA121" s="30">
        <f t="shared" si="137"/>
        <v>0</v>
      </c>
      <c r="AB121" s="31"/>
      <c r="AC121" s="32">
        <f t="shared" si="138"/>
        <v>0</v>
      </c>
      <c r="AE121" s="2" t="s">
        <v>28</v>
      </c>
      <c r="AF121" s="2">
        <v>2021</v>
      </c>
      <c r="AG121" s="1">
        <f t="shared" si="119"/>
        <v>70077</v>
      </c>
      <c r="AH121" s="11">
        <f t="shared" si="120"/>
        <v>8108088</v>
      </c>
      <c r="AI121" s="1">
        <f t="shared" si="121"/>
        <v>296643</v>
      </c>
      <c r="AJ121" s="11">
        <f t="shared" si="122"/>
        <v>46331524</v>
      </c>
      <c r="AK121" s="8">
        <f t="shared" si="123"/>
        <v>23198</v>
      </c>
      <c r="AL121" s="11">
        <f t="shared" si="124"/>
        <v>3719196</v>
      </c>
      <c r="AM121" s="8">
        <f t="shared" si="125"/>
        <v>38464</v>
      </c>
      <c r="AN121" s="11">
        <f t="shared" si="126"/>
        <v>5125846</v>
      </c>
      <c r="AO121" s="8">
        <f t="shared" si="127"/>
        <v>0</v>
      </c>
      <c r="AP121" s="11">
        <f t="shared" si="128"/>
        <v>0</v>
      </c>
      <c r="AQ121" s="11">
        <f t="shared" si="129"/>
        <v>0</v>
      </c>
      <c r="AR121" s="11">
        <f t="shared" si="130"/>
        <v>0</v>
      </c>
      <c r="AS121" s="8">
        <f t="shared" si="139"/>
        <v>428382</v>
      </c>
      <c r="AT121" s="11">
        <f t="shared" si="131"/>
        <v>63284654</v>
      </c>
      <c r="AU121" s="2" t="str">
        <f t="shared" si="132"/>
        <v>GANA</v>
      </c>
      <c r="AV121" s="37">
        <f t="shared" si="133"/>
        <v>0</v>
      </c>
      <c r="AW121" s="37">
        <f t="shared" si="134"/>
        <v>0</v>
      </c>
      <c r="AX121" s="13"/>
    </row>
    <row r="122" spans="2:50" outlineLevel="1" x14ac:dyDescent="0.25">
      <c r="B122" s="2" t="s">
        <v>29</v>
      </c>
      <c r="C122" s="2">
        <v>2022</v>
      </c>
      <c r="D122" s="1">
        <v>29825</v>
      </c>
      <c r="E122" s="11">
        <v>3150589</v>
      </c>
      <c r="F122" s="1">
        <v>9421</v>
      </c>
      <c r="G122" s="11">
        <v>1049058</v>
      </c>
      <c r="H122" s="1">
        <v>42334</v>
      </c>
      <c r="I122" s="11">
        <v>5459534</v>
      </c>
      <c r="J122" s="1">
        <v>313731</v>
      </c>
      <c r="K122" s="11">
        <v>48948662</v>
      </c>
      <c r="L122" s="1">
        <v>19181</v>
      </c>
      <c r="M122" s="11">
        <v>3069843</v>
      </c>
      <c r="N122" s="1">
        <v>41027</v>
      </c>
      <c r="O122" s="11">
        <v>5440219</v>
      </c>
      <c r="P122" s="1">
        <v>0</v>
      </c>
      <c r="Q122" s="11">
        <v>0</v>
      </c>
      <c r="R122" s="1">
        <v>0</v>
      </c>
      <c r="S122" s="11">
        <v>0</v>
      </c>
      <c r="T122" s="1">
        <v>0</v>
      </c>
      <c r="U122" s="11">
        <v>0</v>
      </c>
      <c r="V122" s="55">
        <f t="shared" si="140"/>
        <v>455519</v>
      </c>
      <c r="W122" s="54">
        <f t="shared" si="141"/>
        <v>67117905</v>
      </c>
      <c r="X122" s="2" t="s">
        <v>61</v>
      </c>
      <c r="Z122" s="30"/>
      <c r="AA122" s="30">
        <f t="shared" si="137"/>
        <v>0</v>
      </c>
      <c r="AB122" s="31"/>
      <c r="AC122" s="32">
        <f t="shared" si="138"/>
        <v>0</v>
      </c>
      <c r="AE122" s="2" t="s">
        <v>29</v>
      </c>
      <c r="AF122" s="2">
        <v>2021</v>
      </c>
      <c r="AG122" s="1">
        <f t="shared" si="119"/>
        <v>81580</v>
      </c>
      <c r="AH122" s="11">
        <f t="shared" si="120"/>
        <v>9659181</v>
      </c>
      <c r="AI122" s="1">
        <f t="shared" si="121"/>
        <v>313731</v>
      </c>
      <c r="AJ122" s="11">
        <f t="shared" si="122"/>
        <v>48948662</v>
      </c>
      <c r="AK122" s="8">
        <f t="shared" si="123"/>
        <v>19181</v>
      </c>
      <c r="AL122" s="11">
        <f t="shared" si="124"/>
        <v>3069843</v>
      </c>
      <c r="AM122" s="8">
        <f t="shared" si="125"/>
        <v>41027</v>
      </c>
      <c r="AN122" s="11">
        <f t="shared" si="126"/>
        <v>5440219</v>
      </c>
      <c r="AO122" s="8">
        <f t="shared" si="127"/>
        <v>0</v>
      </c>
      <c r="AP122" s="11">
        <f t="shared" si="128"/>
        <v>0</v>
      </c>
      <c r="AQ122" s="11">
        <f t="shared" si="129"/>
        <v>0</v>
      </c>
      <c r="AR122" s="11">
        <f t="shared" si="130"/>
        <v>0</v>
      </c>
      <c r="AS122" s="8">
        <f t="shared" si="139"/>
        <v>455519</v>
      </c>
      <c r="AT122" s="11">
        <f t="shared" si="131"/>
        <v>67117905</v>
      </c>
      <c r="AU122" s="2" t="str">
        <f t="shared" si="132"/>
        <v>GANA</v>
      </c>
      <c r="AV122" s="37">
        <f t="shared" si="133"/>
        <v>0</v>
      </c>
      <c r="AW122" s="37">
        <f t="shared" si="134"/>
        <v>0</v>
      </c>
      <c r="AX122" s="13"/>
    </row>
    <row r="123" spans="2:50" outlineLevel="1" x14ac:dyDescent="0.25">
      <c r="B123" s="2" t="s">
        <v>30</v>
      </c>
      <c r="C123" s="2">
        <v>2022</v>
      </c>
      <c r="D123" s="1">
        <v>28877</v>
      </c>
      <c r="E123" s="11">
        <v>3220137</v>
      </c>
      <c r="F123" s="1">
        <v>10185</v>
      </c>
      <c r="G123" s="11">
        <v>1288115</v>
      </c>
      <c r="H123" s="1">
        <v>41924</v>
      </c>
      <c r="I123" s="11">
        <v>5955426</v>
      </c>
      <c r="J123" s="1">
        <v>304777</v>
      </c>
      <c r="K123" s="11">
        <v>50788803</v>
      </c>
      <c r="L123" s="1">
        <v>14711</v>
      </c>
      <c r="M123" s="11">
        <v>2524331</v>
      </c>
      <c r="N123" s="1">
        <v>40250</v>
      </c>
      <c r="O123" s="11">
        <v>5759540</v>
      </c>
      <c r="P123" s="1">
        <v>4</v>
      </c>
      <c r="Q123" s="11">
        <v>422</v>
      </c>
      <c r="R123" s="1">
        <v>0</v>
      </c>
      <c r="S123" s="11">
        <v>0</v>
      </c>
      <c r="T123" s="1">
        <v>0</v>
      </c>
      <c r="U123" s="11">
        <v>0</v>
      </c>
      <c r="V123" s="55">
        <f t="shared" si="140"/>
        <v>440728</v>
      </c>
      <c r="W123" s="54">
        <f t="shared" si="141"/>
        <v>69536774</v>
      </c>
      <c r="X123" s="2" t="s">
        <v>61</v>
      </c>
      <c r="Z123" s="30"/>
      <c r="AA123" s="30">
        <f t="shared" si="137"/>
        <v>0</v>
      </c>
      <c r="AB123" s="31"/>
      <c r="AC123" s="32">
        <f t="shared" si="138"/>
        <v>0</v>
      </c>
      <c r="AE123" s="2" t="s">
        <v>30</v>
      </c>
      <c r="AF123" s="2">
        <v>2021</v>
      </c>
      <c r="AG123" s="1">
        <f t="shared" si="119"/>
        <v>80986</v>
      </c>
      <c r="AH123" s="11">
        <f t="shared" si="120"/>
        <v>10463678</v>
      </c>
      <c r="AI123" s="1">
        <f t="shared" si="121"/>
        <v>304777</v>
      </c>
      <c r="AJ123" s="11">
        <f t="shared" si="122"/>
        <v>50788803</v>
      </c>
      <c r="AK123" s="8">
        <f t="shared" si="123"/>
        <v>14711</v>
      </c>
      <c r="AL123" s="11">
        <f t="shared" si="124"/>
        <v>2524331</v>
      </c>
      <c r="AM123" s="8">
        <f t="shared" si="125"/>
        <v>40250</v>
      </c>
      <c r="AN123" s="11">
        <f t="shared" si="126"/>
        <v>5759540</v>
      </c>
      <c r="AO123" s="8">
        <f t="shared" si="127"/>
        <v>4</v>
      </c>
      <c r="AP123" s="11">
        <f t="shared" si="128"/>
        <v>422</v>
      </c>
      <c r="AQ123" s="11">
        <f t="shared" si="129"/>
        <v>0</v>
      </c>
      <c r="AR123" s="11">
        <f t="shared" si="130"/>
        <v>0</v>
      </c>
      <c r="AS123" s="8">
        <f t="shared" si="139"/>
        <v>440728</v>
      </c>
      <c r="AT123" s="11">
        <f t="shared" si="131"/>
        <v>69536774</v>
      </c>
      <c r="AU123" s="2" t="str">
        <f t="shared" si="132"/>
        <v>GANA</v>
      </c>
      <c r="AV123" s="37">
        <f t="shared" si="133"/>
        <v>0</v>
      </c>
      <c r="AW123" s="37">
        <f t="shared" si="134"/>
        <v>0</v>
      </c>
    </row>
    <row r="124" spans="2:50" outlineLevel="1" x14ac:dyDescent="0.25">
      <c r="B124" s="2" t="s">
        <v>31</v>
      </c>
      <c r="C124" s="2">
        <v>2022</v>
      </c>
      <c r="D124" s="1">
        <v>32689</v>
      </c>
      <c r="E124" s="11">
        <v>3961210</v>
      </c>
      <c r="F124" s="1">
        <v>10839</v>
      </c>
      <c r="G124" s="11">
        <v>1527582</v>
      </c>
      <c r="H124" s="1">
        <v>46134</v>
      </c>
      <c r="I124" s="11">
        <v>7286413</v>
      </c>
      <c r="J124" s="1">
        <v>327914</v>
      </c>
      <c r="K124" s="11">
        <v>56500743</v>
      </c>
      <c r="L124" s="1">
        <v>13468</v>
      </c>
      <c r="M124" s="11">
        <v>2485685</v>
      </c>
      <c r="N124" s="1">
        <v>42428</v>
      </c>
      <c r="O124" s="11">
        <v>6380224</v>
      </c>
      <c r="P124" s="1">
        <v>0</v>
      </c>
      <c r="Q124" s="11">
        <v>0</v>
      </c>
      <c r="R124" s="1">
        <v>0</v>
      </c>
      <c r="S124" s="11">
        <v>0</v>
      </c>
      <c r="T124" s="1">
        <v>0</v>
      </c>
      <c r="U124" s="11">
        <v>0</v>
      </c>
      <c r="V124" s="55">
        <f t="shared" si="140"/>
        <v>473472</v>
      </c>
      <c r="W124" s="54">
        <f t="shared" si="141"/>
        <v>78141857</v>
      </c>
      <c r="X124" s="2" t="s">
        <v>61</v>
      </c>
      <c r="Z124" s="30"/>
      <c r="AA124" s="30">
        <f t="shared" si="137"/>
        <v>0</v>
      </c>
      <c r="AB124" s="31"/>
      <c r="AC124" s="32">
        <f t="shared" si="138"/>
        <v>0</v>
      </c>
      <c r="AE124" s="2" t="s">
        <v>31</v>
      </c>
      <c r="AF124" s="2">
        <v>2021</v>
      </c>
      <c r="AG124" s="1">
        <f t="shared" si="119"/>
        <v>89662</v>
      </c>
      <c r="AH124" s="11">
        <f t="shared" si="120"/>
        <v>12775205</v>
      </c>
      <c r="AI124" s="1">
        <f t="shared" si="121"/>
        <v>327914</v>
      </c>
      <c r="AJ124" s="11">
        <f t="shared" si="122"/>
        <v>56500743</v>
      </c>
      <c r="AK124" s="8">
        <f t="shared" si="123"/>
        <v>13468</v>
      </c>
      <c r="AL124" s="11">
        <f t="shared" si="124"/>
        <v>2485685</v>
      </c>
      <c r="AM124" s="8">
        <f t="shared" si="125"/>
        <v>42428</v>
      </c>
      <c r="AN124" s="11">
        <f t="shared" si="126"/>
        <v>6380224</v>
      </c>
      <c r="AO124" s="8">
        <f t="shared" si="127"/>
        <v>0</v>
      </c>
      <c r="AP124" s="11">
        <f t="shared" si="128"/>
        <v>0</v>
      </c>
      <c r="AQ124" s="11">
        <f t="shared" si="129"/>
        <v>0</v>
      </c>
      <c r="AR124" s="11">
        <f t="shared" si="130"/>
        <v>0</v>
      </c>
      <c r="AS124" s="8">
        <f t="shared" si="139"/>
        <v>473472</v>
      </c>
      <c r="AT124" s="11">
        <f t="shared" si="131"/>
        <v>78141857</v>
      </c>
      <c r="AU124" s="2" t="str">
        <f t="shared" si="132"/>
        <v>GANA</v>
      </c>
      <c r="AV124" s="37">
        <f t="shared" si="133"/>
        <v>0</v>
      </c>
      <c r="AW124" s="37">
        <f t="shared" si="134"/>
        <v>0</v>
      </c>
    </row>
    <row r="125" spans="2:50" outlineLevel="1" x14ac:dyDescent="0.25">
      <c r="T125" s="9"/>
      <c r="W125" s="9"/>
      <c r="AH125" s="9"/>
      <c r="AJ125" s="9"/>
      <c r="AL125" s="9"/>
      <c r="AN125" s="9"/>
      <c r="AO125" s="9"/>
      <c r="AP125" s="9"/>
      <c r="AQ125" s="9"/>
      <c r="AR125" s="9"/>
      <c r="AT125" s="9"/>
    </row>
    <row r="126" spans="2:50" outlineLevel="1" x14ac:dyDescent="0.25">
      <c r="B126" s="3" t="s">
        <v>12</v>
      </c>
      <c r="C126" s="3"/>
      <c r="D126" s="4">
        <f t="shared" ref="D126:W126" si="142">SUM(D113:D125)</f>
        <v>343483</v>
      </c>
      <c r="E126" s="12">
        <f t="shared" si="142"/>
        <v>37073027</v>
      </c>
      <c r="F126" s="4">
        <f t="shared" si="142"/>
        <v>119139</v>
      </c>
      <c r="G126" s="12">
        <f t="shared" si="142"/>
        <v>13887187</v>
      </c>
      <c r="H126" s="4">
        <f t="shared" si="142"/>
        <v>376101</v>
      </c>
      <c r="I126" s="12">
        <f t="shared" si="142"/>
        <v>47537429</v>
      </c>
      <c r="J126" s="4">
        <f t="shared" si="142"/>
        <v>3565835</v>
      </c>
      <c r="K126" s="12">
        <f t="shared" si="142"/>
        <v>570912457</v>
      </c>
      <c r="L126" s="4">
        <f t="shared" si="142"/>
        <v>319556</v>
      </c>
      <c r="M126" s="12">
        <f t="shared" si="142"/>
        <v>51694734</v>
      </c>
      <c r="N126" s="4">
        <f t="shared" si="142"/>
        <v>460425</v>
      </c>
      <c r="O126" s="12">
        <f t="shared" si="142"/>
        <v>64392847</v>
      </c>
      <c r="P126" s="4">
        <f t="shared" ref="P126:U126" si="143">SUM(P113:P125)</f>
        <v>13</v>
      </c>
      <c r="Q126" s="12">
        <f t="shared" si="143"/>
        <v>2434</v>
      </c>
      <c r="R126" s="4">
        <f t="shared" si="143"/>
        <v>0</v>
      </c>
      <c r="S126" s="12">
        <f t="shared" si="143"/>
        <v>0</v>
      </c>
      <c r="T126" s="4">
        <f t="shared" si="143"/>
        <v>48</v>
      </c>
      <c r="U126" s="12">
        <f t="shared" si="143"/>
        <v>2694</v>
      </c>
      <c r="V126" s="4">
        <f t="shared" si="142"/>
        <v>5184600</v>
      </c>
      <c r="W126" s="12">
        <f t="shared" si="142"/>
        <v>785502809</v>
      </c>
      <c r="Z126" s="12" t="e">
        <f>AVERAGE(Z113:Z125)</f>
        <v>#DIV/0!</v>
      </c>
      <c r="AA126" s="12">
        <f t="shared" ref="AA126:AC126" si="144">AVERAGE(AA113:AA125)</f>
        <v>0</v>
      </c>
      <c r="AB126" s="12" t="e">
        <f t="shared" si="144"/>
        <v>#DIV/0!</v>
      </c>
      <c r="AC126" s="16">
        <f t="shared" si="144"/>
        <v>0</v>
      </c>
      <c r="AE126" s="3" t="s">
        <v>12</v>
      </c>
      <c r="AF126" s="3"/>
      <c r="AG126" s="4">
        <f t="shared" ref="AG126:AT126" si="145">SUM(AG113:AG125)</f>
        <v>838771</v>
      </c>
      <c r="AH126" s="12">
        <f t="shared" si="145"/>
        <v>98500337</v>
      </c>
      <c r="AI126" s="4">
        <f t="shared" si="145"/>
        <v>3565835</v>
      </c>
      <c r="AJ126" s="12">
        <f t="shared" si="145"/>
        <v>570912457</v>
      </c>
      <c r="AK126" s="4">
        <f t="shared" si="145"/>
        <v>319556</v>
      </c>
      <c r="AL126" s="12">
        <f t="shared" si="145"/>
        <v>51694734</v>
      </c>
      <c r="AM126" s="4">
        <f t="shared" si="145"/>
        <v>460425</v>
      </c>
      <c r="AN126" s="12">
        <f t="shared" si="145"/>
        <v>64392847</v>
      </c>
      <c r="AO126" s="4">
        <f t="shared" si="145"/>
        <v>13</v>
      </c>
      <c r="AP126" s="12">
        <f t="shared" si="145"/>
        <v>2434</v>
      </c>
      <c r="AQ126" s="4">
        <f t="shared" si="145"/>
        <v>0</v>
      </c>
      <c r="AR126" s="12">
        <f t="shared" si="145"/>
        <v>0</v>
      </c>
      <c r="AS126" s="4">
        <f t="shared" si="145"/>
        <v>5184600</v>
      </c>
      <c r="AT126" s="12">
        <f t="shared" si="145"/>
        <v>785502809</v>
      </c>
    </row>
    <row r="127" spans="2:50" outlineLevel="1" x14ac:dyDescent="0.25">
      <c r="J127" s="46" t="str">
        <f>+$B$108</f>
        <v>Aforo e Ingreso - GANA</v>
      </c>
      <c r="K127" s="9" t="s">
        <v>84</v>
      </c>
      <c r="L127" s="15">
        <f>AVERAGE(L113:L124)</f>
        <v>26629.666666666668</v>
      </c>
      <c r="M127" s="60">
        <f>AVERAGE(M113:M124)</f>
        <v>4307894.5</v>
      </c>
      <c r="T127" s="28"/>
      <c r="U127" s="28"/>
      <c r="V127" s="15">
        <f>AVERAGE(V113:V124)</f>
        <v>432050</v>
      </c>
      <c r="W127" s="28">
        <f>AVERAGE(W113:W124)</f>
        <v>65458567.416666664</v>
      </c>
    </row>
    <row r="128" spans="2:50" outlineLevel="1" x14ac:dyDescent="0.25">
      <c r="B128" s="5" t="s">
        <v>14</v>
      </c>
      <c r="J128" s="46" t="str">
        <f>+$B$108</f>
        <v>Aforo e Ingreso - GANA</v>
      </c>
      <c r="K128" s="9" t="s">
        <v>85</v>
      </c>
      <c r="L128" s="26">
        <f>+L127/$L$316</f>
        <v>0.12811727471949438</v>
      </c>
      <c r="M128" s="36">
        <f>+M127/$M$316</f>
        <v>0.14460454900685421</v>
      </c>
      <c r="N128" s="26"/>
      <c r="O128" s="19"/>
      <c r="P128" s="19"/>
      <c r="Q128" s="19"/>
      <c r="R128" s="19"/>
      <c r="S128" s="19"/>
      <c r="T128" s="18"/>
      <c r="U128" s="19"/>
      <c r="V128" s="36">
        <f>+L127/V127</f>
        <v>6.1635613162056867E-2</v>
      </c>
      <c r="W128" s="62">
        <f>+M127/W127</f>
        <v>6.5811010995378894E-2</v>
      </c>
    </row>
    <row r="129" spans="1:49" outlineLevel="1" x14ac:dyDescent="0.25">
      <c r="B129" s="5" t="s">
        <v>36</v>
      </c>
      <c r="L129" s="26"/>
      <c r="M129" s="26"/>
    </row>
    <row r="130" spans="1:49" outlineLevel="1" x14ac:dyDescent="0.25">
      <c r="B130" s="5"/>
    </row>
    <row r="131" spans="1:49" outlineLevel="1" x14ac:dyDescent="0.25">
      <c r="D131" s="89" t="s">
        <v>15</v>
      </c>
      <c r="E131" s="90"/>
      <c r="F131" s="89" t="s">
        <v>71</v>
      </c>
      <c r="G131" s="90"/>
      <c r="H131" s="89" t="s">
        <v>16</v>
      </c>
      <c r="I131" s="90"/>
      <c r="J131" s="89" t="s">
        <v>17</v>
      </c>
      <c r="K131" s="93"/>
      <c r="L131" s="89" t="s">
        <v>18</v>
      </c>
      <c r="M131" s="93"/>
      <c r="N131" s="89" t="s">
        <v>13</v>
      </c>
      <c r="O131" s="93"/>
      <c r="P131" s="89" t="s">
        <v>34</v>
      </c>
      <c r="Q131" s="93"/>
      <c r="R131" s="89" t="s">
        <v>87</v>
      </c>
      <c r="S131" s="93"/>
      <c r="T131" s="89" t="s">
        <v>12</v>
      </c>
      <c r="U131" s="93"/>
      <c r="W131" s="13"/>
      <c r="AG131" s="89" t="s">
        <v>69</v>
      </c>
      <c r="AH131" s="90"/>
      <c r="AI131" s="89" t="s">
        <v>17</v>
      </c>
      <c r="AJ131" s="93"/>
      <c r="AK131" s="89" t="s">
        <v>18</v>
      </c>
      <c r="AL131" s="93"/>
      <c r="AM131" s="89" t="s">
        <v>13</v>
      </c>
      <c r="AN131" s="93"/>
      <c r="AO131" s="89" t="s">
        <v>34</v>
      </c>
      <c r="AP131" s="93"/>
      <c r="AQ131" s="89" t="s">
        <v>87</v>
      </c>
      <c r="AR131" s="93"/>
      <c r="AS131" s="89" t="s">
        <v>12</v>
      </c>
      <c r="AT131" s="93"/>
    </row>
    <row r="132" spans="1:49" outlineLevel="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T132" s="7" t="s">
        <v>2</v>
      </c>
      <c r="U132" s="10" t="s">
        <v>3</v>
      </c>
      <c r="AE132" s="7" t="s">
        <v>0</v>
      </c>
      <c r="AF132" s="7" t="s">
        <v>1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</row>
    <row r="133" spans="1:49" outlineLevel="1" x14ac:dyDescent="0.25">
      <c r="AH133" s="9"/>
      <c r="AJ133" s="9"/>
      <c r="AL133" s="9"/>
      <c r="AN133" s="9"/>
      <c r="AO133" s="9"/>
      <c r="AP133" s="9"/>
      <c r="AQ133" s="9"/>
      <c r="AR133" s="9"/>
      <c r="AT133" s="9"/>
    </row>
    <row r="134" spans="1:49" outlineLevel="1" x14ac:dyDescent="0.25">
      <c r="B134" s="2" t="s">
        <v>5</v>
      </c>
      <c r="C134" s="2">
        <v>2022</v>
      </c>
      <c r="D134" s="1">
        <v>13271</v>
      </c>
      <c r="E134" s="11">
        <v>1547617</v>
      </c>
      <c r="F134" s="1">
        <v>4191</v>
      </c>
      <c r="G134" s="11">
        <v>582396</v>
      </c>
      <c r="H134" s="1">
        <v>3715</v>
      </c>
      <c r="I134" s="11">
        <v>634565</v>
      </c>
      <c r="J134" s="45">
        <v>0</v>
      </c>
      <c r="K134" s="11">
        <v>0</v>
      </c>
      <c r="L134" s="45">
        <v>0</v>
      </c>
      <c r="M134" s="11">
        <v>0</v>
      </c>
      <c r="N134" s="1">
        <v>11929</v>
      </c>
      <c r="O134" s="11">
        <v>1964894</v>
      </c>
      <c r="P134" s="1">
        <v>0</v>
      </c>
      <c r="Q134" s="11">
        <v>0</v>
      </c>
      <c r="R134" s="1">
        <v>0</v>
      </c>
      <c r="S134" s="11">
        <v>0</v>
      </c>
      <c r="T134" s="53">
        <f>N134+L134+J134+H134+D134+P134+F134+R134</f>
        <v>33106</v>
      </c>
      <c r="U134" s="54">
        <f t="shared" ref="U134:U145" si="146">O134+M134+K134+I134+E134+Q134+G134+S134</f>
        <v>4729472</v>
      </c>
      <c r="V134" s="2" t="s">
        <v>62</v>
      </c>
      <c r="AE134" s="2" t="s">
        <v>5</v>
      </c>
      <c r="AF134" s="2">
        <v>2021</v>
      </c>
      <c r="AG134" s="1">
        <f t="shared" ref="AG134:AG145" si="147">D134+H134+F134</f>
        <v>21177</v>
      </c>
      <c r="AH134" s="11">
        <f t="shared" ref="AH134:AH145" si="148">E134+I134+G134</f>
        <v>2764578</v>
      </c>
      <c r="AI134" s="1">
        <f t="shared" ref="AI134:AI145" si="149">+J134</f>
        <v>0</v>
      </c>
      <c r="AJ134" s="11">
        <f t="shared" ref="AJ134:AJ145" si="150">+K134</f>
        <v>0</v>
      </c>
      <c r="AK134" s="8">
        <f t="shared" ref="AK134:AK145" si="151">+L134</f>
        <v>0</v>
      </c>
      <c r="AL134" s="11">
        <f t="shared" ref="AL134:AL145" si="152">+M134</f>
        <v>0</v>
      </c>
      <c r="AM134" s="8">
        <f t="shared" ref="AM134:AM145" si="153">+N134</f>
        <v>11929</v>
      </c>
      <c r="AN134" s="11">
        <f t="shared" ref="AN134:AN145" si="154">+O134</f>
        <v>1964894</v>
      </c>
      <c r="AO134" s="8">
        <f t="shared" ref="AO134:AO145" si="155">+P134</f>
        <v>0</v>
      </c>
      <c r="AP134" s="11">
        <f t="shared" ref="AP134:AP145" si="156">+Q134</f>
        <v>0</v>
      </c>
      <c r="AQ134" s="11">
        <f t="shared" ref="AQ134:AQ145" si="157">+R134</f>
        <v>0</v>
      </c>
      <c r="AR134" s="11">
        <f t="shared" ref="AR134:AR145" si="158">+S134</f>
        <v>0</v>
      </c>
      <c r="AS134" s="8">
        <f>AO134+AM134+AK134+AI134+AG134+AQ134</f>
        <v>33106</v>
      </c>
      <c r="AT134" s="11">
        <f t="shared" ref="AT134:AT145" si="159">AP134+AN134+AL134+AJ134+AH134+AR134</f>
        <v>4729472</v>
      </c>
      <c r="AU134" s="2" t="str">
        <f t="shared" ref="AU134:AU145" si="160">+V134</f>
        <v>CAMS</v>
      </c>
      <c r="AV134" s="37">
        <f t="shared" ref="AV134:AV145" si="161">+AS134-T134</f>
        <v>0</v>
      </c>
      <c r="AW134" s="37">
        <f t="shared" ref="AW134:AW145" si="162">+AT134-U134</f>
        <v>0</v>
      </c>
    </row>
    <row r="135" spans="1:49" outlineLevel="1" x14ac:dyDescent="0.25">
      <c r="B135" s="2" t="s">
        <v>6</v>
      </c>
      <c r="C135" s="2">
        <v>2022</v>
      </c>
      <c r="D135" s="1">
        <v>12633</v>
      </c>
      <c r="E135" s="11">
        <v>1618528</v>
      </c>
      <c r="F135" s="1">
        <v>4941</v>
      </c>
      <c r="G135" s="11">
        <v>722993</v>
      </c>
      <c r="H135" s="1">
        <v>3657</v>
      </c>
      <c r="I135" s="11">
        <v>692059</v>
      </c>
      <c r="J135" s="45">
        <v>0</v>
      </c>
      <c r="K135" s="11">
        <v>0</v>
      </c>
      <c r="L135" s="45">
        <v>0</v>
      </c>
      <c r="M135" s="11">
        <v>0</v>
      </c>
      <c r="N135" s="1">
        <v>12434</v>
      </c>
      <c r="O135" s="11">
        <v>2170594</v>
      </c>
      <c r="P135" s="1">
        <v>0</v>
      </c>
      <c r="Q135" s="11">
        <v>0</v>
      </c>
      <c r="R135" s="1">
        <v>0</v>
      </c>
      <c r="S135" s="11">
        <v>0</v>
      </c>
      <c r="T135" s="53">
        <f t="shared" ref="T135:T145" si="163">N135+L135+J135+H135+D135+P135+F135+R135</f>
        <v>33665</v>
      </c>
      <c r="U135" s="54">
        <f t="shared" si="146"/>
        <v>5204174</v>
      </c>
      <c r="V135" s="2" t="s">
        <v>62</v>
      </c>
      <c r="AE135" s="2" t="s">
        <v>6</v>
      </c>
      <c r="AF135" s="2">
        <v>2021</v>
      </c>
      <c r="AG135" s="1">
        <f t="shared" si="147"/>
        <v>21231</v>
      </c>
      <c r="AH135" s="11">
        <f t="shared" si="148"/>
        <v>3033580</v>
      </c>
      <c r="AI135" s="1">
        <f t="shared" si="149"/>
        <v>0</v>
      </c>
      <c r="AJ135" s="11">
        <f t="shared" si="150"/>
        <v>0</v>
      </c>
      <c r="AK135" s="8">
        <f t="shared" si="151"/>
        <v>0</v>
      </c>
      <c r="AL135" s="11">
        <f t="shared" si="152"/>
        <v>0</v>
      </c>
      <c r="AM135" s="8">
        <f t="shared" si="153"/>
        <v>12434</v>
      </c>
      <c r="AN135" s="11">
        <f t="shared" si="154"/>
        <v>2170594</v>
      </c>
      <c r="AO135" s="8">
        <f t="shared" si="155"/>
        <v>0</v>
      </c>
      <c r="AP135" s="11">
        <f t="shared" si="156"/>
        <v>0</v>
      </c>
      <c r="AQ135" s="11">
        <f t="shared" si="157"/>
        <v>0</v>
      </c>
      <c r="AR135" s="11">
        <f t="shared" si="158"/>
        <v>0</v>
      </c>
      <c r="AS135" s="8">
        <f t="shared" ref="AS135:AS145" si="164">AO135+AM135+AK135+AI135+AG135+AQ135</f>
        <v>33665</v>
      </c>
      <c r="AT135" s="11">
        <f t="shared" si="159"/>
        <v>5204174</v>
      </c>
      <c r="AU135" s="2" t="str">
        <f t="shared" si="160"/>
        <v>CAMS</v>
      </c>
      <c r="AV135" s="37">
        <f t="shared" si="161"/>
        <v>0</v>
      </c>
      <c r="AW135" s="37">
        <f t="shared" si="162"/>
        <v>0</v>
      </c>
    </row>
    <row r="136" spans="1:49" outlineLevel="1" x14ac:dyDescent="0.25">
      <c r="B136" s="2" t="s">
        <v>7</v>
      </c>
      <c r="C136" s="2">
        <v>2022</v>
      </c>
      <c r="D136" s="1">
        <v>14637</v>
      </c>
      <c r="E136" s="11">
        <v>1846576</v>
      </c>
      <c r="F136" s="1">
        <v>5857</v>
      </c>
      <c r="G136" s="11">
        <v>819421</v>
      </c>
      <c r="H136" s="1">
        <v>4813</v>
      </c>
      <c r="I136" s="11">
        <v>901296</v>
      </c>
      <c r="J136" s="45">
        <v>0</v>
      </c>
      <c r="K136" s="11">
        <v>0</v>
      </c>
      <c r="L136" s="45">
        <v>0</v>
      </c>
      <c r="M136" s="11">
        <v>0</v>
      </c>
      <c r="N136" s="1">
        <v>14076</v>
      </c>
      <c r="O136" s="11">
        <v>2436361</v>
      </c>
      <c r="P136" s="1">
        <v>0</v>
      </c>
      <c r="Q136" s="11">
        <v>0</v>
      </c>
      <c r="R136" s="1">
        <v>0</v>
      </c>
      <c r="S136" s="11">
        <v>0</v>
      </c>
      <c r="T136" s="53">
        <f t="shared" ref="T136" si="165">N136+L136+J136+H136+D136+P136+F136+R136</f>
        <v>39383</v>
      </c>
      <c r="U136" s="54">
        <f t="shared" ref="U136" si="166">O136+M136+K136+I136+E136+Q136+G136+S136</f>
        <v>6003654</v>
      </c>
      <c r="V136" s="2" t="s">
        <v>62</v>
      </c>
      <c r="AE136" s="2" t="s">
        <v>7</v>
      </c>
      <c r="AF136" s="2">
        <v>2021</v>
      </c>
      <c r="AG136" s="1">
        <f t="shared" si="147"/>
        <v>25307</v>
      </c>
      <c r="AH136" s="11">
        <f t="shared" si="148"/>
        <v>3567293</v>
      </c>
      <c r="AI136" s="1">
        <f t="shared" si="149"/>
        <v>0</v>
      </c>
      <c r="AJ136" s="11">
        <f t="shared" si="150"/>
        <v>0</v>
      </c>
      <c r="AK136" s="8">
        <f t="shared" si="151"/>
        <v>0</v>
      </c>
      <c r="AL136" s="11">
        <f t="shared" si="152"/>
        <v>0</v>
      </c>
      <c r="AM136" s="8">
        <f t="shared" si="153"/>
        <v>14076</v>
      </c>
      <c r="AN136" s="11">
        <f t="shared" si="154"/>
        <v>2436361</v>
      </c>
      <c r="AO136" s="8">
        <f t="shared" si="155"/>
        <v>0</v>
      </c>
      <c r="AP136" s="11">
        <f t="shared" si="156"/>
        <v>0</v>
      </c>
      <c r="AQ136" s="11">
        <f t="shared" si="157"/>
        <v>0</v>
      </c>
      <c r="AR136" s="11">
        <f t="shared" si="158"/>
        <v>0</v>
      </c>
      <c r="AS136" s="8">
        <f t="shared" si="164"/>
        <v>39383</v>
      </c>
      <c r="AT136" s="11">
        <f t="shared" si="159"/>
        <v>6003654</v>
      </c>
      <c r="AU136" s="2" t="str">
        <f t="shared" si="160"/>
        <v>CAMS</v>
      </c>
      <c r="AV136" s="37">
        <f t="shared" si="161"/>
        <v>0</v>
      </c>
      <c r="AW136" s="37">
        <f t="shared" si="162"/>
        <v>0</v>
      </c>
    </row>
    <row r="137" spans="1:49" outlineLevel="1" x14ac:dyDescent="0.25">
      <c r="B137" s="2" t="s">
        <v>8</v>
      </c>
      <c r="C137" s="2">
        <v>2022</v>
      </c>
      <c r="D137" s="1">
        <v>16499</v>
      </c>
      <c r="E137" s="11">
        <v>1974092</v>
      </c>
      <c r="F137" s="1">
        <v>5563</v>
      </c>
      <c r="G137" s="11">
        <v>789561</v>
      </c>
      <c r="H137" s="1">
        <v>5591</v>
      </c>
      <c r="I137" s="11">
        <v>973310</v>
      </c>
      <c r="J137" s="45">
        <v>0</v>
      </c>
      <c r="K137" s="11">
        <v>0</v>
      </c>
      <c r="L137" s="45">
        <v>0</v>
      </c>
      <c r="M137" s="11">
        <v>0</v>
      </c>
      <c r="N137" s="1">
        <v>12614</v>
      </c>
      <c r="O137" s="11">
        <v>2211004</v>
      </c>
      <c r="P137" s="1">
        <v>0</v>
      </c>
      <c r="Q137" s="11">
        <v>0</v>
      </c>
      <c r="R137" s="1">
        <v>0</v>
      </c>
      <c r="S137" s="11">
        <v>0</v>
      </c>
      <c r="T137" s="53">
        <f t="shared" si="163"/>
        <v>40267</v>
      </c>
      <c r="U137" s="54">
        <f t="shared" si="146"/>
        <v>5947967</v>
      </c>
      <c r="V137" s="2" t="s">
        <v>62</v>
      </c>
      <c r="AE137" s="2" t="s">
        <v>8</v>
      </c>
      <c r="AF137" s="2">
        <v>2021</v>
      </c>
      <c r="AG137" s="1">
        <f t="shared" si="147"/>
        <v>27653</v>
      </c>
      <c r="AH137" s="11">
        <f t="shared" si="148"/>
        <v>3736963</v>
      </c>
      <c r="AI137" s="1">
        <f t="shared" si="149"/>
        <v>0</v>
      </c>
      <c r="AJ137" s="11">
        <f t="shared" si="150"/>
        <v>0</v>
      </c>
      <c r="AK137" s="8">
        <f t="shared" si="151"/>
        <v>0</v>
      </c>
      <c r="AL137" s="11">
        <f t="shared" si="152"/>
        <v>0</v>
      </c>
      <c r="AM137" s="8">
        <f t="shared" si="153"/>
        <v>12614</v>
      </c>
      <c r="AN137" s="11">
        <f t="shared" si="154"/>
        <v>2211004</v>
      </c>
      <c r="AO137" s="8">
        <f t="shared" si="155"/>
        <v>0</v>
      </c>
      <c r="AP137" s="11">
        <f t="shared" si="156"/>
        <v>0</v>
      </c>
      <c r="AQ137" s="11">
        <f t="shared" si="157"/>
        <v>0</v>
      </c>
      <c r="AR137" s="11">
        <f t="shared" si="158"/>
        <v>0</v>
      </c>
      <c r="AS137" s="8">
        <f t="shared" si="164"/>
        <v>40267</v>
      </c>
      <c r="AT137" s="11">
        <f t="shared" si="159"/>
        <v>5947967</v>
      </c>
      <c r="AU137" s="2" t="str">
        <f t="shared" si="160"/>
        <v>CAMS</v>
      </c>
      <c r="AV137" s="37">
        <f t="shared" si="161"/>
        <v>0</v>
      </c>
      <c r="AW137" s="37">
        <f t="shared" si="162"/>
        <v>0</v>
      </c>
    </row>
    <row r="138" spans="1:49" outlineLevel="1" x14ac:dyDescent="0.25">
      <c r="B138" s="2" t="s">
        <v>9</v>
      </c>
      <c r="C138" s="2">
        <v>2022</v>
      </c>
      <c r="D138" s="1">
        <v>15685</v>
      </c>
      <c r="E138" s="11">
        <v>1915310</v>
      </c>
      <c r="F138" s="1">
        <v>5993</v>
      </c>
      <c r="G138" s="11">
        <v>885124</v>
      </c>
      <c r="H138" s="1">
        <v>5665</v>
      </c>
      <c r="I138" s="11">
        <v>985648</v>
      </c>
      <c r="J138" s="45">
        <v>0</v>
      </c>
      <c r="K138" s="11">
        <v>0</v>
      </c>
      <c r="L138" s="45">
        <v>0</v>
      </c>
      <c r="M138" s="11">
        <v>0</v>
      </c>
      <c r="N138" s="1">
        <v>12705</v>
      </c>
      <c r="O138" s="11">
        <v>2252529</v>
      </c>
      <c r="P138" s="1">
        <v>0</v>
      </c>
      <c r="Q138" s="11">
        <v>0</v>
      </c>
      <c r="R138" s="1">
        <v>0</v>
      </c>
      <c r="S138" s="11">
        <v>0</v>
      </c>
      <c r="T138" s="53">
        <f t="shared" si="163"/>
        <v>40048</v>
      </c>
      <c r="U138" s="54">
        <f t="shared" si="146"/>
        <v>6038611</v>
      </c>
      <c r="V138" s="2" t="s">
        <v>62</v>
      </c>
      <c r="AE138" s="2" t="s">
        <v>9</v>
      </c>
      <c r="AF138" s="2">
        <v>2021</v>
      </c>
      <c r="AG138" s="1">
        <f t="shared" si="147"/>
        <v>27343</v>
      </c>
      <c r="AH138" s="11">
        <f t="shared" si="148"/>
        <v>3786082</v>
      </c>
      <c r="AI138" s="1">
        <f t="shared" si="149"/>
        <v>0</v>
      </c>
      <c r="AJ138" s="11">
        <f t="shared" si="150"/>
        <v>0</v>
      </c>
      <c r="AK138" s="8">
        <f t="shared" si="151"/>
        <v>0</v>
      </c>
      <c r="AL138" s="11">
        <f t="shared" si="152"/>
        <v>0</v>
      </c>
      <c r="AM138" s="8">
        <f t="shared" si="153"/>
        <v>12705</v>
      </c>
      <c r="AN138" s="11">
        <f t="shared" si="154"/>
        <v>2252529</v>
      </c>
      <c r="AO138" s="8">
        <f t="shared" si="155"/>
        <v>0</v>
      </c>
      <c r="AP138" s="11">
        <f t="shared" si="156"/>
        <v>0</v>
      </c>
      <c r="AQ138" s="11">
        <f t="shared" si="157"/>
        <v>0</v>
      </c>
      <c r="AR138" s="11">
        <f t="shared" si="158"/>
        <v>0</v>
      </c>
      <c r="AS138" s="8">
        <f t="shared" si="164"/>
        <v>40048</v>
      </c>
      <c r="AT138" s="11">
        <f t="shared" si="159"/>
        <v>6038611</v>
      </c>
      <c r="AU138" s="2" t="str">
        <f t="shared" si="160"/>
        <v>CAMS</v>
      </c>
      <c r="AV138" s="37">
        <f t="shared" si="161"/>
        <v>0</v>
      </c>
      <c r="AW138" s="37">
        <f t="shared" si="162"/>
        <v>0</v>
      </c>
    </row>
    <row r="139" spans="1:49" outlineLevel="1" x14ac:dyDescent="0.25">
      <c r="B139" s="2" t="s">
        <v>10</v>
      </c>
      <c r="C139" s="2">
        <v>2022</v>
      </c>
      <c r="D139" s="1">
        <v>16475</v>
      </c>
      <c r="E139" s="11">
        <v>2019882</v>
      </c>
      <c r="F139" s="1">
        <v>6417</v>
      </c>
      <c r="G139" s="11">
        <v>964760</v>
      </c>
      <c r="H139" s="1">
        <v>5518</v>
      </c>
      <c r="I139" s="11">
        <v>975642</v>
      </c>
      <c r="J139" s="45">
        <v>0</v>
      </c>
      <c r="K139" s="11">
        <v>0</v>
      </c>
      <c r="L139" s="45">
        <v>0</v>
      </c>
      <c r="M139" s="11">
        <v>0</v>
      </c>
      <c r="N139" s="1">
        <v>12560</v>
      </c>
      <c r="O139" s="11">
        <v>2186932</v>
      </c>
      <c r="P139" s="1">
        <v>0</v>
      </c>
      <c r="Q139" s="11">
        <v>0</v>
      </c>
      <c r="R139" s="1">
        <v>2</v>
      </c>
      <c r="S139" s="11">
        <v>242</v>
      </c>
      <c r="T139" s="53">
        <f t="shared" si="163"/>
        <v>40972</v>
      </c>
      <c r="U139" s="54">
        <f t="shared" si="146"/>
        <v>6147458</v>
      </c>
      <c r="V139" s="2" t="s">
        <v>62</v>
      </c>
      <c r="AE139" s="2" t="s">
        <v>10</v>
      </c>
      <c r="AF139" s="2">
        <v>2021</v>
      </c>
      <c r="AG139" s="1">
        <f t="shared" si="147"/>
        <v>28410</v>
      </c>
      <c r="AH139" s="11">
        <f t="shared" si="148"/>
        <v>3960284</v>
      </c>
      <c r="AI139" s="1">
        <f t="shared" si="149"/>
        <v>0</v>
      </c>
      <c r="AJ139" s="11">
        <f t="shared" si="150"/>
        <v>0</v>
      </c>
      <c r="AK139" s="8">
        <f t="shared" si="151"/>
        <v>0</v>
      </c>
      <c r="AL139" s="11">
        <f t="shared" si="152"/>
        <v>0</v>
      </c>
      <c r="AM139" s="8">
        <f t="shared" si="153"/>
        <v>12560</v>
      </c>
      <c r="AN139" s="11">
        <f t="shared" si="154"/>
        <v>2186932</v>
      </c>
      <c r="AO139" s="8">
        <f t="shared" si="155"/>
        <v>0</v>
      </c>
      <c r="AP139" s="11">
        <f t="shared" si="156"/>
        <v>0</v>
      </c>
      <c r="AQ139" s="11">
        <f t="shared" si="157"/>
        <v>2</v>
      </c>
      <c r="AR139" s="11">
        <f t="shared" si="158"/>
        <v>242</v>
      </c>
      <c r="AS139" s="8">
        <f t="shared" si="164"/>
        <v>40972</v>
      </c>
      <c r="AT139" s="11">
        <f t="shared" si="159"/>
        <v>6147458</v>
      </c>
      <c r="AU139" s="2" t="str">
        <f t="shared" si="160"/>
        <v>CAMS</v>
      </c>
      <c r="AV139" s="37">
        <f t="shared" si="161"/>
        <v>0</v>
      </c>
      <c r="AW139" s="37">
        <f t="shared" si="162"/>
        <v>0</v>
      </c>
    </row>
    <row r="140" spans="1:49" outlineLevel="1" x14ac:dyDescent="0.25">
      <c r="B140" s="2" t="s">
        <v>11</v>
      </c>
      <c r="C140" s="2">
        <v>2022</v>
      </c>
      <c r="D140" s="1">
        <v>17457</v>
      </c>
      <c r="E140" s="11">
        <v>2109527</v>
      </c>
      <c r="F140" s="1">
        <v>6561</v>
      </c>
      <c r="G140" s="11">
        <v>996251</v>
      </c>
      <c r="H140" s="1">
        <v>5998</v>
      </c>
      <c r="I140" s="11">
        <v>1051346</v>
      </c>
      <c r="J140" s="45">
        <v>0</v>
      </c>
      <c r="K140" s="11">
        <v>0</v>
      </c>
      <c r="L140" s="45">
        <v>0</v>
      </c>
      <c r="M140" s="11">
        <v>0</v>
      </c>
      <c r="N140" s="1">
        <v>12650</v>
      </c>
      <c r="O140" s="11">
        <v>2236208</v>
      </c>
      <c r="P140" s="1">
        <v>0</v>
      </c>
      <c r="Q140" s="11">
        <v>0</v>
      </c>
      <c r="R140" s="1">
        <v>15</v>
      </c>
      <c r="S140" s="11">
        <v>1936</v>
      </c>
      <c r="T140" s="53">
        <f t="shared" si="163"/>
        <v>42681</v>
      </c>
      <c r="U140" s="54">
        <f t="shared" si="146"/>
        <v>6395268</v>
      </c>
      <c r="V140" s="2" t="s">
        <v>62</v>
      </c>
      <c r="AE140" s="2" t="s">
        <v>11</v>
      </c>
      <c r="AF140" s="2">
        <v>2021</v>
      </c>
      <c r="AG140" s="1">
        <f t="shared" si="147"/>
        <v>30016</v>
      </c>
      <c r="AH140" s="11">
        <f t="shared" si="148"/>
        <v>4157124</v>
      </c>
      <c r="AI140" s="1">
        <f t="shared" si="149"/>
        <v>0</v>
      </c>
      <c r="AJ140" s="11">
        <f t="shared" si="150"/>
        <v>0</v>
      </c>
      <c r="AK140" s="8">
        <f t="shared" si="151"/>
        <v>0</v>
      </c>
      <c r="AL140" s="11">
        <f t="shared" si="152"/>
        <v>0</v>
      </c>
      <c r="AM140" s="8">
        <f t="shared" si="153"/>
        <v>12650</v>
      </c>
      <c r="AN140" s="11">
        <f t="shared" si="154"/>
        <v>2236208</v>
      </c>
      <c r="AO140" s="8">
        <f t="shared" si="155"/>
        <v>0</v>
      </c>
      <c r="AP140" s="11">
        <f t="shared" si="156"/>
        <v>0</v>
      </c>
      <c r="AQ140" s="11">
        <f t="shared" si="157"/>
        <v>15</v>
      </c>
      <c r="AR140" s="11">
        <f t="shared" si="158"/>
        <v>1936</v>
      </c>
      <c r="AS140" s="8">
        <f t="shared" si="164"/>
        <v>42681</v>
      </c>
      <c r="AT140" s="11">
        <f t="shared" si="159"/>
        <v>6395268</v>
      </c>
      <c r="AU140" s="2" t="str">
        <f t="shared" si="160"/>
        <v>CAMS</v>
      </c>
      <c r="AV140" s="37">
        <f t="shared" si="161"/>
        <v>0</v>
      </c>
      <c r="AW140" s="37">
        <f t="shared" si="162"/>
        <v>0</v>
      </c>
    </row>
    <row r="141" spans="1:49" outlineLevel="1" x14ac:dyDescent="0.25">
      <c r="B141" s="2" t="s">
        <v>4</v>
      </c>
      <c r="C141" s="2">
        <v>2022</v>
      </c>
      <c r="D141" s="1">
        <v>16763</v>
      </c>
      <c r="E141" s="11">
        <v>2048905</v>
      </c>
      <c r="F141" s="1">
        <v>7270</v>
      </c>
      <c r="G141" s="11">
        <v>1080003</v>
      </c>
      <c r="H141" s="1">
        <v>5959</v>
      </c>
      <c r="I141" s="11">
        <v>1034483</v>
      </c>
      <c r="J141" s="45">
        <v>0</v>
      </c>
      <c r="K141" s="11">
        <v>0</v>
      </c>
      <c r="L141" s="45">
        <v>0</v>
      </c>
      <c r="M141" s="11">
        <v>0</v>
      </c>
      <c r="N141" s="1">
        <v>13988</v>
      </c>
      <c r="O141" s="11">
        <v>2529551</v>
      </c>
      <c r="P141" s="1">
        <v>0</v>
      </c>
      <c r="Q141" s="11">
        <v>0</v>
      </c>
      <c r="R141" s="1">
        <v>27</v>
      </c>
      <c r="S141" s="11">
        <v>3129</v>
      </c>
      <c r="T141" s="53">
        <f t="shared" si="163"/>
        <v>44007</v>
      </c>
      <c r="U141" s="54">
        <f t="shared" si="146"/>
        <v>6696071</v>
      </c>
      <c r="V141" s="2" t="s">
        <v>62</v>
      </c>
      <c r="AE141" s="2" t="s">
        <v>4</v>
      </c>
      <c r="AF141" s="2">
        <v>2021</v>
      </c>
      <c r="AG141" s="1">
        <f t="shared" si="147"/>
        <v>29992</v>
      </c>
      <c r="AH141" s="11">
        <f t="shared" si="148"/>
        <v>4163391</v>
      </c>
      <c r="AI141" s="1">
        <f t="shared" si="149"/>
        <v>0</v>
      </c>
      <c r="AJ141" s="11">
        <f t="shared" si="150"/>
        <v>0</v>
      </c>
      <c r="AK141" s="8">
        <f t="shared" si="151"/>
        <v>0</v>
      </c>
      <c r="AL141" s="11">
        <f t="shared" si="152"/>
        <v>0</v>
      </c>
      <c r="AM141" s="8">
        <f t="shared" si="153"/>
        <v>13988</v>
      </c>
      <c r="AN141" s="11">
        <f t="shared" si="154"/>
        <v>2529551</v>
      </c>
      <c r="AO141" s="8">
        <f t="shared" si="155"/>
        <v>0</v>
      </c>
      <c r="AP141" s="11">
        <f t="shared" si="156"/>
        <v>0</v>
      </c>
      <c r="AQ141" s="11">
        <f t="shared" si="157"/>
        <v>27</v>
      </c>
      <c r="AR141" s="11">
        <f t="shared" si="158"/>
        <v>3129</v>
      </c>
      <c r="AS141" s="8">
        <f t="shared" si="164"/>
        <v>44007</v>
      </c>
      <c r="AT141" s="11">
        <f t="shared" si="159"/>
        <v>6696071</v>
      </c>
      <c r="AU141" s="2" t="str">
        <f t="shared" si="160"/>
        <v>CAMS</v>
      </c>
      <c r="AV141" s="37">
        <f t="shared" si="161"/>
        <v>0</v>
      </c>
      <c r="AW141" s="37">
        <f t="shared" si="162"/>
        <v>0</v>
      </c>
    </row>
    <row r="142" spans="1:49" outlineLevel="1" x14ac:dyDescent="0.25">
      <c r="B142" s="2" t="s">
        <v>28</v>
      </c>
      <c r="C142" s="2">
        <v>2022</v>
      </c>
      <c r="D142" s="1">
        <v>16404</v>
      </c>
      <c r="E142" s="11">
        <v>1987528</v>
      </c>
      <c r="F142" s="1">
        <v>6857</v>
      </c>
      <c r="G142" s="11">
        <v>1017272</v>
      </c>
      <c r="H142" s="1">
        <v>5501</v>
      </c>
      <c r="I142" s="11">
        <v>943246</v>
      </c>
      <c r="J142" s="45">
        <v>0</v>
      </c>
      <c r="K142" s="11">
        <v>0</v>
      </c>
      <c r="L142" s="45">
        <v>0</v>
      </c>
      <c r="M142" s="11">
        <v>0</v>
      </c>
      <c r="N142" s="1">
        <v>13288</v>
      </c>
      <c r="O142" s="11">
        <v>2385756</v>
      </c>
      <c r="P142" s="1">
        <v>0</v>
      </c>
      <c r="Q142" s="11">
        <v>0</v>
      </c>
      <c r="R142" s="1">
        <v>23</v>
      </c>
      <c r="S142" s="11">
        <v>2409</v>
      </c>
      <c r="T142" s="53">
        <f t="shared" si="163"/>
        <v>42073</v>
      </c>
      <c r="U142" s="54">
        <f t="shared" si="146"/>
        <v>6336211</v>
      </c>
      <c r="V142" s="2" t="s">
        <v>62</v>
      </c>
      <c r="AE142" s="2" t="s">
        <v>28</v>
      </c>
      <c r="AF142" s="2">
        <v>2021</v>
      </c>
      <c r="AG142" s="1">
        <f t="shared" si="147"/>
        <v>28762</v>
      </c>
      <c r="AH142" s="11">
        <f t="shared" si="148"/>
        <v>3948046</v>
      </c>
      <c r="AI142" s="1">
        <f t="shared" si="149"/>
        <v>0</v>
      </c>
      <c r="AJ142" s="11">
        <f t="shared" si="150"/>
        <v>0</v>
      </c>
      <c r="AK142" s="8">
        <f t="shared" si="151"/>
        <v>0</v>
      </c>
      <c r="AL142" s="11">
        <f t="shared" si="152"/>
        <v>0</v>
      </c>
      <c r="AM142" s="8">
        <f t="shared" si="153"/>
        <v>13288</v>
      </c>
      <c r="AN142" s="11">
        <f t="shared" si="154"/>
        <v>2385756</v>
      </c>
      <c r="AO142" s="8">
        <f t="shared" si="155"/>
        <v>0</v>
      </c>
      <c r="AP142" s="11">
        <f t="shared" si="156"/>
        <v>0</v>
      </c>
      <c r="AQ142" s="11">
        <f t="shared" si="157"/>
        <v>23</v>
      </c>
      <c r="AR142" s="11">
        <f t="shared" si="158"/>
        <v>2409</v>
      </c>
      <c r="AS142" s="8">
        <f t="shared" si="164"/>
        <v>42073</v>
      </c>
      <c r="AT142" s="11">
        <f t="shared" si="159"/>
        <v>6336211</v>
      </c>
      <c r="AU142" s="2" t="str">
        <f t="shared" si="160"/>
        <v>CAMS</v>
      </c>
      <c r="AV142" s="37">
        <f t="shared" si="161"/>
        <v>0</v>
      </c>
      <c r="AW142" s="37">
        <f t="shared" si="162"/>
        <v>0</v>
      </c>
    </row>
    <row r="143" spans="1:49" outlineLevel="1" x14ac:dyDescent="0.25">
      <c r="B143" s="2" t="s">
        <v>29</v>
      </c>
      <c r="C143" s="2">
        <v>2022</v>
      </c>
      <c r="D143" s="1">
        <v>17650</v>
      </c>
      <c r="E143" s="11">
        <v>2170014</v>
      </c>
      <c r="F143" s="1">
        <v>7176</v>
      </c>
      <c r="G143" s="11">
        <v>1067997</v>
      </c>
      <c r="H143" s="1">
        <v>6101</v>
      </c>
      <c r="I143" s="11">
        <v>1010893</v>
      </c>
      <c r="J143" s="45">
        <v>0</v>
      </c>
      <c r="K143" s="11">
        <v>0</v>
      </c>
      <c r="L143" s="45">
        <v>0</v>
      </c>
      <c r="M143" s="11">
        <v>0</v>
      </c>
      <c r="N143" s="1">
        <v>14418</v>
      </c>
      <c r="O143" s="11">
        <v>2599131</v>
      </c>
      <c r="P143" s="1">
        <v>0</v>
      </c>
      <c r="Q143" s="11">
        <v>0</v>
      </c>
      <c r="R143" s="1">
        <v>34</v>
      </c>
      <c r="S143" s="11">
        <v>2389</v>
      </c>
      <c r="T143" s="53">
        <f>N143+L143+J143+H143+D143+P143+F143+R143</f>
        <v>45379</v>
      </c>
      <c r="U143" s="54">
        <f>O143+M143+K143+I143+E143+Q143+G143+S143</f>
        <v>6850424</v>
      </c>
      <c r="V143" s="2" t="s">
        <v>62</v>
      </c>
      <c r="AE143" s="2" t="s">
        <v>29</v>
      </c>
      <c r="AF143" s="2">
        <v>2021</v>
      </c>
      <c r="AG143" s="1">
        <f t="shared" si="147"/>
        <v>30927</v>
      </c>
      <c r="AH143" s="11">
        <f t="shared" si="148"/>
        <v>4248904</v>
      </c>
      <c r="AI143" s="1">
        <f t="shared" si="149"/>
        <v>0</v>
      </c>
      <c r="AJ143" s="11">
        <f t="shared" si="150"/>
        <v>0</v>
      </c>
      <c r="AK143" s="8">
        <f t="shared" si="151"/>
        <v>0</v>
      </c>
      <c r="AL143" s="11">
        <f t="shared" si="152"/>
        <v>0</v>
      </c>
      <c r="AM143" s="8">
        <f t="shared" si="153"/>
        <v>14418</v>
      </c>
      <c r="AN143" s="11">
        <f t="shared" si="154"/>
        <v>2599131</v>
      </c>
      <c r="AO143" s="8">
        <f t="shared" si="155"/>
        <v>0</v>
      </c>
      <c r="AP143" s="11">
        <f t="shared" si="156"/>
        <v>0</v>
      </c>
      <c r="AQ143" s="11">
        <f t="shared" si="157"/>
        <v>34</v>
      </c>
      <c r="AR143" s="11">
        <f t="shared" si="158"/>
        <v>2389</v>
      </c>
      <c r="AS143" s="8">
        <f t="shared" si="164"/>
        <v>45379</v>
      </c>
      <c r="AT143" s="11">
        <f t="shared" si="159"/>
        <v>6850424</v>
      </c>
      <c r="AU143" s="2" t="str">
        <f t="shared" si="160"/>
        <v>CAMS</v>
      </c>
      <c r="AV143" s="37">
        <f t="shared" si="161"/>
        <v>0</v>
      </c>
      <c r="AW143" s="37">
        <f t="shared" si="162"/>
        <v>0</v>
      </c>
    </row>
    <row r="144" spans="1:49" outlineLevel="1" x14ac:dyDescent="0.25">
      <c r="B144" s="2" t="s">
        <v>30</v>
      </c>
      <c r="C144" s="2">
        <v>2022</v>
      </c>
      <c r="D144" s="1">
        <v>17834</v>
      </c>
      <c r="E144" s="11">
        <v>2143654</v>
      </c>
      <c r="F144" s="1">
        <v>7675</v>
      </c>
      <c r="G144" s="11">
        <v>1150739</v>
      </c>
      <c r="H144" s="1">
        <v>6361</v>
      </c>
      <c r="I144" s="11">
        <v>1062566</v>
      </c>
      <c r="J144" s="1">
        <v>0</v>
      </c>
      <c r="K144" s="11">
        <v>0</v>
      </c>
      <c r="L144" s="1">
        <v>0</v>
      </c>
      <c r="M144" s="11">
        <v>0</v>
      </c>
      <c r="N144" s="1">
        <v>14355</v>
      </c>
      <c r="O144" s="11">
        <v>2532719</v>
      </c>
      <c r="P144" s="1">
        <v>0</v>
      </c>
      <c r="Q144" s="11">
        <v>0</v>
      </c>
      <c r="R144" s="1">
        <v>58</v>
      </c>
      <c r="S144" s="11">
        <v>4885</v>
      </c>
      <c r="T144" s="53">
        <f t="shared" si="163"/>
        <v>46283</v>
      </c>
      <c r="U144" s="54">
        <f t="shared" si="146"/>
        <v>6894563</v>
      </c>
      <c r="V144" s="2" t="s">
        <v>62</v>
      </c>
      <c r="AE144" s="2" t="s">
        <v>30</v>
      </c>
      <c r="AF144" s="2">
        <v>2021</v>
      </c>
      <c r="AG144" s="1">
        <f t="shared" si="147"/>
        <v>31870</v>
      </c>
      <c r="AH144" s="11">
        <f t="shared" si="148"/>
        <v>4356959</v>
      </c>
      <c r="AI144" s="1">
        <f t="shared" si="149"/>
        <v>0</v>
      </c>
      <c r="AJ144" s="11">
        <f t="shared" si="150"/>
        <v>0</v>
      </c>
      <c r="AK144" s="8">
        <f t="shared" si="151"/>
        <v>0</v>
      </c>
      <c r="AL144" s="11">
        <f t="shared" si="152"/>
        <v>0</v>
      </c>
      <c r="AM144" s="8">
        <f t="shared" si="153"/>
        <v>14355</v>
      </c>
      <c r="AN144" s="11">
        <f t="shared" si="154"/>
        <v>2532719</v>
      </c>
      <c r="AO144" s="8">
        <f t="shared" si="155"/>
        <v>0</v>
      </c>
      <c r="AP144" s="11">
        <f t="shared" si="156"/>
        <v>0</v>
      </c>
      <c r="AQ144" s="11">
        <f t="shared" si="157"/>
        <v>58</v>
      </c>
      <c r="AR144" s="11">
        <f t="shared" si="158"/>
        <v>4885</v>
      </c>
      <c r="AS144" s="8">
        <f t="shared" si="164"/>
        <v>46283</v>
      </c>
      <c r="AT144" s="11">
        <f t="shared" si="159"/>
        <v>6894563</v>
      </c>
      <c r="AU144" s="2" t="str">
        <f t="shared" si="160"/>
        <v>CAMS</v>
      </c>
      <c r="AV144" s="37">
        <f t="shared" si="161"/>
        <v>0</v>
      </c>
      <c r="AW144" s="37">
        <f t="shared" si="162"/>
        <v>0</v>
      </c>
    </row>
    <row r="145" spans="1:49" outlineLevel="1" x14ac:dyDescent="0.25">
      <c r="B145" s="2" t="s">
        <v>31</v>
      </c>
      <c r="C145" s="2">
        <v>2022</v>
      </c>
      <c r="D145" s="1">
        <v>20609</v>
      </c>
      <c r="E145" s="11">
        <v>2348091</v>
      </c>
      <c r="F145" s="1">
        <v>7681</v>
      </c>
      <c r="G145" s="11">
        <v>1149896</v>
      </c>
      <c r="H145" s="1">
        <v>6893</v>
      </c>
      <c r="I145" s="11">
        <v>1126463</v>
      </c>
      <c r="J145" s="1">
        <v>0</v>
      </c>
      <c r="K145" s="11">
        <v>0</v>
      </c>
      <c r="L145" s="1">
        <v>0</v>
      </c>
      <c r="M145" s="11">
        <v>0</v>
      </c>
      <c r="N145" s="1">
        <v>14897</v>
      </c>
      <c r="O145" s="11">
        <v>2635949</v>
      </c>
      <c r="P145" s="1">
        <v>1</v>
      </c>
      <c r="Q145" s="11">
        <v>121</v>
      </c>
      <c r="R145" s="1">
        <v>68</v>
      </c>
      <c r="S145" s="11">
        <v>5037</v>
      </c>
      <c r="T145" s="53">
        <f t="shared" si="163"/>
        <v>50149</v>
      </c>
      <c r="U145" s="54">
        <f t="shared" si="146"/>
        <v>7265557</v>
      </c>
      <c r="V145" s="2" t="s">
        <v>62</v>
      </c>
      <c r="X145" s="13"/>
      <c r="AE145" s="2" t="s">
        <v>31</v>
      </c>
      <c r="AF145" s="2">
        <v>2021</v>
      </c>
      <c r="AG145" s="1">
        <f t="shared" si="147"/>
        <v>35183</v>
      </c>
      <c r="AH145" s="11">
        <f t="shared" si="148"/>
        <v>4624450</v>
      </c>
      <c r="AI145" s="1">
        <f t="shared" si="149"/>
        <v>0</v>
      </c>
      <c r="AJ145" s="11">
        <f t="shared" si="150"/>
        <v>0</v>
      </c>
      <c r="AK145" s="8">
        <f t="shared" si="151"/>
        <v>0</v>
      </c>
      <c r="AL145" s="11">
        <f t="shared" si="152"/>
        <v>0</v>
      </c>
      <c r="AM145" s="8">
        <f t="shared" si="153"/>
        <v>14897</v>
      </c>
      <c r="AN145" s="11">
        <f t="shared" si="154"/>
        <v>2635949</v>
      </c>
      <c r="AO145" s="8">
        <f t="shared" si="155"/>
        <v>1</v>
      </c>
      <c r="AP145" s="11">
        <f t="shared" si="156"/>
        <v>121</v>
      </c>
      <c r="AQ145" s="11">
        <f t="shared" si="157"/>
        <v>68</v>
      </c>
      <c r="AR145" s="11">
        <f t="shared" si="158"/>
        <v>5037</v>
      </c>
      <c r="AS145" s="8">
        <f t="shared" si="164"/>
        <v>50149</v>
      </c>
      <c r="AT145" s="11">
        <f t="shared" si="159"/>
        <v>7265557</v>
      </c>
      <c r="AU145" s="2" t="str">
        <f t="shared" si="160"/>
        <v>CAMS</v>
      </c>
      <c r="AV145" s="37">
        <f t="shared" si="161"/>
        <v>0</v>
      </c>
      <c r="AW145" s="37">
        <f t="shared" si="162"/>
        <v>0</v>
      </c>
    </row>
    <row r="146" spans="1:49" outlineLevel="1" x14ac:dyDescent="0.25">
      <c r="AH146" s="9"/>
      <c r="AJ146" s="9"/>
      <c r="AL146" s="9"/>
      <c r="AN146" s="9"/>
      <c r="AO146" s="9"/>
      <c r="AP146" s="9"/>
      <c r="AQ146" s="9"/>
      <c r="AR146" s="9"/>
      <c r="AT146" s="9"/>
    </row>
    <row r="147" spans="1:49" outlineLevel="1" x14ac:dyDescent="0.25">
      <c r="B147" s="3" t="s">
        <v>12</v>
      </c>
      <c r="C147" s="3"/>
      <c r="D147" s="4">
        <f t="shared" ref="D147:U147" si="167">SUM(D134:D146)</f>
        <v>195917</v>
      </c>
      <c r="E147" s="12">
        <f t="shared" si="167"/>
        <v>23729724</v>
      </c>
      <c r="F147" s="4">
        <f t="shared" si="167"/>
        <v>76182</v>
      </c>
      <c r="G147" s="12">
        <f t="shared" si="167"/>
        <v>11226413</v>
      </c>
      <c r="H147" s="4">
        <f t="shared" si="167"/>
        <v>65772</v>
      </c>
      <c r="I147" s="12">
        <f t="shared" si="167"/>
        <v>11391517</v>
      </c>
      <c r="J147" s="4">
        <f t="shared" si="167"/>
        <v>0</v>
      </c>
      <c r="K147" s="12">
        <f t="shared" si="167"/>
        <v>0</v>
      </c>
      <c r="L147" s="4">
        <f t="shared" si="167"/>
        <v>0</v>
      </c>
      <c r="M147" s="12">
        <f t="shared" si="167"/>
        <v>0</v>
      </c>
      <c r="N147" s="4">
        <f t="shared" si="167"/>
        <v>159914</v>
      </c>
      <c r="O147" s="12">
        <f t="shared" si="167"/>
        <v>28141628</v>
      </c>
      <c r="P147" s="4">
        <f>SUM(P134:P146)</f>
        <v>1</v>
      </c>
      <c r="Q147" s="12">
        <f>SUM(Q134:Q146)</f>
        <v>121</v>
      </c>
      <c r="R147" s="4">
        <f>SUM(R134:R146)</f>
        <v>227</v>
      </c>
      <c r="S147" s="12">
        <f>SUM(S134:S146)</f>
        <v>20027</v>
      </c>
      <c r="T147" s="4">
        <f t="shared" si="167"/>
        <v>498013</v>
      </c>
      <c r="U147" s="12">
        <f t="shared" si="167"/>
        <v>74509430</v>
      </c>
      <c r="AE147" s="3" t="s">
        <v>12</v>
      </c>
      <c r="AF147" s="3"/>
      <c r="AG147" s="4">
        <f t="shared" ref="AG147:AT147" si="168">SUM(AG134:AG146)</f>
        <v>337871</v>
      </c>
      <c r="AH147" s="12">
        <f t="shared" si="168"/>
        <v>46347654</v>
      </c>
      <c r="AI147" s="4">
        <f t="shared" si="168"/>
        <v>0</v>
      </c>
      <c r="AJ147" s="12">
        <f t="shared" si="168"/>
        <v>0</v>
      </c>
      <c r="AK147" s="4">
        <f t="shared" si="168"/>
        <v>0</v>
      </c>
      <c r="AL147" s="12">
        <f t="shared" si="168"/>
        <v>0</v>
      </c>
      <c r="AM147" s="4">
        <f t="shared" si="168"/>
        <v>159914</v>
      </c>
      <c r="AN147" s="12">
        <f t="shared" si="168"/>
        <v>28141628</v>
      </c>
      <c r="AO147" s="4">
        <f t="shared" si="168"/>
        <v>1</v>
      </c>
      <c r="AP147" s="12">
        <f t="shared" si="168"/>
        <v>121</v>
      </c>
      <c r="AQ147" s="4">
        <f t="shared" si="168"/>
        <v>227</v>
      </c>
      <c r="AR147" s="12">
        <f t="shared" si="168"/>
        <v>20027</v>
      </c>
      <c r="AS147" s="4">
        <f t="shared" si="168"/>
        <v>498013</v>
      </c>
      <c r="AT147" s="12">
        <f t="shared" si="168"/>
        <v>74509430</v>
      </c>
    </row>
    <row r="148" spans="1:49" outlineLevel="1" x14ac:dyDescent="0.25">
      <c r="J148" s="46" t="str">
        <f>+$B$129</f>
        <v>Aforo e Ingreso - CAMS</v>
      </c>
      <c r="K148" s="9" t="s">
        <v>84</v>
      </c>
      <c r="L148" s="15">
        <f>AVERAGE(L134:L145)</f>
        <v>0</v>
      </c>
      <c r="M148" s="60">
        <f>AVERAGE(M134:M145)</f>
        <v>0</v>
      </c>
      <c r="T148" s="15">
        <f>AVERAGE(T134:T145)</f>
        <v>41501.083333333336</v>
      </c>
      <c r="U148" s="28">
        <f>AVERAGE(U134:U145)</f>
        <v>6209119.166666667</v>
      </c>
    </row>
    <row r="149" spans="1:49" outlineLevel="1" x14ac:dyDescent="0.25">
      <c r="B149" s="5" t="s">
        <v>14</v>
      </c>
      <c r="J149" s="46" t="str">
        <f>+$B$129</f>
        <v>Aforo e Ingreso - CAMS</v>
      </c>
      <c r="K149" s="9" t="s">
        <v>85</v>
      </c>
      <c r="L149" s="26">
        <f>+L148/$L$316</f>
        <v>0</v>
      </c>
      <c r="M149" s="36">
        <f>+M148/$M$316</f>
        <v>0</v>
      </c>
      <c r="N149" s="18"/>
      <c r="O149" s="19"/>
      <c r="P149" s="19"/>
      <c r="Q149" s="19"/>
      <c r="R149" s="19"/>
      <c r="S149" s="19"/>
      <c r="T149" s="36">
        <f>+L148/T148</f>
        <v>0</v>
      </c>
      <c r="U149" s="62">
        <f>+M148/U148</f>
        <v>0</v>
      </c>
    </row>
    <row r="150" spans="1:49" outlineLevel="1" x14ac:dyDescent="0.25">
      <c r="B150" s="5" t="s">
        <v>49</v>
      </c>
    </row>
    <row r="151" spans="1:49" outlineLevel="1" x14ac:dyDescent="0.25">
      <c r="B151" s="5"/>
    </row>
    <row r="152" spans="1:49" outlineLevel="1" x14ac:dyDescent="0.25">
      <c r="D152" s="89" t="s">
        <v>15</v>
      </c>
      <c r="E152" s="90"/>
      <c r="F152" s="89" t="s">
        <v>71</v>
      </c>
      <c r="G152" s="90"/>
      <c r="H152" s="89" t="s">
        <v>16</v>
      </c>
      <c r="I152" s="90"/>
      <c r="J152" s="89" t="s">
        <v>17</v>
      </c>
      <c r="K152" s="93"/>
      <c r="L152" s="89" t="s">
        <v>18</v>
      </c>
      <c r="M152" s="93"/>
      <c r="N152" s="89" t="s">
        <v>13</v>
      </c>
      <c r="O152" s="93"/>
      <c r="P152" s="89" t="s">
        <v>34</v>
      </c>
      <c r="Q152" s="93"/>
      <c r="R152" s="89" t="s">
        <v>87</v>
      </c>
      <c r="S152" s="93"/>
      <c r="T152" s="89" t="s">
        <v>12</v>
      </c>
      <c r="U152" s="93"/>
      <c r="AG152" s="89" t="s">
        <v>69</v>
      </c>
      <c r="AH152" s="90"/>
      <c r="AI152" s="89" t="s">
        <v>17</v>
      </c>
      <c r="AJ152" s="93"/>
      <c r="AK152" s="89" t="s">
        <v>18</v>
      </c>
      <c r="AL152" s="93"/>
      <c r="AM152" s="89" t="s">
        <v>13</v>
      </c>
      <c r="AN152" s="93"/>
      <c r="AO152" s="89" t="s">
        <v>34</v>
      </c>
      <c r="AP152" s="93"/>
      <c r="AQ152" s="89" t="s">
        <v>87</v>
      </c>
      <c r="AR152" s="93"/>
      <c r="AS152" s="89" t="s">
        <v>12</v>
      </c>
      <c r="AT152" s="93"/>
    </row>
    <row r="153" spans="1:49" outlineLevel="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T153" s="7" t="s">
        <v>2</v>
      </c>
      <c r="U153" s="10" t="s">
        <v>3</v>
      </c>
      <c r="Z153" s="33">
        <v>2021</v>
      </c>
      <c r="AA153" s="34">
        <v>0.6383378277948728</v>
      </c>
      <c r="AB153" s="33">
        <f>+Z153</f>
        <v>2021</v>
      </c>
      <c r="AC153" s="35">
        <v>7.3932595544215661E-3</v>
      </c>
      <c r="AE153" s="7" t="s">
        <v>0</v>
      </c>
      <c r="AF153" s="7" t="s">
        <v>1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</row>
    <row r="154" spans="1:49" outlineLevel="1" x14ac:dyDescent="0.25">
      <c r="AH154" s="9"/>
      <c r="AJ154" s="9"/>
      <c r="AL154" s="9"/>
      <c r="AN154" s="9"/>
      <c r="AO154" s="9"/>
      <c r="AP154" s="9"/>
      <c r="AQ154" s="9"/>
      <c r="AR154" s="9"/>
      <c r="AT154" s="9"/>
    </row>
    <row r="155" spans="1:49" outlineLevel="1" x14ac:dyDescent="0.25">
      <c r="B155" s="2" t="s">
        <v>5</v>
      </c>
      <c r="C155" s="2">
        <v>2022</v>
      </c>
      <c r="D155" s="1">
        <v>395</v>
      </c>
      <c r="E155" s="11">
        <v>111488</v>
      </c>
      <c r="F155" s="8">
        <v>651</v>
      </c>
      <c r="G155" s="11">
        <v>267712</v>
      </c>
      <c r="H155" s="1">
        <v>85</v>
      </c>
      <c r="I155" s="11">
        <v>29940</v>
      </c>
      <c r="J155" s="1">
        <v>33716</v>
      </c>
      <c r="K155" s="11">
        <v>12330765</v>
      </c>
      <c r="L155" s="1">
        <v>1876</v>
      </c>
      <c r="M155" s="11">
        <v>713936</v>
      </c>
      <c r="N155" s="1">
        <v>1337</v>
      </c>
      <c r="O155" s="11">
        <v>473307</v>
      </c>
      <c r="P155" s="8">
        <v>0</v>
      </c>
      <c r="Q155" s="11">
        <v>0</v>
      </c>
      <c r="R155" s="8">
        <v>0</v>
      </c>
      <c r="S155" s="11">
        <v>0</v>
      </c>
      <c r="T155" s="53">
        <f>N155+L155+J155+H155+D155+P155+F155+R155</f>
        <v>38060</v>
      </c>
      <c r="U155" s="54">
        <f t="shared" ref="U155:U166" si="169">O155+M155+K155+I155+E155+Q155+G155+S155</f>
        <v>13927148</v>
      </c>
      <c r="V155" s="2" t="s">
        <v>63</v>
      </c>
      <c r="Z155" s="30"/>
      <c r="AA155" s="30">
        <f>+Z155/J155</f>
        <v>0</v>
      </c>
      <c r="AB155" s="31"/>
      <c r="AC155" s="32">
        <f>+AB155/K155</f>
        <v>0</v>
      </c>
      <c r="AE155" s="2" t="s">
        <v>5</v>
      </c>
      <c r="AF155" s="2">
        <v>2021</v>
      </c>
      <c r="AG155" s="1">
        <f t="shared" ref="AG155:AG166" si="170">D155+H155+F155</f>
        <v>1131</v>
      </c>
      <c r="AH155" s="11">
        <f t="shared" ref="AH155:AH166" si="171">E155+I155+G155</f>
        <v>409140</v>
      </c>
      <c r="AI155" s="1">
        <f t="shared" ref="AI155:AI166" si="172">+J155</f>
        <v>33716</v>
      </c>
      <c r="AJ155" s="11">
        <f t="shared" ref="AJ155:AJ166" si="173">+K155</f>
        <v>12330765</v>
      </c>
      <c r="AK155" s="8">
        <f t="shared" ref="AK155:AK166" si="174">+L155</f>
        <v>1876</v>
      </c>
      <c r="AL155" s="11">
        <f t="shared" ref="AL155:AL166" si="175">+M155</f>
        <v>713936</v>
      </c>
      <c r="AM155" s="8">
        <f t="shared" ref="AM155:AM166" si="176">+N155</f>
        <v>1337</v>
      </c>
      <c r="AN155" s="11">
        <f t="shared" ref="AN155:AN166" si="177">+O155</f>
        <v>473307</v>
      </c>
      <c r="AO155" s="8">
        <f t="shared" ref="AO155:AO166" si="178">+P155</f>
        <v>0</v>
      </c>
      <c r="AP155" s="11">
        <f t="shared" ref="AP155:AP166" si="179">+Q155</f>
        <v>0</v>
      </c>
      <c r="AQ155" s="11">
        <f t="shared" ref="AQ155:AQ166" si="180">+R155</f>
        <v>0</v>
      </c>
      <c r="AR155" s="11">
        <f t="shared" ref="AR155:AR166" si="181">+S155</f>
        <v>0</v>
      </c>
      <c r="AS155" s="8">
        <f>AO155+AM155+AK155+AI155+AG155+AQ155</f>
        <v>38060</v>
      </c>
      <c r="AT155" s="11">
        <f t="shared" ref="AT155:AT166" si="182">AP155+AN155+AL155+AJ155+AH155+AR155</f>
        <v>13927148</v>
      </c>
      <c r="AU155" s="2" t="str">
        <f t="shared" ref="AU155:AU166" si="183">+V155</f>
        <v>CALH</v>
      </c>
      <c r="AV155" s="37">
        <f t="shared" ref="AV155:AV166" si="184">+AS155-T155</f>
        <v>0</v>
      </c>
      <c r="AW155" s="37">
        <f t="shared" ref="AW155:AW166" si="185">+AT155-U155</f>
        <v>0</v>
      </c>
    </row>
    <row r="156" spans="1:49" outlineLevel="1" x14ac:dyDescent="0.25">
      <c r="B156" s="2" t="s">
        <v>6</v>
      </c>
      <c r="C156" s="2">
        <v>2022</v>
      </c>
      <c r="D156" s="1">
        <v>357</v>
      </c>
      <c r="E156" s="11">
        <v>112511</v>
      </c>
      <c r="F156" s="8">
        <v>547</v>
      </c>
      <c r="G156" s="11">
        <v>217328</v>
      </c>
      <c r="H156" s="1">
        <v>97</v>
      </c>
      <c r="I156" s="11">
        <v>33242</v>
      </c>
      <c r="J156" s="1">
        <v>32624</v>
      </c>
      <c r="K156" s="11">
        <v>12129625</v>
      </c>
      <c r="L156" s="1">
        <v>1590</v>
      </c>
      <c r="M156" s="11">
        <v>605503</v>
      </c>
      <c r="N156" s="1">
        <v>1111</v>
      </c>
      <c r="O156" s="11">
        <v>396396</v>
      </c>
      <c r="P156" s="8">
        <v>0</v>
      </c>
      <c r="Q156" s="11">
        <v>0</v>
      </c>
      <c r="R156" s="8">
        <v>0</v>
      </c>
      <c r="S156" s="11">
        <v>0</v>
      </c>
      <c r="T156" s="53">
        <f t="shared" ref="T156:T166" si="186">N156+L156+J156+H156+D156+P156+F156+R156</f>
        <v>36326</v>
      </c>
      <c r="U156" s="54">
        <f t="shared" si="169"/>
        <v>13494605</v>
      </c>
      <c r="V156" s="2" t="s">
        <v>63</v>
      </c>
      <c r="Z156" s="30"/>
      <c r="AA156" s="30">
        <f t="shared" ref="AA156:AA166" si="187">+Z156/J156</f>
        <v>0</v>
      </c>
      <c r="AB156" s="31"/>
      <c r="AC156" s="32">
        <f t="shared" ref="AC156:AC166" si="188">+AB156/K156</f>
        <v>0</v>
      </c>
      <c r="AE156" s="2" t="s">
        <v>6</v>
      </c>
      <c r="AF156" s="2">
        <v>2021</v>
      </c>
      <c r="AG156" s="1">
        <f t="shared" si="170"/>
        <v>1001</v>
      </c>
      <c r="AH156" s="11">
        <f t="shared" si="171"/>
        <v>363081</v>
      </c>
      <c r="AI156" s="1">
        <f t="shared" si="172"/>
        <v>32624</v>
      </c>
      <c r="AJ156" s="11">
        <f t="shared" si="173"/>
        <v>12129625</v>
      </c>
      <c r="AK156" s="8">
        <f t="shared" si="174"/>
        <v>1590</v>
      </c>
      <c r="AL156" s="11">
        <f t="shared" si="175"/>
        <v>605503</v>
      </c>
      <c r="AM156" s="8">
        <f t="shared" si="176"/>
        <v>1111</v>
      </c>
      <c r="AN156" s="11">
        <f t="shared" si="177"/>
        <v>396396</v>
      </c>
      <c r="AO156" s="8">
        <f t="shared" si="178"/>
        <v>0</v>
      </c>
      <c r="AP156" s="11">
        <f t="shared" si="179"/>
        <v>0</v>
      </c>
      <c r="AQ156" s="11">
        <f t="shared" si="180"/>
        <v>0</v>
      </c>
      <c r="AR156" s="11">
        <f t="shared" si="181"/>
        <v>0</v>
      </c>
      <c r="AS156" s="8">
        <f t="shared" ref="AS156:AS166" si="189">AO156+AM156+AK156+AI156+AG156+AQ156</f>
        <v>36326</v>
      </c>
      <c r="AT156" s="11">
        <f t="shared" si="182"/>
        <v>13494605</v>
      </c>
      <c r="AU156" s="2" t="str">
        <f t="shared" si="183"/>
        <v>CALH</v>
      </c>
      <c r="AV156" s="37">
        <f t="shared" si="184"/>
        <v>0</v>
      </c>
      <c r="AW156" s="37">
        <f t="shared" si="185"/>
        <v>0</v>
      </c>
    </row>
    <row r="157" spans="1:49" outlineLevel="1" x14ac:dyDescent="0.25">
      <c r="B157" s="2" t="s">
        <v>7</v>
      </c>
      <c r="C157" s="2">
        <v>2022</v>
      </c>
      <c r="D157" s="1">
        <v>404</v>
      </c>
      <c r="E157" s="11">
        <v>122533</v>
      </c>
      <c r="F157" s="8">
        <v>891</v>
      </c>
      <c r="G157" s="11">
        <v>341812</v>
      </c>
      <c r="H157" s="1">
        <v>98</v>
      </c>
      <c r="I157" s="11">
        <v>35003</v>
      </c>
      <c r="J157" s="1">
        <v>37424</v>
      </c>
      <c r="K157" s="11">
        <v>13795400</v>
      </c>
      <c r="L157" s="1">
        <v>1855</v>
      </c>
      <c r="M157" s="11">
        <v>692532</v>
      </c>
      <c r="N157" s="1">
        <v>1353</v>
      </c>
      <c r="O157" s="11">
        <v>478053</v>
      </c>
      <c r="P157" s="8">
        <v>0</v>
      </c>
      <c r="Q157" s="11">
        <v>0</v>
      </c>
      <c r="R157" s="8">
        <v>0</v>
      </c>
      <c r="S157" s="11">
        <v>0</v>
      </c>
      <c r="T157" s="53">
        <f t="shared" ref="T157" si="190">N157+L157+J157+H157+D157+P157+F157+R157</f>
        <v>42025</v>
      </c>
      <c r="U157" s="54">
        <f t="shared" ref="U157" si="191">O157+M157+K157+I157+E157+Q157+G157+S157</f>
        <v>15465333</v>
      </c>
      <c r="V157" s="2" t="s">
        <v>63</v>
      </c>
      <c r="Z157" s="30"/>
      <c r="AA157" s="30">
        <f t="shared" si="187"/>
        <v>0</v>
      </c>
      <c r="AB157" s="31"/>
      <c r="AC157" s="32">
        <f t="shared" si="188"/>
        <v>0</v>
      </c>
      <c r="AD157" s="13"/>
      <c r="AE157" s="2" t="s">
        <v>7</v>
      </c>
      <c r="AF157" s="2">
        <v>2021</v>
      </c>
      <c r="AG157" s="1">
        <f t="shared" si="170"/>
        <v>1393</v>
      </c>
      <c r="AH157" s="11">
        <f t="shared" si="171"/>
        <v>499348</v>
      </c>
      <c r="AI157" s="1">
        <f t="shared" si="172"/>
        <v>37424</v>
      </c>
      <c r="AJ157" s="11">
        <f t="shared" si="173"/>
        <v>13795400</v>
      </c>
      <c r="AK157" s="8">
        <f t="shared" si="174"/>
        <v>1855</v>
      </c>
      <c r="AL157" s="11">
        <f t="shared" si="175"/>
        <v>692532</v>
      </c>
      <c r="AM157" s="8">
        <f t="shared" si="176"/>
        <v>1353</v>
      </c>
      <c r="AN157" s="11">
        <f t="shared" si="177"/>
        <v>478053</v>
      </c>
      <c r="AO157" s="8">
        <f t="shared" si="178"/>
        <v>0</v>
      </c>
      <c r="AP157" s="11">
        <f t="shared" si="179"/>
        <v>0</v>
      </c>
      <c r="AQ157" s="11">
        <f t="shared" si="180"/>
        <v>0</v>
      </c>
      <c r="AR157" s="11">
        <f t="shared" si="181"/>
        <v>0</v>
      </c>
      <c r="AS157" s="8">
        <f t="shared" si="189"/>
        <v>42025</v>
      </c>
      <c r="AT157" s="11">
        <f t="shared" si="182"/>
        <v>15465333</v>
      </c>
      <c r="AU157" s="2" t="str">
        <f t="shared" si="183"/>
        <v>CALH</v>
      </c>
      <c r="AV157" s="37">
        <f t="shared" si="184"/>
        <v>0</v>
      </c>
      <c r="AW157" s="37">
        <f t="shared" si="185"/>
        <v>0</v>
      </c>
    </row>
    <row r="158" spans="1:49" outlineLevel="1" x14ac:dyDescent="0.25">
      <c r="B158" s="2" t="s">
        <v>8</v>
      </c>
      <c r="C158" s="2">
        <v>2022</v>
      </c>
      <c r="D158" s="1">
        <v>531</v>
      </c>
      <c r="E158" s="11">
        <v>152096</v>
      </c>
      <c r="F158" s="8">
        <v>744</v>
      </c>
      <c r="G158" s="11">
        <v>293014</v>
      </c>
      <c r="H158" s="1">
        <v>165</v>
      </c>
      <c r="I158" s="11">
        <v>64537</v>
      </c>
      <c r="J158" s="1">
        <v>36211</v>
      </c>
      <c r="K158" s="11">
        <v>13143822</v>
      </c>
      <c r="L158" s="1">
        <v>1878</v>
      </c>
      <c r="M158" s="11">
        <v>682959</v>
      </c>
      <c r="N158" s="1">
        <v>1327</v>
      </c>
      <c r="O158" s="11">
        <v>438816</v>
      </c>
      <c r="P158" s="8">
        <v>0</v>
      </c>
      <c r="Q158" s="11">
        <v>0</v>
      </c>
      <c r="R158" s="8">
        <v>0</v>
      </c>
      <c r="S158" s="11">
        <v>0</v>
      </c>
      <c r="T158" s="53">
        <f t="shared" si="186"/>
        <v>40856</v>
      </c>
      <c r="U158" s="54">
        <f t="shared" si="169"/>
        <v>14775244</v>
      </c>
      <c r="V158" s="2" t="s">
        <v>63</v>
      </c>
      <c r="Z158" s="30"/>
      <c r="AA158" s="30">
        <f t="shared" si="187"/>
        <v>0</v>
      </c>
      <c r="AB158" s="31"/>
      <c r="AC158" s="32">
        <f t="shared" si="188"/>
        <v>0</v>
      </c>
      <c r="AD158" s="13"/>
      <c r="AE158" s="2" t="s">
        <v>8</v>
      </c>
      <c r="AF158" s="2">
        <v>2021</v>
      </c>
      <c r="AG158" s="1">
        <f t="shared" si="170"/>
        <v>1440</v>
      </c>
      <c r="AH158" s="11">
        <f t="shared" si="171"/>
        <v>509647</v>
      </c>
      <c r="AI158" s="1">
        <f t="shared" si="172"/>
        <v>36211</v>
      </c>
      <c r="AJ158" s="11">
        <f t="shared" si="173"/>
        <v>13143822</v>
      </c>
      <c r="AK158" s="8">
        <f t="shared" si="174"/>
        <v>1878</v>
      </c>
      <c r="AL158" s="11">
        <f t="shared" si="175"/>
        <v>682959</v>
      </c>
      <c r="AM158" s="8">
        <f t="shared" si="176"/>
        <v>1327</v>
      </c>
      <c r="AN158" s="11">
        <f t="shared" si="177"/>
        <v>438816</v>
      </c>
      <c r="AO158" s="8">
        <f t="shared" si="178"/>
        <v>0</v>
      </c>
      <c r="AP158" s="11">
        <f t="shared" si="179"/>
        <v>0</v>
      </c>
      <c r="AQ158" s="11">
        <f t="shared" si="180"/>
        <v>0</v>
      </c>
      <c r="AR158" s="11">
        <f t="shared" si="181"/>
        <v>0</v>
      </c>
      <c r="AS158" s="8">
        <f t="shared" si="189"/>
        <v>40856</v>
      </c>
      <c r="AT158" s="11">
        <f t="shared" si="182"/>
        <v>14775244</v>
      </c>
      <c r="AU158" s="2" t="str">
        <f t="shared" si="183"/>
        <v>CALH</v>
      </c>
      <c r="AV158" s="37">
        <f t="shared" si="184"/>
        <v>0</v>
      </c>
      <c r="AW158" s="37">
        <f t="shared" si="185"/>
        <v>0</v>
      </c>
    </row>
    <row r="159" spans="1:49" outlineLevel="1" x14ac:dyDescent="0.25">
      <c r="B159" s="2" t="s">
        <v>9</v>
      </c>
      <c r="C159" s="2">
        <v>2022</v>
      </c>
      <c r="D159" s="1">
        <v>500</v>
      </c>
      <c r="E159" s="11">
        <v>156978</v>
      </c>
      <c r="F159" s="8">
        <v>1001</v>
      </c>
      <c r="G159" s="11">
        <v>391127</v>
      </c>
      <c r="H159" s="1">
        <v>167</v>
      </c>
      <c r="I159" s="11">
        <v>66329</v>
      </c>
      <c r="J159" s="1">
        <v>35880</v>
      </c>
      <c r="K159" s="11">
        <v>12808205</v>
      </c>
      <c r="L159" s="1">
        <v>1600</v>
      </c>
      <c r="M159" s="11">
        <v>573880</v>
      </c>
      <c r="N159" s="1">
        <v>1159</v>
      </c>
      <c r="O159" s="11">
        <v>399032</v>
      </c>
      <c r="P159" s="8">
        <v>0</v>
      </c>
      <c r="Q159" s="11">
        <v>0</v>
      </c>
      <c r="R159" s="8">
        <v>0</v>
      </c>
      <c r="S159" s="11">
        <v>0</v>
      </c>
      <c r="T159" s="53">
        <f t="shared" si="186"/>
        <v>40307</v>
      </c>
      <c r="U159" s="54">
        <f t="shared" si="169"/>
        <v>14395551</v>
      </c>
      <c r="V159" s="2" t="s">
        <v>63</v>
      </c>
      <c r="Z159" s="30"/>
      <c r="AA159" s="30">
        <f t="shared" si="187"/>
        <v>0</v>
      </c>
      <c r="AB159" s="31"/>
      <c r="AC159" s="32">
        <f t="shared" si="188"/>
        <v>0</v>
      </c>
      <c r="AD159" s="13"/>
      <c r="AE159" s="2" t="s">
        <v>9</v>
      </c>
      <c r="AF159" s="2">
        <v>2021</v>
      </c>
      <c r="AG159" s="1">
        <f t="shared" si="170"/>
        <v>1668</v>
      </c>
      <c r="AH159" s="11">
        <f t="shared" si="171"/>
        <v>614434</v>
      </c>
      <c r="AI159" s="1">
        <f t="shared" si="172"/>
        <v>35880</v>
      </c>
      <c r="AJ159" s="11">
        <f t="shared" si="173"/>
        <v>12808205</v>
      </c>
      <c r="AK159" s="8">
        <f t="shared" si="174"/>
        <v>1600</v>
      </c>
      <c r="AL159" s="11">
        <f t="shared" si="175"/>
        <v>573880</v>
      </c>
      <c r="AM159" s="8">
        <f t="shared" si="176"/>
        <v>1159</v>
      </c>
      <c r="AN159" s="11">
        <f t="shared" si="177"/>
        <v>399032</v>
      </c>
      <c r="AO159" s="8">
        <f t="shared" si="178"/>
        <v>0</v>
      </c>
      <c r="AP159" s="11">
        <f t="shared" si="179"/>
        <v>0</v>
      </c>
      <c r="AQ159" s="11">
        <f t="shared" si="180"/>
        <v>0</v>
      </c>
      <c r="AR159" s="11">
        <f t="shared" si="181"/>
        <v>0</v>
      </c>
      <c r="AS159" s="8">
        <f t="shared" si="189"/>
        <v>40307</v>
      </c>
      <c r="AT159" s="11">
        <f t="shared" si="182"/>
        <v>14395551</v>
      </c>
      <c r="AU159" s="2" t="str">
        <f t="shared" si="183"/>
        <v>CALH</v>
      </c>
      <c r="AV159" s="37">
        <f t="shared" si="184"/>
        <v>0</v>
      </c>
      <c r="AW159" s="37">
        <f t="shared" si="185"/>
        <v>0</v>
      </c>
    </row>
    <row r="160" spans="1:49" outlineLevel="1" x14ac:dyDescent="0.25">
      <c r="B160" s="2" t="s">
        <v>10</v>
      </c>
      <c r="C160" s="2">
        <v>2022</v>
      </c>
      <c r="D160" s="1">
        <v>504</v>
      </c>
      <c r="E160" s="11">
        <v>150558</v>
      </c>
      <c r="F160" s="8">
        <v>929</v>
      </c>
      <c r="G160" s="11">
        <v>344326</v>
      </c>
      <c r="H160" s="1">
        <v>147</v>
      </c>
      <c r="I160" s="11">
        <v>54218</v>
      </c>
      <c r="J160" s="1">
        <v>34568</v>
      </c>
      <c r="K160" s="11">
        <v>12207940</v>
      </c>
      <c r="L160" s="1">
        <v>1634</v>
      </c>
      <c r="M160" s="11">
        <v>587610</v>
      </c>
      <c r="N160" s="1">
        <v>1214</v>
      </c>
      <c r="O160" s="11">
        <v>418002</v>
      </c>
      <c r="P160" s="8">
        <v>0</v>
      </c>
      <c r="Q160" s="11">
        <v>0</v>
      </c>
      <c r="R160" s="8">
        <v>0</v>
      </c>
      <c r="S160" s="11">
        <v>0</v>
      </c>
      <c r="T160" s="53">
        <f t="shared" si="186"/>
        <v>38996</v>
      </c>
      <c r="U160" s="54">
        <f t="shared" si="169"/>
        <v>13762654</v>
      </c>
      <c r="V160" s="2" t="s">
        <v>63</v>
      </c>
      <c r="Z160" s="30"/>
      <c r="AA160" s="30">
        <f t="shared" si="187"/>
        <v>0</v>
      </c>
      <c r="AB160" s="31"/>
      <c r="AC160" s="32">
        <f t="shared" si="188"/>
        <v>0</v>
      </c>
      <c r="AE160" s="2" t="s">
        <v>10</v>
      </c>
      <c r="AF160" s="2">
        <v>2021</v>
      </c>
      <c r="AG160" s="1">
        <f t="shared" si="170"/>
        <v>1580</v>
      </c>
      <c r="AH160" s="11">
        <f t="shared" si="171"/>
        <v>549102</v>
      </c>
      <c r="AI160" s="1">
        <f t="shared" si="172"/>
        <v>34568</v>
      </c>
      <c r="AJ160" s="11">
        <f t="shared" si="173"/>
        <v>12207940</v>
      </c>
      <c r="AK160" s="8">
        <f t="shared" si="174"/>
        <v>1634</v>
      </c>
      <c r="AL160" s="11">
        <f t="shared" si="175"/>
        <v>587610</v>
      </c>
      <c r="AM160" s="8">
        <f t="shared" si="176"/>
        <v>1214</v>
      </c>
      <c r="AN160" s="11">
        <f t="shared" si="177"/>
        <v>418002</v>
      </c>
      <c r="AO160" s="8">
        <f t="shared" si="178"/>
        <v>0</v>
      </c>
      <c r="AP160" s="11">
        <f t="shared" si="179"/>
        <v>0</v>
      </c>
      <c r="AQ160" s="11">
        <f t="shared" si="180"/>
        <v>0</v>
      </c>
      <c r="AR160" s="11">
        <f t="shared" si="181"/>
        <v>0</v>
      </c>
      <c r="AS160" s="8">
        <f t="shared" si="189"/>
        <v>38996</v>
      </c>
      <c r="AT160" s="11">
        <f t="shared" si="182"/>
        <v>13762654</v>
      </c>
      <c r="AU160" s="2" t="str">
        <f t="shared" si="183"/>
        <v>CALH</v>
      </c>
      <c r="AV160" s="37">
        <f t="shared" si="184"/>
        <v>0</v>
      </c>
      <c r="AW160" s="37">
        <f t="shared" si="185"/>
        <v>0</v>
      </c>
    </row>
    <row r="161" spans="1:49" outlineLevel="1" x14ac:dyDescent="0.25">
      <c r="B161" s="2" t="s">
        <v>11</v>
      </c>
      <c r="C161" s="2">
        <v>2022</v>
      </c>
      <c r="D161" s="1">
        <v>536</v>
      </c>
      <c r="E161" s="11">
        <v>148983</v>
      </c>
      <c r="F161" s="8">
        <v>922</v>
      </c>
      <c r="G161" s="11">
        <v>346634</v>
      </c>
      <c r="H161" s="1">
        <v>69</v>
      </c>
      <c r="I161" s="11">
        <v>22854</v>
      </c>
      <c r="J161" s="1">
        <v>34186</v>
      </c>
      <c r="K161" s="11">
        <v>12078888</v>
      </c>
      <c r="L161" s="1">
        <v>1418</v>
      </c>
      <c r="M161" s="11">
        <v>490209</v>
      </c>
      <c r="N161" s="1">
        <v>1271</v>
      </c>
      <c r="O161" s="11">
        <v>420768</v>
      </c>
      <c r="P161" s="8">
        <v>0</v>
      </c>
      <c r="Q161" s="11">
        <v>0</v>
      </c>
      <c r="R161" s="8">
        <v>1</v>
      </c>
      <c r="S161" s="11">
        <v>120</v>
      </c>
      <c r="T161" s="53">
        <f t="shared" si="186"/>
        <v>38403</v>
      </c>
      <c r="U161" s="54">
        <f t="shared" si="169"/>
        <v>13508456</v>
      </c>
      <c r="V161" s="2" t="s">
        <v>63</v>
      </c>
      <c r="Z161" s="30"/>
      <c r="AA161" s="30">
        <f t="shared" si="187"/>
        <v>0</v>
      </c>
      <c r="AB161" s="31"/>
      <c r="AC161" s="32">
        <f t="shared" si="188"/>
        <v>0</v>
      </c>
      <c r="AE161" s="2" t="s">
        <v>11</v>
      </c>
      <c r="AF161" s="2">
        <v>2021</v>
      </c>
      <c r="AG161" s="1">
        <f t="shared" si="170"/>
        <v>1527</v>
      </c>
      <c r="AH161" s="11">
        <f t="shared" si="171"/>
        <v>518471</v>
      </c>
      <c r="AI161" s="1">
        <f t="shared" si="172"/>
        <v>34186</v>
      </c>
      <c r="AJ161" s="11">
        <f t="shared" si="173"/>
        <v>12078888</v>
      </c>
      <c r="AK161" s="8">
        <f t="shared" si="174"/>
        <v>1418</v>
      </c>
      <c r="AL161" s="11">
        <f t="shared" si="175"/>
        <v>490209</v>
      </c>
      <c r="AM161" s="8">
        <f t="shared" si="176"/>
        <v>1271</v>
      </c>
      <c r="AN161" s="11">
        <f t="shared" si="177"/>
        <v>420768</v>
      </c>
      <c r="AO161" s="8">
        <f t="shared" si="178"/>
        <v>0</v>
      </c>
      <c r="AP161" s="11">
        <f t="shared" si="179"/>
        <v>0</v>
      </c>
      <c r="AQ161" s="11">
        <f t="shared" si="180"/>
        <v>1</v>
      </c>
      <c r="AR161" s="11">
        <f t="shared" si="181"/>
        <v>120</v>
      </c>
      <c r="AS161" s="8">
        <f t="shared" si="189"/>
        <v>38403</v>
      </c>
      <c r="AT161" s="11">
        <f t="shared" si="182"/>
        <v>13508456</v>
      </c>
      <c r="AU161" s="2" t="str">
        <f t="shared" si="183"/>
        <v>CALH</v>
      </c>
      <c r="AV161" s="37">
        <f t="shared" si="184"/>
        <v>0</v>
      </c>
      <c r="AW161" s="37">
        <f t="shared" si="185"/>
        <v>0</v>
      </c>
    </row>
    <row r="162" spans="1:49" outlineLevel="1" x14ac:dyDescent="0.25">
      <c r="B162" s="2" t="s">
        <v>4</v>
      </c>
      <c r="C162" s="2">
        <v>2022</v>
      </c>
      <c r="D162" s="1">
        <v>468</v>
      </c>
      <c r="E162" s="11">
        <v>134378</v>
      </c>
      <c r="F162" s="8">
        <v>994</v>
      </c>
      <c r="G162" s="11">
        <v>371304</v>
      </c>
      <c r="H162" s="1">
        <v>63</v>
      </c>
      <c r="I162" s="11">
        <v>20097</v>
      </c>
      <c r="J162" s="1">
        <v>33117</v>
      </c>
      <c r="K162" s="11">
        <v>11581880</v>
      </c>
      <c r="L162" s="1">
        <v>1353</v>
      </c>
      <c r="M162" s="11">
        <v>454976</v>
      </c>
      <c r="N162" s="1">
        <v>1271</v>
      </c>
      <c r="O162" s="11">
        <v>420730</v>
      </c>
      <c r="P162" s="8">
        <v>0</v>
      </c>
      <c r="Q162" s="11">
        <v>0</v>
      </c>
      <c r="R162" s="8">
        <v>1</v>
      </c>
      <c r="S162" s="11">
        <v>397</v>
      </c>
      <c r="T162" s="53">
        <f t="shared" si="186"/>
        <v>37267</v>
      </c>
      <c r="U162" s="54">
        <f t="shared" si="169"/>
        <v>12983762</v>
      </c>
      <c r="V162" s="2" t="s">
        <v>63</v>
      </c>
      <c r="Z162" s="30"/>
      <c r="AA162" s="30">
        <f t="shared" si="187"/>
        <v>0</v>
      </c>
      <c r="AB162" s="31"/>
      <c r="AC162" s="32">
        <f t="shared" si="188"/>
        <v>0</v>
      </c>
      <c r="AE162" s="2" t="s">
        <v>4</v>
      </c>
      <c r="AF162" s="2">
        <v>2021</v>
      </c>
      <c r="AG162" s="1">
        <f t="shared" si="170"/>
        <v>1525</v>
      </c>
      <c r="AH162" s="11">
        <f t="shared" si="171"/>
        <v>525779</v>
      </c>
      <c r="AI162" s="1">
        <f t="shared" si="172"/>
        <v>33117</v>
      </c>
      <c r="AJ162" s="11">
        <f t="shared" si="173"/>
        <v>11581880</v>
      </c>
      <c r="AK162" s="8">
        <f t="shared" si="174"/>
        <v>1353</v>
      </c>
      <c r="AL162" s="11">
        <f t="shared" si="175"/>
        <v>454976</v>
      </c>
      <c r="AM162" s="8">
        <f t="shared" si="176"/>
        <v>1271</v>
      </c>
      <c r="AN162" s="11">
        <f t="shared" si="177"/>
        <v>420730</v>
      </c>
      <c r="AO162" s="8">
        <f t="shared" si="178"/>
        <v>0</v>
      </c>
      <c r="AP162" s="11">
        <f t="shared" si="179"/>
        <v>0</v>
      </c>
      <c r="AQ162" s="11">
        <f t="shared" si="180"/>
        <v>1</v>
      </c>
      <c r="AR162" s="11">
        <f t="shared" si="181"/>
        <v>397</v>
      </c>
      <c r="AS162" s="8">
        <f t="shared" si="189"/>
        <v>37267</v>
      </c>
      <c r="AT162" s="11">
        <f t="shared" si="182"/>
        <v>12983762</v>
      </c>
      <c r="AU162" s="2" t="str">
        <f t="shared" si="183"/>
        <v>CALH</v>
      </c>
      <c r="AV162" s="37">
        <f t="shared" si="184"/>
        <v>0</v>
      </c>
      <c r="AW162" s="37">
        <f t="shared" si="185"/>
        <v>0</v>
      </c>
    </row>
    <row r="163" spans="1:49" outlineLevel="1" x14ac:dyDescent="0.25">
      <c r="B163" s="2" t="s">
        <v>28</v>
      </c>
      <c r="C163" s="2">
        <v>2022</v>
      </c>
      <c r="D163" s="1">
        <v>444</v>
      </c>
      <c r="E163" s="11">
        <v>140412</v>
      </c>
      <c r="F163" s="8">
        <v>781</v>
      </c>
      <c r="G163" s="11">
        <v>281731</v>
      </c>
      <c r="H163" s="1">
        <v>99</v>
      </c>
      <c r="I163" s="11">
        <v>31808</v>
      </c>
      <c r="J163" s="1">
        <v>33887</v>
      </c>
      <c r="K163" s="11">
        <v>12476415</v>
      </c>
      <c r="L163" s="1">
        <v>1238</v>
      </c>
      <c r="M163" s="11">
        <v>437779</v>
      </c>
      <c r="N163" s="1">
        <v>1318</v>
      </c>
      <c r="O163" s="11">
        <v>444673</v>
      </c>
      <c r="P163" s="8">
        <v>0</v>
      </c>
      <c r="Q163" s="11">
        <v>0</v>
      </c>
      <c r="R163" s="8">
        <v>1</v>
      </c>
      <c r="S163" s="11">
        <v>426</v>
      </c>
      <c r="T163" s="53">
        <f t="shared" si="186"/>
        <v>37768</v>
      </c>
      <c r="U163" s="54">
        <f t="shared" si="169"/>
        <v>13813244</v>
      </c>
      <c r="V163" s="2" t="s">
        <v>63</v>
      </c>
      <c r="Z163" s="30"/>
      <c r="AA163" s="30">
        <f t="shared" si="187"/>
        <v>0</v>
      </c>
      <c r="AB163" s="31"/>
      <c r="AC163" s="32">
        <f t="shared" si="188"/>
        <v>0</v>
      </c>
      <c r="AE163" s="2" t="s">
        <v>28</v>
      </c>
      <c r="AF163" s="2">
        <v>2021</v>
      </c>
      <c r="AG163" s="1">
        <f t="shared" si="170"/>
        <v>1324</v>
      </c>
      <c r="AH163" s="11">
        <f t="shared" si="171"/>
        <v>453951</v>
      </c>
      <c r="AI163" s="1">
        <f t="shared" si="172"/>
        <v>33887</v>
      </c>
      <c r="AJ163" s="11">
        <f t="shared" si="173"/>
        <v>12476415</v>
      </c>
      <c r="AK163" s="8">
        <f t="shared" si="174"/>
        <v>1238</v>
      </c>
      <c r="AL163" s="11">
        <f t="shared" si="175"/>
        <v>437779</v>
      </c>
      <c r="AM163" s="8">
        <f t="shared" si="176"/>
        <v>1318</v>
      </c>
      <c r="AN163" s="11">
        <f t="shared" si="177"/>
        <v>444673</v>
      </c>
      <c r="AO163" s="8">
        <f t="shared" si="178"/>
        <v>0</v>
      </c>
      <c r="AP163" s="11">
        <f t="shared" si="179"/>
        <v>0</v>
      </c>
      <c r="AQ163" s="11">
        <f t="shared" si="180"/>
        <v>1</v>
      </c>
      <c r="AR163" s="11">
        <f t="shared" si="181"/>
        <v>426</v>
      </c>
      <c r="AS163" s="8">
        <f t="shared" si="189"/>
        <v>37768</v>
      </c>
      <c r="AT163" s="11">
        <f t="shared" si="182"/>
        <v>13813244</v>
      </c>
      <c r="AU163" s="2" t="str">
        <f t="shared" si="183"/>
        <v>CALH</v>
      </c>
      <c r="AV163" s="37">
        <f t="shared" si="184"/>
        <v>0</v>
      </c>
      <c r="AW163" s="37">
        <f t="shared" si="185"/>
        <v>0</v>
      </c>
    </row>
    <row r="164" spans="1:49" outlineLevel="1" x14ac:dyDescent="0.25">
      <c r="B164" s="2" t="s">
        <v>29</v>
      </c>
      <c r="C164" s="2">
        <v>2022</v>
      </c>
      <c r="D164" s="1">
        <v>533</v>
      </c>
      <c r="E164" s="11">
        <v>173543</v>
      </c>
      <c r="F164" s="8">
        <v>961</v>
      </c>
      <c r="G164" s="11">
        <v>372183</v>
      </c>
      <c r="H164" s="1">
        <v>162</v>
      </c>
      <c r="I164" s="11">
        <v>59956</v>
      </c>
      <c r="J164" s="1">
        <v>36522</v>
      </c>
      <c r="K164" s="11">
        <v>13697273</v>
      </c>
      <c r="L164" s="1">
        <v>1366</v>
      </c>
      <c r="M164" s="11">
        <v>500952</v>
      </c>
      <c r="N164" s="1">
        <v>1414</v>
      </c>
      <c r="O164" s="11">
        <v>493631</v>
      </c>
      <c r="P164" s="8">
        <v>0</v>
      </c>
      <c r="Q164" s="11">
        <v>0</v>
      </c>
      <c r="R164" s="8">
        <v>22</v>
      </c>
      <c r="S164" s="11">
        <v>9206</v>
      </c>
      <c r="T164" s="53">
        <f>N164+L164+J164+H164+D164+P164+F164+R164</f>
        <v>40980</v>
      </c>
      <c r="U164" s="54">
        <f t="shared" si="169"/>
        <v>15306744</v>
      </c>
      <c r="V164" s="2" t="s">
        <v>63</v>
      </c>
      <c r="Z164" s="30"/>
      <c r="AA164" s="30">
        <f t="shared" si="187"/>
        <v>0</v>
      </c>
      <c r="AB164" s="31"/>
      <c r="AC164" s="32">
        <f t="shared" si="188"/>
        <v>0</v>
      </c>
      <c r="AE164" s="2" t="s">
        <v>29</v>
      </c>
      <c r="AF164" s="2">
        <v>2021</v>
      </c>
      <c r="AG164" s="1">
        <f t="shared" si="170"/>
        <v>1656</v>
      </c>
      <c r="AH164" s="11">
        <f t="shared" si="171"/>
        <v>605682</v>
      </c>
      <c r="AI164" s="1">
        <f t="shared" si="172"/>
        <v>36522</v>
      </c>
      <c r="AJ164" s="11">
        <f t="shared" si="173"/>
        <v>13697273</v>
      </c>
      <c r="AK164" s="8">
        <f t="shared" si="174"/>
        <v>1366</v>
      </c>
      <c r="AL164" s="11">
        <f t="shared" si="175"/>
        <v>500952</v>
      </c>
      <c r="AM164" s="8">
        <f t="shared" si="176"/>
        <v>1414</v>
      </c>
      <c r="AN164" s="11">
        <f t="shared" si="177"/>
        <v>493631</v>
      </c>
      <c r="AO164" s="8">
        <f t="shared" si="178"/>
        <v>0</v>
      </c>
      <c r="AP164" s="11">
        <f t="shared" si="179"/>
        <v>0</v>
      </c>
      <c r="AQ164" s="11">
        <f t="shared" si="180"/>
        <v>22</v>
      </c>
      <c r="AR164" s="11">
        <f t="shared" si="181"/>
        <v>9206</v>
      </c>
      <c r="AS164" s="8">
        <f t="shared" si="189"/>
        <v>40980</v>
      </c>
      <c r="AT164" s="11">
        <f t="shared" si="182"/>
        <v>15306744</v>
      </c>
      <c r="AU164" s="2" t="str">
        <f t="shared" si="183"/>
        <v>CALH</v>
      </c>
      <c r="AV164" s="37">
        <f t="shared" si="184"/>
        <v>0</v>
      </c>
      <c r="AW164" s="37">
        <f t="shared" si="185"/>
        <v>0</v>
      </c>
    </row>
    <row r="165" spans="1:49" outlineLevel="1" x14ac:dyDescent="0.25">
      <c r="B165" s="2" t="s">
        <v>30</v>
      </c>
      <c r="C165" s="2">
        <v>2022</v>
      </c>
      <c r="D165" s="1">
        <v>661</v>
      </c>
      <c r="E165" s="11">
        <v>219856</v>
      </c>
      <c r="F165" s="8">
        <v>792</v>
      </c>
      <c r="G165" s="11">
        <v>315854</v>
      </c>
      <c r="H165" s="1">
        <v>202</v>
      </c>
      <c r="I165" s="11">
        <v>75564</v>
      </c>
      <c r="J165" s="1">
        <v>37418</v>
      </c>
      <c r="K165" s="11">
        <v>14442780</v>
      </c>
      <c r="L165" s="1">
        <v>1583</v>
      </c>
      <c r="M165" s="11">
        <v>602856</v>
      </c>
      <c r="N165" s="1">
        <v>1350</v>
      </c>
      <c r="O165" s="11">
        <v>482829</v>
      </c>
      <c r="P165" s="8">
        <v>0</v>
      </c>
      <c r="Q165" s="11">
        <v>0</v>
      </c>
      <c r="R165" s="8">
        <v>24</v>
      </c>
      <c r="S165" s="11">
        <v>9638</v>
      </c>
      <c r="T165" s="53">
        <f t="shared" si="186"/>
        <v>42030</v>
      </c>
      <c r="U165" s="54">
        <f t="shared" si="169"/>
        <v>16149377</v>
      </c>
      <c r="V165" s="2" t="s">
        <v>63</v>
      </c>
      <c r="Z165" s="30"/>
      <c r="AA165" s="30">
        <f t="shared" si="187"/>
        <v>0</v>
      </c>
      <c r="AB165" s="31"/>
      <c r="AC165" s="32">
        <f t="shared" si="188"/>
        <v>0</v>
      </c>
      <c r="AE165" s="2" t="s">
        <v>30</v>
      </c>
      <c r="AF165" s="2">
        <v>2021</v>
      </c>
      <c r="AG165" s="1">
        <f t="shared" si="170"/>
        <v>1655</v>
      </c>
      <c r="AH165" s="11">
        <f t="shared" si="171"/>
        <v>611274</v>
      </c>
      <c r="AI165" s="1">
        <f t="shared" si="172"/>
        <v>37418</v>
      </c>
      <c r="AJ165" s="11">
        <f t="shared" si="173"/>
        <v>14442780</v>
      </c>
      <c r="AK165" s="8">
        <f t="shared" si="174"/>
        <v>1583</v>
      </c>
      <c r="AL165" s="11">
        <f t="shared" si="175"/>
        <v>602856</v>
      </c>
      <c r="AM165" s="8">
        <f t="shared" si="176"/>
        <v>1350</v>
      </c>
      <c r="AN165" s="11">
        <f t="shared" si="177"/>
        <v>482829</v>
      </c>
      <c r="AO165" s="8">
        <f t="shared" si="178"/>
        <v>0</v>
      </c>
      <c r="AP165" s="11">
        <f t="shared" si="179"/>
        <v>0</v>
      </c>
      <c r="AQ165" s="11">
        <f t="shared" si="180"/>
        <v>24</v>
      </c>
      <c r="AR165" s="11">
        <f t="shared" si="181"/>
        <v>9638</v>
      </c>
      <c r="AS165" s="8">
        <f t="shared" si="189"/>
        <v>42030</v>
      </c>
      <c r="AT165" s="11">
        <f t="shared" si="182"/>
        <v>16149377</v>
      </c>
      <c r="AU165" s="2" t="str">
        <f t="shared" si="183"/>
        <v>CALH</v>
      </c>
      <c r="AV165" s="37">
        <f t="shared" si="184"/>
        <v>0</v>
      </c>
      <c r="AW165" s="37">
        <f t="shared" si="185"/>
        <v>0</v>
      </c>
    </row>
    <row r="166" spans="1:49" outlineLevel="1" x14ac:dyDescent="0.25">
      <c r="B166" s="2" t="s">
        <v>31</v>
      </c>
      <c r="C166" s="2">
        <v>2022</v>
      </c>
      <c r="D166" s="1">
        <v>832</v>
      </c>
      <c r="E166" s="11">
        <v>251022</v>
      </c>
      <c r="F166" s="8">
        <v>837</v>
      </c>
      <c r="G166" s="11">
        <v>330004</v>
      </c>
      <c r="H166" s="1">
        <v>292</v>
      </c>
      <c r="I166" s="11">
        <v>116453</v>
      </c>
      <c r="J166" s="1">
        <v>39259</v>
      </c>
      <c r="K166" s="11">
        <v>15708091</v>
      </c>
      <c r="L166" s="1">
        <v>1440</v>
      </c>
      <c r="M166" s="11">
        <v>539451</v>
      </c>
      <c r="N166" s="1">
        <v>1609</v>
      </c>
      <c r="O166" s="11">
        <v>589378</v>
      </c>
      <c r="P166" s="8">
        <v>0</v>
      </c>
      <c r="Q166" s="11">
        <v>0</v>
      </c>
      <c r="R166" s="8">
        <v>13</v>
      </c>
      <c r="S166" s="11">
        <v>3461</v>
      </c>
      <c r="T166" s="53">
        <f t="shared" si="186"/>
        <v>44282</v>
      </c>
      <c r="U166" s="54">
        <f t="shared" si="169"/>
        <v>17537860</v>
      </c>
      <c r="V166" s="2" t="s">
        <v>63</v>
      </c>
      <c r="X166" s="13"/>
      <c r="Z166" s="30"/>
      <c r="AA166" s="30">
        <f t="shared" si="187"/>
        <v>0</v>
      </c>
      <c r="AB166" s="31"/>
      <c r="AC166" s="32">
        <f t="shared" si="188"/>
        <v>0</v>
      </c>
      <c r="AE166" s="2" t="s">
        <v>31</v>
      </c>
      <c r="AF166" s="2">
        <v>2021</v>
      </c>
      <c r="AG166" s="1">
        <f t="shared" si="170"/>
        <v>1961</v>
      </c>
      <c r="AH166" s="11">
        <f t="shared" si="171"/>
        <v>697479</v>
      </c>
      <c r="AI166" s="1">
        <f t="shared" si="172"/>
        <v>39259</v>
      </c>
      <c r="AJ166" s="11">
        <f t="shared" si="173"/>
        <v>15708091</v>
      </c>
      <c r="AK166" s="8">
        <f t="shared" si="174"/>
        <v>1440</v>
      </c>
      <c r="AL166" s="11">
        <f t="shared" si="175"/>
        <v>539451</v>
      </c>
      <c r="AM166" s="8">
        <f t="shared" si="176"/>
        <v>1609</v>
      </c>
      <c r="AN166" s="11">
        <f t="shared" si="177"/>
        <v>589378</v>
      </c>
      <c r="AO166" s="8">
        <f t="shared" si="178"/>
        <v>0</v>
      </c>
      <c r="AP166" s="11">
        <f t="shared" si="179"/>
        <v>0</v>
      </c>
      <c r="AQ166" s="11">
        <f t="shared" si="180"/>
        <v>13</v>
      </c>
      <c r="AR166" s="11">
        <f t="shared" si="181"/>
        <v>3461</v>
      </c>
      <c r="AS166" s="8">
        <f t="shared" si="189"/>
        <v>44282</v>
      </c>
      <c r="AT166" s="11">
        <f t="shared" si="182"/>
        <v>17537860</v>
      </c>
      <c r="AU166" s="2" t="str">
        <f t="shared" si="183"/>
        <v>CALH</v>
      </c>
      <c r="AV166" s="37">
        <f t="shared" si="184"/>
        <v>0</v>
      </c>
      <c r="AW166" s="37">
        <f t="shared" si="185"/>
        <v>0</v>
      </c>
    </row>
    <row r="167" spans="1:49" outlineLevel="1" x14ac:dyDescent="0.25">
      <c r="AH167" s="9"/>
      <c r="AJ167" s="9"/>
      <c r="AL167" s="9"/>
      <c r="AN167" s="9"/>
      <c r="AO167" s="9"/>
      <c r="AP167" s="9"/>
      <c r="AQ167" s="9"/>
      <c r="AR167" s="9"/>
      <c r="AT167" s="9"/>
    </row>
    <row r="168" spans="1:49" outlineLevel="1" x14ac:dyDescent="0.25">
      <c r="B168" s="3" t="s">
        <v>12</v>
      </c>
      <c r="C168" s="3"/>
      <c r="D168" s="4">
        <f t="shared" ref="D168:O168" si="192">SUM(D155:D167)</f>
        <v>6165</v>
      </c>
      <c r="E168" s="12">
        <f t="shared" si="192"/>
        <v>1874358</v>
      </c>
      <c r="F168" s="4">
        <f t="shared" si="192"/>
        <v>10050</v>
      </c>
      <c r="G168" s="12">
        <f t="shared" si="192"/>
        <v>3873029</v>
      </c>
      <c r="H168" s="4">
        <f t="shared" si="192"/>
        <v>1646</v>
      </c>
      <c r="I168" s="12">
        <f t="shared" si="192"/>
        <v>610001</v>
      </c>
      <c r="J168" s="4">
        <f t="shared" si="192"/>
        <v>424812</v>
      </c>
      <c r="K168" s="12">
        <f t="shared" si="192"/>
        <v>156401084</v>
      </c>
      <c r="L168" s="4">
        <f t="shared" si="192"/>
        <v>18831</v>
      </c>
      <c r="M168" s="12">
        <f t="shared" si="192"/>
        <v>6882643</v>
      </c>
      <c r="N168" s="4">
        <f t="shared" si="192"/>
        <v>15734</v>
      </c>
      <c r="O168" s="12">
        <f t="shared" si="192"/>
        <v>5455615</v>
      </c>
      <c r="P168" s="4">
        <f>SUM(P155:P167)</f>
        <v>0</v>
      </c>
      <c r="Q168" s="12">
        <f>SUM(Q155:Q167)</f>
        <v>0</v>
      </c>
      <c r="R168" s="4">
        <f>SUM(R155:R167)</f>
        <v>62</v>
      </c>
      <c r="S168" s="12">
        <f>SUM(S155:S167)</f>
        <v>23248</v>
      </c>
      <c r="T168" s="4">
        <f t="shared" ref="T168:U168" si="193">SUM(T155:T167)</f>
        <v>477300</v>
      </c>
      <c r="U168" s="12">
        <f t="shared" si="193"/>
        <v>175119978</v>
      </c>
      <c r="Z168" s="12" t="e">
        <f>AVERAGE(Z155:Z167)</f>
        <v>#DIV/0!</v>
      </c>
      <c r="AA168" s="12">
        <f t="shared" ref="AA168:AC168" si="194">AVERAGE(AA155:AA167)</f>
        <v>0</v>
      </c>
      <c r="AB168" s="12" t="e">
        <f t="shared" si="194"/>
        <v>#DIV/0!</v>
      </c>
      <c r="AC168" s="16">
        <f t="shared" si="194"/>
        <v>0</v>
      </c>
      <c r="AE168" s="3" t="s">
        <v>12</v>
      </c>
      <c r="AF168" s="3"/>
      <c r="AG168" s="4">
        <f t="shared" ref="AG168:AT168" si="195">SUM(AG155:AG167)</f>
        <v>17861</v>
      </c>
      <c r="AH168" s="12">
        <f t="shared" si="195"/>
        <v>6357388</v>
      </c>
      <c r="AI168" s="4">
        <f t="shared" si="195"/>
        <v>424812</v>
      </c>
      <c r="AJ168" s="12">
        <f t="shared" si="195"/>
        <v>156401084</v>
      </c>
      <c r="AK168" s="4">
        <f t="shared" si="195"/>
        <v>18831</v>
      </c>
      <c r="AL168" s="12">
        <f t="shared" si="195"/>
        <v>6882643</v>
      </c>
      <c r="AM168" s="4">
        <f t="shared" si="195"/>
        <v>15734</v>
      </c>
      <c r="AN168" s="12">
        <f t="shared" si="195"/>
        <v>5455615</v>
      </c>
      <c r="AO168" s="4">
        <f t="shared" si="195"/>
        <v>0</v>
      </c>
      <c r="AP168" s="12">
        <f t="shared" si="195"/>
        <v>0</v>
      </c>
      <c r="AQ168" s="4">
        <f t="shared" si="195"/>
        <v>62</v>
      </c>
      <c r="AR168" s="12">
        <f t="shared" si="195"/>
        <v>23248</v>
      </c>
      <c r="AS168" s="4">
        <f t="shared" si="195"/>
        <v>477300</v>
      </c>
      <c r="AT168" s="12">
        <f t="shared" si="195"/>
        <v>175119978</v>
      </c>
    </row>
    <row r="169" spans="1:49" outlineLevel="1" x14ac:dyDescent="0.25">
      <c r="J169" s="46" t="str">
        <f>+$B$150</f>
        <v>Aforo e Ingreso - CALH</v>
      </c>
      <c r="K169" s="9" t="s">
        <v>84</v>
      </c>
      <c r="L169" s="15">
        <f>AVERAGE(L155:L166)</f>
        <v>1569.25</v>
      </c>
      <c r="M169" s="60">
        <f>AVERAGE(M155:M166)</f>
        <v>573553.58333333337</v>
      </c>
      <c r="T169" s="15">
        <f>AVERAGE(T155:T166)</f>
        <v>39775</v>
      </c>
      <c r="U169" s="28">
        <f>AVERAGE(U155:U166)</f>
        <v>14593331.5</v>
      </c>
    </row>
    <row r="170" spans="1:49" outlineLevel="1" x14ac:dyDescent="0.25">
      <c r="B170" s="5" t="s">
        <v>14</v>
      </c>
      <c r="J170" s="46" t="str">
        <f>+$B$150</f>
        <v>Aforo e Ingreso - CALH</v>
      </c>
      <c r="K170" s="9" t="s">
        <v>85</v>
      </c>
      <c r="L170" s="26">
        <f>+L169/$L$316</f>
        <v>7.5497765657437151E-3</v>
      </c>
      <c r="M170" s="36">
        <f>+M169/$M$316</f>
        <v>1.9252666760799703E-2</v>
      </c>
      <c r="N170" s="18"/>
      <c r="O170" s="19"/>
      <c r="P170" s="19"/>
      <c r="Q170" s="19"/>
      <c r="R170" s="19"/>
      <c r="S170" s="19"/>
      <c r="T170" s="36">
        <f>+L169/T169</f>
        <v>3.9453174104336894E-2</v>
      </c>
      <c r="U170" s="62">
        <f>+M169/U169</f>
        <v>3.9302443265496527E-2</v>
      </c>
    </row>
    <row r="171" spans="1:49" outlineLevel="1" x14ac:dyDescent="0.25">
      <c r="B171" s="5" t="s">
        <v>50</v>
      </c>
      <c r="L171" s="26"/>
      <c r="M171" s="26"/>
    </row>
    <row r="172" spans="1:49" outlineLevel="1" x14ac:dyDescent="0.25">
      <c r="B172" s="5"/>
    </row>
    <row r="173" spans="1:49" outlineLevel="1" x14ac:dyDescent="0.25">
      <c r="D173" s="89" t="s">
        <v>15</v>
      </c>
      <c r="E173" s="90"/>
      <c r="F173" s="89" t="s">
        <v>71</v>
      </c>
      <c r="G173" s="90"/>
      <c r="H173" s="89" t="s">
        <v>16</v>
      </c>
      <c r="I173" s="90"/>
      <c r="J173" s="89" t="s">
        <v>17</v>
      </c>
      <c r="K173" s="93"/>
      <c r="L173" s="89" t="s">
        <v>18</v>
      </c>
      <c r="M173" s="93"/>
      <c r="N173" s="89" t="s">
        <v>13</v>
      </c>
      <c r="O173" s="93"/>
      <c r="P173" s="89" t="s">
        <v>34</v>
      </c>
      <c r="Q173" s="93"/>
      <c r="R173" s="89" t="s">
        <v>87</v>
      </c>
      <c r="S173" s="93"/>
      <c r="T173" s="89" t="s">
        <v>12</v>
      </c>
      <c r="U173" s="93"/>
      <c r="AG173" s="89" t="s">
        <v>69</v>
      </c>
      <c r="AH173" s="90"/>
      <c r="AI173" s="89" t="s">
        <v>17</v>
      </c>
      <c r="AJ173" s="93"/>
      <c r="AK173" s="89" t="s">
        <v>18</v>
      </c>
      <c r="AL173" s="93"/>
      <c r="AM173" s="89" t="s">
        <v>13</v>
      </c>
      <c r="AN173" s="93"/>
      <c r="AO173" s="89" t="s">
        <v>34</v>
      </c>
      <c r="AP173" s="93"/>
      <c r="AQ173" s="89" t="s">
        <v>87</v>
      </c>
      <c r="AR173" s="93"/>
      <c r="AS173" s="89" t="s">
        <v>12</v>
      </c>
      <c r="AT173" s="93"/>
    </row>
    <row r="174" spans="1:49" outlineLevel="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T174" s="7" t="s">
        <v>2</v>
      </c>
      <c r="U174" s="10" t="s">
        <v>3</v>
      </c>
      <c r="Z174" s="33">
        <v>2021</v>
      </c>
      <c r="AA174" s="34">
        <v>0.59953809803468039</v>
      </c>
      <c r="AB174" s="33">
        <f>+Z174</f>
        <v>2021</v>
      </c>
      <c r="AC174" s="35">
        <v>5.6642659507742978E-3</v>
      </c>
      <c r="AE174" s="7" t="s">
        <v>0</v>
      </c>
      <c r="AF174" s="7" t="s">
        <v>1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</row>
    <row r="175" spans="1:49" outlineLevel="1" x14ac:dyDescent="0.25">
      <c r="AH175" s="9"/>
      <c r="AJ175" s="9"/>
      <c r="AL175" s="9"/>
      <c r="AN175" s="9"/>
      <c r="AO175" s="9"/>
      <c r="AP175" s="9"/>
      <c r="AQ175" s="9"/>
      <c r="AR175" s="9"/>
      <c r="AT175" s="9"/>
    </row>
    <row r="176" spans="1:49" outlineLevel="1" x14ac:dyDescent="0.25">
      <c r="B176" s="2" t="s">
        <v>5</v>
      </c>
      <c r="C176" s="2">
        <v>2022</v>
      </c>
      <c r="D176" s="1">
        <v>6602</v>
      </c>
      <c r="E176" s="11">
        <v>299200</v>
      </c>
      <c r="F176" s="1">
        <v>2572</v>
      </c>
      <c r="G176" s="11">
        <v>120128</v>
      </c>
      <c r="H176" s="1">
        <v>1075</v>
      </c>
      <c r="I176" s="11">
        <v>40714</v>
      </c>
      <c r="J176" s="1">
        <v>138198</v>
      </c>
      <c r="K176" s="11">
        <v>7421200</v>
      </c>
      <c r="L176" s="1">
        <v>6997</v>
      </c>
      <c r="M176" s="11">
        <v>394032</v>
      </c>
      <c r="N176" s="1">
        <v>6616</v>
      </c>
      <c r="O176" s="11">
        <v>387523</v>
      </c>
      <c r="P176" s="8">
        <v>0</v>
      </c>
      <c r="Q176" s="11">
        <v>0</v>
      </c>
      <c r="R176" s="8">
        <v>0</v>
      </c>
      <c r="S176" s="11">
        <v>0</v>
      </c>
      <c r="T176" s="53">
        <f>N176+L176+J176+H176+D176+P176+F176+R176</f>
        <v>162060</v>
      </c>
      <c r="U176" s="54">
        <f t="shared" ref="U176:U187" si="196">O176+M176+K176+I176+E176+Q176+G176+S176</f>
        <v>8662797</v>
      </c>
      <c r="V176" s="2" t="s">
        <v>64</v>
      </c>
      <c r="Z176" s="30"/>
      <c r="AA176" s="30">
        <f>+Z176/J176</f>
        <v>0</v>
      </c>
      <c r="AB176" s="31"/>
      <c r="AC176" s="32">
        <f>+AB176/K176</f>
        <v>0</v>
      </c>
      <c r="AE176" s="2" t="s">
        <v>5</v>
      </c>
      <c r="AF176" s="2">
        <v>2021</v>
      </c>
      <c r="AG176" s="1">
        <f t="shared" ref="AG176:AG187" si="197">D176+H176+F176</f>
        <v>10249</v>
      </c>
      <c r="AH176" s="11">
        <f t="shared" ref="AH176:AH187" si="198">E176+I176+G176</f>
        <v>460042</v>
      </c>
      <c r="AI176" s="1">
        <f t="shared" ref="AI176:AI187" si="199">+J176</f>
        <v>138198</v>
      </c>
      <c r="AJ176" s="11">
        <f t="shared" ref="AJ176:AJ187" si="200">+K176</f>
        <v>7421200</v>
      </c>
      <c r="AK176" s="8">
        <f t="shared" ref="AK176:AK187" si="201">+L176</f>
        <v>6997</v>
      </c>
      <c r="AL176" s="11">
        <f t="shared" ref="AL176:AL187" si="202">+M176</f>
        <v>394032</v>
      </c>
      <c r="AM176" s="8">
        <f t="shared" ref="AM176:AM187" si="203">+N176</f>
        <v>6616</v>
      </c>
      <c r="AN176" s="11">
        <f t="shared" ref="AN176:AN187" si="204">+O176</f>
        <v>387523</v>
      </c>
      <c r="AO176" s="8">
        <f t="shared" ref="AO176:AO187" si="205">+P176</f>
        <v>0</v>
      </c>
      <c r="AP176" s="11">
        <f t="shared" ref="AP176:AP187" si="206">+Q176</f>
        <v>0</v>
      </c>
      <c r="AQ176" s="11">
        <f t="shared" ref="AQ176:AQ187" si="207">+R176</f>
        <v>0</v>
      </c>
      <c r="AR176" s="11">
        <f t="shared" ref="AR176:AR187" si="208">+S176</f>
        <v>0</v>
      </c>
      <c r="AS176" s="8">
        <f>AO176+AM176+AK176+AI176+AG176+AQ176</f>
        <v>162060</v>
      </c>
      <c r="AT176" s="11">
        <f t="shared" ref="AT176:AT187" si="209">AP176+AN176+AL176+AJ176+AH176+AR176</f>
        <v>8662797</v>
      </c>
      <c r="AU176" s="2" t="str">
        <f t="shared" ref="AU176:AU187" si="210">+V176</f>
        <v>COBI</v>
      </c>
      <c r="AV176" s="37">
        <f t="shared" ref="AV176:AV187" si="211">+AS176-T176</f>
        <v>0</v>
      </c>
      <c r="AW176" s="37">
        <f t="shared" ref="AW176:AW187" si="212">+AT176-U176</f>
        <v>0</v>
      </c>
    </row>
    <row r="177" spans="2:49" outlineLevel="1" x14ac:dyDescent="0.25">
      <c r="B177" s="2" t="s">
        <v>6</v>
      </c>
      <c r="C177" s="2">
        <v>2022</v>
      </c>
      <c r="D177" s="1">
        <v>6560</v>
      </c>
      <c r="E177" s="11">
        <v>291705</v>
      </c>
      <c r="F177" s="1">
        <v>2720</v>
      </c>
      <c r="G177" s="11">
        <v>131520</v>
      </c>
      <c r="H177" s="1">
        <v>1100</v>
      </c>
      <c r="I177" s="11">
        <v>43931</v>
      </c>
      <c r="J177" s="1">
        <v>141022</v>
      </c>
      <c r="K177" s="11">
        <v>7530590</v>
      </c>
      <c r="L177" s="1">
        <v>7166</v>
      </c>
      <c r="M177" s="11">
        <v>364952</v>
      </c>
      <c r="N177" s="1">
        <v>6679</v>
      </c>
      <c r="O177" s="11">
        <v>397188</v>
      </c>
      <c r="P177" s="8">
        <v>0</v>
      </c>
      <c r="Q177" s="11">
        <v>0</v>
      </c>
      <c r="R177" s="8">
        <v>0</v>
      </c>
      <c r="S177" s="11">
        <v>0</v>
      </c>
      <c r="T177" s="53">
        <f t="shared" ref="T177:T187" si="213">N177+L177+J177+H177+D177+P177+F177+R177</f>
        <v>165247</v>
      </c>
      <c r="U177" s="54">
        <f t="shared" si="196"/>
        <v>8759886</v>
      </c>
      <c r="V177" s="2" t="s">
        <v>64</v>
      </c>
      <c r="Z177" s="30"/>
      <c r="AA177" s="30">
        <f t="shared" ref="AA177:AA187" si="214">+Z177/J177</f>
        <v>0</v>
      </c>
      <c r="AB177" s="31"/>
      <c r="AC177" s="32">
        <f t="shared" ref="AC177:AC187" si="215">+AB177/K177</f>
        <v>0</v>
      </c>
      <c r="AE177" s="2" t="s">
        <v>6</v>
      </c>
      <c r="AF177" s="2">
        <v>2021</v>
      </c>
      <c r="AG177" s="1">
        <f t="shared" si="197"/>
        <v>10380</v>
      </c>
      <c r="AH177" s="11">
        <f t="shared" si="198"/>
        <v>467156</v>
      </c>
      <c r="AI177" s="1">
        <f t="shared" si="199"/>
        <v>141022</v>
      </c>
      <c r="AJ177" s="11">
        <f t="shared" si="200"/>
        <v>7530590</v>
      </c>
      <c r="AK177" s="8">
        <f t="shared" si="201"/>
        <v>7166</v>
      </c>
      <c r="AL177" s="11">
        <f t="shared" si="202"/>
        <v>364952</v>
      </c>
      <c r="AM177" s="8">
        <f t="shared" si="203"/>
        <v>6679</v>
      </c>
      <c r="AN177" s="11">
        <f t="shared" si="204"/>
        <v>397188</v>
      </c>
      <c r="AO177" s="8">
        <f t="shared" si="205"/>
        <v>0</v>
      </c>
      <c r="AP177" s="11">
        <f t="shared" si="206"/>
        <v>0</v>
      </c>
      <c r="AQ177" s="11">
        <f t="shared" si="207"/>
        <v>0</v>
      </c>
      <c r="AR177" s="11">
        <f t="shared" si="208"/>
        <v>0</v>
      </c>
      <c r="AS177" s="8">
        <f t="shared" ref="AS177:AS187" si="216">AO177+AM177+AK177+AI177+AG177+AQ177</f>
        <v>165247</v>
      </c>
      <c r="AT177" s="11">
        <f t="shared" si="209"/>
        <v>8759886</v>
      </c>
      <c r="AU177" s="2" t="str">
        <f t="shared" si="210"/>
        <v>COBI</v>
      </c>
      <c r="AV177" s="37">
        <f t="shared" si="211"/>
        <v>0</v>
      </c>
      <c r="AW177" s="37">
        <f t="shared" si="212"/>
        <v>0</v>
      </c>
    </row>
    <row r="178" spans="2:49" outlineLevel="1" x14ac:dyDescent="0.25">
      <c r="B178" s="2" t="s">
        <v>7</v>
      </c>
      <c r="C178" s="2">
        <v>2022</v>
      </c>
      <c r="D178" s="1">
        <v>8315</v>
      </c>
      <c r="E178" s="11">
        <v>378568</v>
      </c>
      <c r="F178" s="1">
        <v>3637</v>
      </c>
      <c r="G178" s="11">
        <v>179296</v>
      </c>
      <c r="H178" s="1">
        <v>1518</v>
      </c>
      <c r="I178" s="11">
        <v>62148</v>
      </c>
      <c r="J178" s="1">
        <v>166563</v>
      </c>
      <c r="K178" s="11">
        <v>8892797</v>
      </c>
      <c r="L178" s="1">
        <v>8305</v>
      </c>
      <c r="M178" s="11">
        <v>452392</v>
      </c>
      <c r="N178" s="1">
        <v>8215</v>
      </c>
      <c r="O178" s="11">
        <v>491549</v>
      </c>
      <c r="P178" s="8">
        <v>4</v>
      </c>
      <c r="Q178" s="11">
        <v>223</v>
      </c>
      <c r="R178" s="8">
        <v>0</v>
      </c>
      <c r="S178" s="11">
        <v>0</v>
      </c>
      <c r="T178" s="53">
        <f t="shared" ref="T178" si="217">N178+L178+J178+H178+D178+P178+F178+R178</f>
        <v>196557</v>
      </c>
      <c r="U178" s="54">
        <f t="shared" ref="U178" si="218">O178+M178+K178+I178+E178+Q178+G178+S178</f>
        <v>10456973</v>
      </c>
      <c r="V178" s="2" t="s">
        <v>64</v>
      </c>
      <c r="Z178" s="30"/>
      <c r="AA178" s="30">
        <f t="shared" si="214"/>
        <v>0</v>
      </c>
      <c r="AB178" s="31"/>
      <c r="AC178" s="32">
        <f t="shared" si="215"/>
        <v>0</v>
      </c>
      <c r="AD178" s="13"/>
      <c r="AE178" s="2" t="s">
        <v>7</v>
      </c>
      <c r="AF178" s="2">
        <v>2021</v>
      </c>
      <c r="AG178" s="1">
        <f t="shared" si="197"/>
        <v>13470</v>
      </c>
      <c r="AH178" s="11">
        <f t="shared" si="198"/>
        <v>620012</v>
      </c>
      <c r="AI178" s="1">
        <f t="shared" si="199"/>
        <v>166563</v>
      </c>
      <c r="AJ178" s="11">
        <f t="shared" si="200"/>
        <v>8892797</v>
      </c>
      <c r="AK178" s="8">
        <f t="shared" si="201"/>
        <v>8305</v>
      </c>
      <c r="AL178" s="11">
        <f t="shared" si="202"/>
        <v>452392</v>
      </c>
      <c r="AM178" s="8">
        <f t="shared" si="203"/>
        <v>8215</v>
      </c>
      <c r="AN178" s="11">
        <f t="shared" si="204"/>
        <v>491549</v>
      </c>
      <c r="AO178" s="8">
        <f t="shared" si="205"/>
        <v>4</v>
      </c>
      <c r="AP178" s="11">
        <f t="shared" si="206"/>
        <v>223</v>
      </c>
      <c r="AQ178" s="11">
        <f t="shared" si="207"/>
        <v>0</v>
      </c>
      <c r="AR178" s="11">
        <f t="shared" si="208"/>
        <v>0</v>
      </c>
      <c r="AS178" s="8">
        <f t="shared" si="216"/>
        <v>196557</v>
      </c>
      <c r="AT178" s="11">
        <f t="shared" si="209"/>
        <v>10456973</v>
      </c>
      <c r="AU178" s="2" t="str">
        <f t="shared" si="210"/>
        <v>COBI</v>
      </c>
      <c r="AV178" s="37">
        <f t="shared" si="211"/>
        <v>0</v>
      </c>
      <c r="AW178" s="37">
        <f t="shared" si="212"/>
        <v>0</v>
      </c>
    </row>
    <row r="179" spans="2:49" outlineLevel="1" x14ac:dyDescent="0.25">
      <c r="B179" s="2" t="s">
        <v>8</v>
      </c>
      <c r="C179" s="2">
        <v>2022</v>
      </c>
      <c r="D179" s="1">
        <v>7240</v>
      </c>
      <c r="E179" s="11">
        <v>317402</v>
      </c>
      <c r="F179" s="1">
        <v>3317</v>
      </c>
      <c r="G179" s="11">
        <v>165256</v>
      </c>
      <c r="H179" s="1">
        <v>1143</v>
      </c>
      <c r="I179" s="11">
        <v>44020</v>
      </c>
      <c r="J179" s="1">
        <v>149946</v>
      </c>
      <c r="K179" s="11">
        <v>8047343</v>
      </c>
      <c r="L179" s="1">
        <v>6696</v>
      </c>
      <c r="M179" s="11">
        <v>391386</v>
      </c>
      <c r="N179" s="1">
        <v>7781</v>
      </c>
      <c r="O179" s="11">
        <v>475124</v>
      </c>
      <c r="P179" s="8">
        <v>1</v>
      </c>
      <c r="Q179" s="11">
        <v>46</v>
      </c>
      <c r="R179" s="8">
        <v>0</v>
      </c>
      <c r="S179" s="11">
        <v>0</v>
      </c>
      <c r="T179" s="53">
        <f t="shared" si="213"/>
        <v>176124</v>
      </c>
      <c r="U179" s="54">
        <f t="shared" si="196"/>
        <v>9440577</v>
      </c>
      <c r="V179" s="2" t="s">
        <v>64</v>
      </c>
      <c r="Z179" s="30"/>
      <c r="AA179" s="30">
        <f t="shared" si="214"/>
        <v>0</v>
      </c>
      <c r="AB179" s="31"/>
      <c r="AC179" s="32">
        <f t="shared" si="215"/>
        <v>0</v>
      </c>
      <c r="AD179" s="13"/>
      <c r="AE179" s="2" t="s">
        <v>8</v>
      </c>
      <c r="AF179" s="2">
        <v>2021</v>
      </c>
      <c r="AG179" s="1">
        <f t="shared" si="197"/>
        <v>11700</v>
      </c>
      <c r="AH179" s="11">
        <f t="shared" si="198"/>
        <v>526678</v>
      </c>
      <c r="AI179" s="1">
        <f t="shared" si="199"/>
        <v>149946</v>
      </c>
      <c r="AJ179" s="11">
        <f t="shared" si="200"/>
        <v>8047343</v>
      </c>
      <c r="AK179" s="8">
        <f t="shared" si="201"/>
        <v>6696</v>
      </c>
      <c r="AL179" s="11">
        <f t="shared" si="202"/>
        <v>391386</v>
      </c>
      <c r="AM179" s="8">
        <f t="shared" si="203"/>
        <v>7781</v>
      </c>
      <c r="AN179" s="11">
        <f t="shared" si="204"/>
        <v>475124</v>
      </c>
      <c r="AO179" s="8">
        <f t="shared" si="205"/>
        <v>1</v>
      </c>
      <c r="AP179" s="11">
        <f t="shared" si="206"/>
        <v>46</v>
      </c>
      <c r="AQ179" s="11">
        <f t="shared" si="207"/>
        <v>0</v>
      </c>
      <c r="AR179" s="11">
        <f t="shared" si="208"/>
        <v>0</v>
      </c>
      <c r="AS179" s="8">
        <f t="shared" si="216"/>
        <v>176124</v>
      </c>
      <c r="AT179" s="11">
        <f t="shared" si="209"/>
        <v>9440577</v>
      </c>
      <c r="AU179" s="2" t="str">
        <f t="shared" si="210"/>
        <v>COBI</v>
      </c>
      <c r="AV179" s="37">
        <f t="shared" si="211"/>
        <v>0</v>
      </c>
      <c r="AW179" s="37">
        <f t="shared" si="212"/>
        <v>0</v>
      </c>
    </row>
    <row r="180" spans="2:49" outlineLevel="1" x14ac:dyDescent="0.25">
      <c r="B180" s="2" t="s">
        <v>9</v>
      </c>
      <c r="C180" s="2">
        <v>2022</v>
      </c>
      <c r="D180" s="1">
        <v>8494</v>
      </c>
      <c r="E180" s="11">
        <v>392544</v>
      </c>
      <c r="F180" s="1">
        <v>3636</v>
      </c>
      <c r="G180" s="11">
        <v>179468</v>
      </c>
      <c r="H180" s="1">
        <v>1093</v>
      </c>
      <c r="I180" s="11">
        <v>42960</v>
      </c>
      <c r="J180" s="1">
        <v>155512</v>
      </c>
      <c r="K180" s="11">
        <v>8453722</v>
      </c>
      <c r="L180" s="1">
        <v>6421</v>
      </c>
      <c r="M180" s="11">
        <v>371542</v>
      </c>
      <c r="N180" s="1">
        <v>7405</v>
      </c>
      <c r="O180" s="11">
        <v>449131</v>
      </c>
      <c r="P180" s="8">
        <v>3</v>
      </c>
      <c r="Q180" s="11">
        <v>153</v>
      </c>
      <c r="R180" s="8">
        <v>0</v>
      </c>
      <c r="S180" s="11">
        <v>0</v>
      </c>
      <c r="T180" s="53">
        <f t="shared" si="213"/>
        <v>182564</v>
      </c>
      <c r="U180" s="54">
        <f t="shared" si="196"/>
        <v>9889520</v>
      </c>
      <c r="V180" s="2" t="s">
        <v>64</v>
      </c>
      <c r="Z180" s="30"/>
      <c r="AA180" s="30">
        <f t="shared" si="214"/>
        <v>0</v>
      </c>
      <c r="AB180" s="31"/>
      <c r="AC180" s="32">
        <f t="shared" si="215"/>
        <v>0</v>
      </c>
      <c r="AD180" s="13"/>
      <c r="AE180" s="2" t="s">
        <v>9</v>
      </c>
      <c r="AF180" s="2">
        <v>2021</v>
      </c>
      <c r="AG180" s="1">
        <f t="shared" si="197"/>
        <v>13223</v>
      </c>
      <c r="AH180" s="11">
        <f t="shared" si="198"/>
        <v>614972</v>
      </c>
      <c r="AI180" s="1">
        <f t="shared" si="199"/>
        <v>155512</v>
      </c>
      <c r="AJ180" s="11">
        <f t="shared" si="200"/>
        <v>8453722</v>
      </c>
      <c r="AK180" s="8">
        <f t="shared" si="201"/>
        <v>6421</v>
      </c>
      <c r="AL180" s="11">
        <f t="shared" si="202"/>
        <v>371542</v>
      </c>
      <c r="AM180" s="8">
        <f t="shared" si="203"/>
        <v>7405</v>
      </c>
      <c r="AN180" s="11">
        <f t="shared" si="204"/>
        <v>449131</v>
      </c>
      <c r="AO180" s="8">
        <f t="shared" si="205"/>
        <v>3</v>
      </c>
      <c r="AP180" s="11">
        <f t="shared" si="206"/>
        <v>153</v>
      </c>
      <c r="AQ180" s="11">
        <f t="shared" si="207"/>
        <v>0</v>
      </c>
      <c r="AR180" s="11">
        <f t="shared" si="208"/>
        <v>0</v>
      </c>
      <c r="AS180" s="8">
        <f t="shared" si="216"/>
        <v>182564</v>
      </c>
      <c r="AT180" s="11">
        <f t="shared" si="209"/>
        <v>9889520</v>
      </c>
      <c r="AU180" s="2" t="str">
        <f t="shared" si="210"/>
        <v>COBI</v>
      </c>
      <c r="AV180" s="37">
        <f t="shared" si="211"/>
        <v>0</v>
      </c>
      <c r="AW180" s="37">
        <f t="shared" si="212"/>
        <v>0</v>
      </c>
    </row>
    <row r="181" spans="2:49" outlineLevel="1" x14ac:dyDescent="0.25">
      <c r="B181" s="2" t="s">
        <v>10</v>
      </c>
      <c r="C181" s="2">
        <v>2022</v>
      </c>
      <c r="D181" s="1">
        <v>8590</v>
      </c>
      <c r="E181" s="11">
        <v>389055</v>
      </c>
      <c r="F181" s="1">
        <v>3532</v>
      </c>
      <c r="G181" s="11">
        <v>170868</v>
      </c>
      <c r="H181" s="1">
        <v>1112</v>
      </c>
      <c r="I181" s="11">
        <v>44685</v>
      </c>
      <c r="J181" s="1">
        <v>154302</v>
      </c>
      <c r="K181" s="11">
        <v>8440670</v>
      </c>
      <c r="L181" s="1">
        <v>5804</v>
      </c>
      <c r="M181" s="11">
        <v>314770</v>
      </c>
      <c r="N181" s="1">
        <v>6784</v>
      </c>
      <c r="O181" s="11">
        <v>407975</v>
      </c>
      <c r="P181" s="8">
        <v>8</v>
      </c>
      <c r="Q181" s="11">
        <v>338</v>
      </c>
      <c r="R181" s="8">
        <v>0</v>
      </c>
      <c r="S181" s="11">
        <v>0</v>
      </c>
      <c r="T181" s="53">
        <f t="shared" si="213"/>
        <v>180132</v>
      </c>
      <c r="U181" s="54">
        <f t="shared" si="196"/>
        <v>9768361</v>
      </c>
      <c r="V181" s="2" t="s">
        <v>64</v>
      </c>
      <c r="Z181" s="30"/>
      <c r="AA181" s="30">
        <f t="shared" si="214"/>
        <v>0</v>
      </c>
      <c r="AB181" s="31"/>
      <c r="AC181" s="32">
        <f t="shared" si="215"/>
        <v>0</v>
      </c>
      <c r="AE181" s="2" t="s">
        <v>10</v>
      </c>
      <c r="AF181" s="2">
        <v>2021</v>
      </c>
      <c r="AG181" s="1">
        <f t="shared" si="197"/>
        <v>13234</v>
      </c>
      <c r="AH181" s="11">
        <f t="shared" si="198"/>
        <v>604608</v>
      </c>
      <c r="AI181" s="1">
        <f t="shared" si="199"/>
        <v>154302</v>
      </c>
      <c r="AJ181" s="11">
        <f t="shared" si="200"/>
        <v>8440670</v>
      </c>
      <c r="AK181" s="8">
        <f t="shared" si="201"/>
        <v>5804</v>
      </c>
      <c r="AL181" s="11">
        <f t="shared" si="202"/>
        <v>314770</v>
      </c>
      <c r="AM181" s="8">
        <f t="shared" si="203"/>
        <v>6784</v>
      </c>
      <c r="AN181" s="11">
        <f t="shared" si="204"/>
        <v>407975</v>
      </c>
      <c r="AO181" s="8">
        <f t="shared" si="205"/>
        <v>8</v>
      </c>
      <c r="AP181" s="11">
        <f t="shared" si="206"/>
        <v>338</v>
      </c>
      <c r="AQ181" s="11">
        <f t="shared" si="207"/>
        <v>0</v>
      </c>
      <c r="AR181" s="11">
        <f t="shared" si="208"/>
        <v>0</v>
      </c>
      <c r="AS181" s="8">
        <f t="shared" si="216"/>
        <v>180132</v>
      </c>
      <c r="AT181" s="11">
        <f t="shared" si="209"/>
        <v>9768361</v>
      </c>
      <c r="AU181" s="2" t="str">
        <f t="shared" si="210"/>
        <v>COBI</v>
      </c>
      <c r="AV181" s="37">
        <f t="shared" si="211"/>
        <v>0</v>
      </c>
      <c r="AW181" s="37">
        <f t="shared" si="212"/>
        <v>0</v>
      </c>
    </row>
    <row r="182" spans="2:49" outlineLevel="1" x14ac:dyDescent="0.25">
      <c r="B182" s="2" t="s">
        <v>11</v>
      </c>
      <c r="C182" s="2">
        <v>2022</v>
      </c>
      <c r="D182" s="1">
        <v>8597</v>
      </c>
      <c r="E182" s="11">
        <v>396213</v>
      </c>
      <c r="F182" s="1">
        <v>3814</v>
      </c>
      <c r="G182" s="11">
        <v>188496</v>
      </c>
      <c r="H182" s="1">
        <v>1186</v>
      </c>
      <c r="I182" s="11">
        <v>43673</v>
      </c>
      <c r="J182" s="1">
        <v>157541</v>
      </c>
      <c r="K182" s="11">
        <v>8607111</v>
      </c>
      <c r="L182" s="1">
        <v>4990</v>
      </c>
      <c r="M182" s="11">
        <v>275184</v>
      </c>
      <c r="N182" s="1">
        <v>7965</v>
      </c>
      <c r="O182" s="11">
        <v>488369</v>
      </c>
      <c r="P182" s="8">
        <v>7</v>
      </c>
      <c r="Q182" s="11">
        <v>324</v>
      </c>
      <c r="R182" s="8">
        <v>35</v>
      </c>
      <c r="S182" s="11">
        <v>2324</v>
      </c>
      <c r="T182" s="53">
        <f t="shared" si="213"/>
        <v>184135</v>
      </c>
      <c r="U182" s="54">
        <f t="shared" si="196"/>
        <v>10001694</v>
      </c>
      <c r="V182" s="2" t="s">
        <v>64</v>
      </c>
      <c r="Z182" s="30"/>
      <c r="AA182" s="30">
        <f t="shared" si="214"/>
        <v>0</v>
      </c>
      <c r="AB182" s="31"/>
      <c r="AC182" s="32">
        <f t="shared" si="215"/>
        <v>0</v>
      </c>
      <c r="AD182" s="49"/>
      <c r="AE182" s="2" t="s">
        <v>11</v>
      </c>
      <c r="AF182" s="2">
        <v>2021</v>
      </c>
      <c r="AG182" s="1">
        <f t="shared" si="197"/>
        <v>13597</v>
      </c>
      <c r="AH182" s="11">
        <f t="shared" si="198"/>
        <v>628382</v>
      </c>
      <c r="AI182" s="1">
        <f t="shared" si="199"/>
        <v>157541</v>
      </c>
      <c r="AJ182" s="11">
        <f t="shared" si="200"/>
        <v>8607111</v>
      </c>
      <c r="AK182" s="8">
        <f t="shared" si="201"/>
        <v>4990</v>
      </c>
      <c r="AL182" s="11">
        <f t="shared" si="202"/>
        <v>275184</v>
      </c>
      <c r="AM182" s="8">
        <f t="shared" si="203"/>
        <v>7965</v>
      </c>
      <c r="AN182" s="11">
        <f t="shared" si="204"/>
        <v>488369</v>
      </c>
      <c r="AO182" s="8">
        <f t="shared" si="205"/>
        <v>7</v>
      </c>
      <c r="AP182" s="11">
        <f t="shared" si="206"/>
        <v>324</v>
      </c>
      <c r="AQ182" s="11">
        <f t="shared" si="207"/>
        <v>35</v>
      </c>
      <c r="AR182" s="11">
        <f t="shared" si="208"/>
        <v>2324</v>
      </c>
      <c r="AS182" s="8">
        <f t="shared" si="216"/>
        <v>184135</v>
      </c>
      <c r="AT182" s="11">
        <f t="shared" si="209"/>
        <v>10001694</v>
      </c>
      <c r="AU182" s="2" t="str">
        <f t="shared" si="210"/>
        <v>COBI</v>
      </c>
      <c r="AV182" s="37">
        <f t="shared" si="211"/>
        <v>0</v>
      </c>
      <c r="AW182" s="37">
        <f t="shared" si="212"/>
        <v>0</v>
      </c>
    </row>
    <row r="183" spans="2:49" outlineLevel="1" x14ac:dyDescent="0.25">
      <c r="B183" s="2" t="s">
        <v>4</v>
      </c>
      <c r="C183" s="2">
        <v>2022</v>
      </c>
      <c r="D183" s="1">
        <v>7974</v>
      </c>
      <c r="E183" s="11">
        <v>372387</v>
      </c>
      <c r="F183" s="1">
        <v>3712</v>
      </c>
      <c r="G183" s="11">
        <v>186359</v>
      </c>
      <c r="H183" s="1">
        <v>1213</v>
      </c>
      <c r="I183" s="11">
        <v>42607</v>
      </c>
      <c r="J183" s="1">
        <v>149644</v>
      </c>
      <c r="K183" s="11">
        <v>8148979</v>
      </c>
      <c r="L183" s="1">
        <v>4251</v>
      </c>
      <c r="M183" s="11">
        <v>236390</v>
      </c>
      <c r="N183" s="1">
        <v>7581</v>
      </c>
      <c r="O183" s="11">
        <v>458633</v>
      </c>
      <c r="P183" s="8">
        <v>6</v>
      </c>
      <c r="Q183" s="11">
        <v>348</v>
      </c>
      <c r="R183" s="8">
        <v>58</v>
      </c>
      <c r="S183" s="11">
        <v>3707</v>
      </c>
      <c r="T183" s="53">
        <f t="shared" si="213"/>
        <v>174439</v>
      </c>
      <c r="U183" s="54">
        <f t="shared" si="196"/>
        <v>9449410</v>
      </c>
      <c r="V183" s="2" t="s">
        <v>64</v>
      </c>
      <c r="Z183" s="30"/>
      <c r="AA183" s="30">
        <f t="shared" si="214"/>
        <v>0</v>
      </c>
      <c r="AB183" s="31"/>
      <c r="AC183" s="32">
        <f t="shared" si="215"/>
        <v>0</v>
      </c>
      <c r="AE183" s="2" t="s">
        <v>4</v>
      </c>
      <c r="AF183" s="2">
        <v>2021</v>
      </c>
      <c r="AG183" s="1">
        <f t="shared" si="197"/>
        <v>12899</v>
      </c>
      <c r="AH183" s="11">
        <f t="shared" si="198"/>
        <v>601353</v>
      </c>
      <c r="AI183" s="1">
        <f t="shared" si="199"/>
        <v>149644</v>
      </c>
      <c r="AJ183" s="11">
        <f t="shared" si="200"/>
        <v>8148979</v>
      </c>
      <c r="AK183" s="8">
        <f t="shared" si="201"/>
        <v>4251</v>
      </c>
      <c r="AL183" s="11">
        <f t="shared" si="202"/>
        <v>236390</v>
      </c>
      <c r="AM183" s="8">
        <f t="shared" si="203"/>
        <v>7581</v>
      </c>
      <c r="AN183" s="11">
        <f t="shared" si="204"/>
        <v>458633</v>
      </c>
      <c r="AO183" s="8">
        <f t="shared" si="205"/>
        <v>6</v>
      </c>
      <c r="AP183" s="11">
        <f t="shared" si="206"/>
        <v>348</v>
      </c>
      <c r="AQ183" s="11">
        <f t="shared" si="207"/>
        <v>58</v>
      </c>
      <c r="AR183" s="11">
        <f t="shared" si="208"/>
        <v>3707</v>
      </c>
      <c r="AS183" s="8">
        <f t="shared" si="216"/>
        <v>174439</v>
      </c>
      <c r="AT183" s="11">
        <f t="shared" si="209"/>
        <v>9449410</v>
      </c>
      <c r="AU183" s="2" t="str">
        <f t="shared" si="210"/>
        <v>COBI</v>
      </c>
      <c r="AV183" s="37">
        <f t="shared" si="211"/>
        <v>0</v>
      </c>
      <c r="AW183" s="37">
        <f t="shared" si="212"/>
        <v>0</v>
      </c>
    </row>
    <row r="184" spans="2:49" outlineLevel="1" x14ac:dyDescent="0.25">
      <c r="B184" s="2" t="s">
        <v>28</v>
      </c>
      <c r="C184" s="2">
        <v>2022</v>
      </c>
      <c r="D184" s="1">
        <v>7793</v>
      </c>
      <c r="E184" s="11">
        <v>359909</v>
      </c>
      <c r="F184" s="1">
        <v>3864</v>
      </c>
      <c r="G184" s="11">
        <v>198657</v>
      </c>
      <c r="H184" s="1">
        <v>1744</v>
      </c>
      <c r="I184" s="11">
        <v>71912</v>
      </c>
      <c r="J184" s="1">
        <v>143465</v>
      </c>
      <c r="K184" s="11">
        <v>7947659</v>
      </c>
      <c r="L184" s="1">
        <v>3462</v>
      </c>
      <c r="M184" s="11">
        <v>203437</v>
      </c>
      <c r="N184" s="1">
        <v>7387</v>
      </c>
      <c r="O184" s="11">
        <v>469615</v>
      </c>
      <c r="P184" s="8">
        <v>31</v>
      </c>
      <c r="Q184" s="11">
        <v>2004</v>
      </c>
      <c r="R184" s="8">
        <v>48</v>
      </c>
      <c r="S184" s="11">
        <v>3108</v>
      </c>
      <c r="T184" s="53">
        <f t="shared" si="213"/>
        <v>167794</v>
      </c>
      <c r="U184" s="54">
        <f t="shared" si="196"/>
        <v>9256301</v>
      </c>
      <c r="V184" s="2" t="s">
        <v>64</v>
      </c>
      <c r="Z184" s="30"/>
      <c r="AA184" s="30">
        <f t="shared" si="214"/>
        <v>0</v>
      </c>
      <c r="AB184" s="31"/>
      <c r="AC184" s="32">
        <f t="shared" si="215"/>
        <v>0</v>
      </c>
      <c r="AE184" s="2" t="s">
        <v>28</v>
      </c>
      <c r="AF184" s="2">
        <v>2021</v>
      </c>
      <c r="AG184" s="1">
        <f t="shared" si="197"/>
        <v>13401</v>
      </c>
      <c r="AH184" s="11">
        <f t="shared" si="198"/>
        <v>630478</v>
      </c>
      <c r="AI184" s="1">
        <f t="shared" si="199"/>
        <v>143465</v>
      </c>
      <c r="AJ184" s="11">
        <f t="shared" si="200"/>
        <v>7947659</v>
      </c>
      <c r="AK184" s="8">
        <f t="shared" si="201"/>
        <v>3462</v>
      </c>
      <c r="AL184" s="11">
        <f t="shared" si="202"/>
        <v>203437</v>
      </c>
      <c r="AM184" s="8">
        <f t="shared" si="203"/>
        <v>7387</v>
      </c>
      <c r="AN184" s="11">
        <f t="shared" si="204"/>
        <v>469615</v>
      </c>
      <c r="AO184" s="8">
        <f t="shared" si="205"/>
        <v>31</v>
      </c>
      <c r="AP184" s="11">
        <f t="shared" si="206"/>
        <v>2004</v>
      </c>
      <c r="AQ184" s="11">
        <f t="shared" si="207"/>
        <v>48</v>
      </c>
      <c r="AR184" s="11">
        <f t="shared" si="208"/>
        <v>3108</v>
      </c>
      <c r="AS184" s="8">
        <f t="shared" si="216"/>
        <v>167794</v>
      </c>
      <c r="AT184" s="11">
        <f t="shared" si="209"/>
        <v>9256301</v>
      </c>
      <c r="AU184" s="2" t="str">
        <f t="shared" si="210"/>
        <v>COBI</v>
      </c>
      <c r="AV184" s="37">
        <f t="shared" si="211"/>
        <v>0</v>
      </c>
      <c r="AW184" s="37">
        <f t="shared" si="212"/>
        <v>0</v>
      </c>
    </row>
    <row r="185" spans="2:49" outlineLevel="1" x14ac:dyDescent="0.25">
      <c r="B185" s="2" t="s">
        <v>29</v>
      </c>
      <c r="C185" s="2">
        <v>2022</v>
      </c>
      <c r="D185" s="1">
        <v>9060</v>
      </c>
      <c r="E185" s="11">
        <v>463568</v>
      </c>
      <c r="F185" s="1">
        <v>4219</v>
      </c>
      <c r="G185" s="11">
        <v>222915</v>
      </c>
      <c r="H185" s="1">
        <v>2211</v>
      </c>
      <c r="I185" s="11">
        <v>86172</v>
      </c>
      <c r="J185" s="1">
        <v>154546</v>
      </c>
      <c r="K185" s="11">
        <v>8884978</v>
      </c>
      <c r="L185" s="1">
        <v>3782</v>
      </c>
      <c r="M185" s="11">
        <v>224024</v>
      </c>
      <c r="N185" s="1">
        <v>8421</v>
      </c>
      <c r="O185" s="11">
        <v>559652</v>
      </c>
      <c r="P185" s="8">
        <v>34</v>
      </c>
      <c r="Q185" s="11">
        <v>2438</v>
      </c>
      <c r="R185" s="8">
        <v>47</v>
      </c>
      <c r="S185" s="11">
        <v>3481</v>
      </c>
      <c r="T185" s="53">
        <f t="shared" si="213"/>
        <v>182320</v>
      </c>
      <c r="U185" s="54">
        <f t="shared" si="196"/>
        <v>10447228</v>
      </c>
      <c r="V185" s="2" t="s">
        <v>64</v>
      </c>
      <c r="Z185" s="30"/>
      <c r="AA185" s="30">
        <f t="shared" si="214"/>
        <v>0</v>
      </c>
      <c r="AB185" s="31"/>
      <c r="AC185" s="32">
        <f t="shared" si="215"/>
        <v>0</v>
      </c>
      <c r="AE185" s="2" t="s">
        <v>29</v>
      </c>
      <c r="AF185" s="2">
        <v>2021</v>
      </c>
      <c r="AG185" s="1">
        <f t="shared" si="197"/>
        <v>15490</v>
      </c>
      <c r="AH185" s="11">
        <f t="shared" si="198"/>
        <v>772655</v>
      </c>
      <c r="AI185" s="1">
        <f t="shared" si="199"/>
        <v>154546</v>
      </c>
      <c r="AJ185" s="11">
        <f t="shared" si="200"/>
        <v>8884978</v>
      </c>
      <c r="AK185" s="8">
        <f t="shared" si="201"/>
        <v>3782</v>
      </c>
      <c r="AL185" s="11">
        <f t="shared" si="202"/>
        <v>224024</v>
      </c>
      <c r="AM185" s="8">
        <f t="shared" si="203"/>
        <v>8421</v>
      </c>
      <c r="AN185" s="11">
        <f t="shared" si="204"/>
        <v>559652</v>
      </c>
      <c r="AO185" s="8">
        <f t="shared" si="205"/>
        <v>34</v>
      </c>
      <c r="AP185" s="11">
        <f t="shared" si="206"/>
        <v>2438</v>
      </c>
      <c r="AQ185" s="11">
        <f t="shared" si="207"/>
        <v>47</v>
      </c>
      <c r="AR185" s="11">
        <f t="shared" si="208"/>
        <v>3481</v>
      </c>
      <c r="AS185" s="8">
        <f t="shared" si="216"/>
        <v>182320</v>
      </c>
      <c r="AT185" s="11">
        <f t="shared" si="209"/>
        <v>10447228</v>
      </c>
      <c r="AU185" s="2" t="str">
        <f t="shared" si="210"/>
        <v>COBI</v>
      </c>
      <c r="AV185" s="37">
        <f t="shared" si="211"/>
        <v>0</v>
      </c>
      <c r="AW185" s="37">
        <f t="shared" si="212"/>
        <v>0</v>
      </c>
    </row>
    <row r="186" spans="2:49" outlineLevel="1" x14ac:dyDescent="0.25">
      <c r="B186" s="2" t="s">
        <v>30</v>
      </c>
      <c r="C186" s="2">
        <v>2022</v>
      </c>
      <c r="D186" s="1">
        <v>8149</v>
      </c>
      <c r="E186" s="11">
        <v>390107</v>
      </c>
      <c r="F186" s="1">
        <v>3510</v>
      </c>
      <c r="G186" s="11">
        <v>181590</v>
      </c>
      <c r="H186" s="1">
        <v>2897</v>
      </c>
      <c r="I186" s="11">
        <v>111273</v>
      </c>
      <c r="J186" s="1">
        <v>154472</v>
      </c>
      <c r="K186" s="11">
        <v>9030679</v>
      </c>
      <c r="L186" s="1">
        <v>3693</v>
      </c>
      <c r="M186" s="11">
        <v>229519</v>
      </c>
      <c r="N186" s="1">
        <v>8702</v>
      </c>
      <c r="O186" s="11">
        <v>568977</v>
      </c>
      <c r="P186" s="8">
        <v>44</v>
      </c>
      <c r="Q186" s="11">
        <v>2816</v>
      </c>
      <c r="R186" s="8">
        <v>61</v>
      </c>
      <c r="S186" s="11">
        <v>4033</v>
      </c>
      <c r="T186" s="53">
        <f t="shared" si="213"/>
        <v>181528</v>
      </c>
      <c r="U186" s="54">
        <f t="shared" si="196"/>
        <v>10518994</v>
      </c>
      <c r="V186" s="2" t="s">
        <v>64</v>
      </c>
      <c r="Z186" s="30"/>
      <c r="AA186" s="30">
        <f t="shared" si="214"/>
        <v>0</v>
      </c>
      <c r="AB186" s="31"/>
      <c r="AC186" s="32">
        <f t="shared" si="215"/>
        <v>0</v>
      </c>
      <c r="AE186" s="2" t="s">
        <v>30</v>
      </c>
      <c r="AF186" s="2">
        <v>2021</v>
      </c>
      <c r="AG186" s="1">
        <f t="shared" si="197"/>
        <v>14556</v>
      </c>
      <c r="AH186" s="11">
        <f t="shared" si="198"/>
        <v>682970</v>
      </c>
      <c r="AI186" s="1">
        <f t="shared" si="199"/>
        <v>154472</v>
      </c>
      <c r="AJ186" s="11">
        <f t="shared" si="200"/>
        <v>9030679</v>
      </c>
      <c r="AK186" s="8">
        <f t="shared" si="201"/>
        <v>3693</v>
      </c>
      <c r="AL186" s="11">
        <f t="shared" si="202"/>
        <v>229519</v>
      </c>
      <c r="AM186" s="8">
        <f t="shared" si="203"/>
        <v>8702</v>
      </c>
      <c r="AN186" s="11">
        <f t="shared" si="204"/>
        <v>568977</v>
      </c>
      <c r="AO186" s="8">
        <f t="shared" si="205"/>
        <v>44</v>
      </c>
      <c r="AP186" s="11">
        <f t="shared" si="206"/>
        <v>2816</v>
      </c>
      <c r="AQ186" s="11">
        <f t="shared" si="207"/>
        <v>61</v>
      </c>
      <c r="AR186" s="11">
        <f t="shared" si="208"/>
        <v>4033</v>
      </c>
      <c r="AS186" s="8">
        <f t="shared" si="216"/>
        <v>181528</v>
      </c>
      <c r="AT186" s="11">
        <f t="shared" si="209"/>
        <v>10518994</v>
      </c>
      <c r="AU186" s="2" t="str">
        <f t="shared" si="210"/>
        <v>COBI</v>
      </c>
      <c r="AV186" s="37">
        <f t="shared" si="211"/>
        <v>0</v>
      </c>
      <c r="AW186" s="37">
        <f t="shared" si="212"/>
        <v>0</v>
      </c>
    </row>
    <row r="187" spans="2:49" outlineLevel="1" x14ac:dyDescent="0.25">
      <c r="B187" s="2" t="s">
        <v>31</v>
      </c>
      <c r="C187" s="2">
        <v>2022</v>
      </c>
      <c r="D187" s="1">
        <v>7781</v>
      </c>
      <c r="E187" s="11">
        <v>362159</v>
      </c>
      <c r="F187" s="1">
        <v>3463</v>
      </c>
      <c r="G187" s="11">
        <v>171195</v>
      </c>
      <c r="H187" s="1">
        <v>3140</v>
      </c>
      <c r="I187" s="11">
        <v>126334</v>
      </c>
      <c r="J187" s="1">
        <v>149239</v>
      </c>
      <c r="K187" s="11">
        <v>8535604</v>
      </c>
      <c r="L187" s="1">
        <v>3901</v>
      </c>
      <c r="M187" s="11">
        <v>246926</v>
      </c>
      <c r="N187" s="1">
        <v>8578</v>
      </c>
      <c r="O187" s="11">
        <v>555716</v>
      </c>
      <c r="P187" s="8">
        <v>25</v>
      </c>
      <c r="Q187" s="11">
        <v>1646</v>
      </c>
      <c r="R187" s="8">
        <v>48</v>
      </c>
      <c r="S187" s="11">
        <v>3264</v>
      </c>
      <c r="T187" s="53">
        <f t="shared" si="213"/>
        <v>176175</v>
      </c>
      <c r="U187" s="54">
        <f t="shared" si="196"/>
        <v>10002844</v>
      </c>
      <c r="V187" s="2" t="s">
        <v>64</v>
      </c>
      <c r="X187" s="13"/>
      <c r="Z187" s="30"/>
      <c r="AA187" s="30">
        <f t="shared" si="214"/>
        <v>0</v>
      </c>
      <c r="AB187" s="31"/>
      <c r="AC187" s="32">
        <f t="shared" si="215"/>
        <v>0</v>
      </c>
      <c r="AE187" s="2" t="s">
        <v>31</v>
      </c>
      <c r="AF187" s="2">
        <v>2021</v>
      </c>
      <c r="AG187" s="1">
        <f t="shared" si="197"/>
        <v>14384</v>
      </c>
      <c r="AH187" s="11">
        <f t="shared" si="198"/>
        <v>659688</v>
      </c>
      <c r="AI187" s="1">
        <f t="shared" si="199"/>
        <v>149239</v>
      </c>
      <c r="AJ187" s="11">
        <f t="shared" si="200"/>
        <v>8535604</v>
      </c>
      <c r="AK187" s="8">
        <f t="shared" si="201"/>
        <v>3901</v>
      </c>
      <c r="AL187" s="11">
        <f t="shared" si="202"/>
        <v>246926</v>
      </c>
      <c r="AM187" s="8">
        <f t="shared" si="203"/>
        <v>8578</v>
      </c>
      <c r="AN187" s="11">
        <f t="shared" si="204"/>
        <v>555716</v>
      </c>
      <c r="AO187" s="8">
        <f t="shared" si="205"/>
        <v>25</v>
      </c>
      <c r="AP187" s="11">
        <f t="shared" si="206"/>
        <v>1646</v>
      </c>
      <c r="AQ187" s="11">
        <f t="shared" si="207"/>
        <v>48</v>
      </c>
      <c r="AR187" s="11">
        <f t="shared" si="208"/>
        <v>3264</v>
      </c>
      <c r="AS187" s="8">
        <f t="shared" si="216"/>
        <v>176175</v>
      </c>
      <c r="AT187" s="11">
        <f t="shared" si="209"/>
        <v>10002844</v>
      </c>
      <c r="AU187" s="2" t="str">
        <f t="shared" si="210"/>
        <v>COBI</v>
      </c>
      <c r="AV187" s="37">
        <f t="shared" si="211"/>
        <v>0</v>
      </c>
      <c r="AW187" s="37">
        <f t="shared" si="212"/>
        <v>0</v>
      </c>
    </row>
    <row r="188" spans="2:49" outlineLevel="1" x14ac:dyDescent="0.25">
      <c r="AH188" s="9"/>
      <c r="AJ188" s="9"/>
      <c r="AL188" s="9"/>
      <c r="AN188" s="9"/>
      <c r="AO188" s="9"/>
      <c r="AP188" s="9"/>
      <c r="AQ188" s="9"/>
      <c r="AR188" s="9"/>
      <c r="AT188" s="9"/>
    </row>
    <row r="189" spans="2:49" outlineLevel="1" x14ac:dyDescent="0.25">
      <c r="B189" s="3" t="s">
        <v>12</v>
      </c>
      <c r="C189" s="3"/>
      <c r="D189" s="4">
        <f t="shared" ref="D189:O189" si="219">SUM(D176:D188)</f>
        <v>95155</v>
      </c>
      <c r="E189" s="12">
        <f t="shared" si="219"/>
        <v>4412817</v>
      </c>
      <c r="F189" s="4">
        <f t="shared" si="219"/>
        <v>41996</v>
      </c>
      <c r="G189" s="12">
        <f t="shared" si="219"/>
        <v>2095748</v>
      </c>
      <c r="H189" s="4">
        <f t="shared" si="219"/>
        <v>19432</v>
      </c>
      <c r="I189" s="12">
        <f t="shared" si="219"/>
        <v>760429</v>
      </c>
      <c r="J189" s="4">
        <f t="shared" si="219"/>
        <v>1814450</v>
      </c>
      <c r="K189" s="12">
        <f t="shared" si="219"/>
        <v>99941332</v>
      </c>
      <c r="L189" s="4">
        <f t="shared" si="219"/>
        <v>65468</v>
      </c>
      <c r="M189" s="12">
        <f t="shared" si="219"/>
        <v>3704554</v>
      </c>
      <c r="N189" s="4">
        <f t="shared" si="219"/>
        <v>92114</v>
      </c>
      <c r="O189" s="12">
        <f t="shared" si="219"/>
        <v>5709452</v>
      </c>
      <c r="P189" s="4">
        <f>SUM(P176:P188)</f>
        <v>163</v>
      </c>
      <c r="Q189" s="12">
        <f>SUM(Q176:Q188)</f>
        <v>10336</v>
      </c>
      <c r="R189" s="4">
        <f>SUM(R176:R188)</f>
        <v>297</v>
      </c>
      <c r="S189" s="12">
        <f>SUM(S176:S188)</f>
        <v>19917</v>
      </c>
      <c r="T189" s="4">
        <f t="shared" ref="T189:U189" si="220">SUM(T176:T188)</f>
        <v>2129075</v>
      </c>
      <c r="U189" s="12">
        <f t="shared" si="220"/>
        <v>116654585</v>
      </c>
      <c r="Z189" s="12" t="e">
        <f>AVERAGE(Z176:Z188)</f>
        <v>#DIV/0!</v>
      </c>
      <c r="AA189" s="12">
        <f t="shared" ref="AA189:AC189" si="221">AVERAGE(AA176:AA188)</f>
        <v>0</v>
      </c>
      <c r="AB189" s="12" t="e">
        <f t="shared" si="221"/>
        <v>#DIV/0!</v>
      </c>
      <c r="AC189" s="16">
        <f t="shared" si="221"/>
        <v>0</v>
      </c>
      <c r="AE189" s="3" t="s">
        <v>12</v>
      </c>
      <c r="AF189" s="3"/>
      <c r="AG189" s="4">
        <f t="shared" ref="AG189:AT189" si="222">SUM(AG176:AG188)</f>
        <v>156583</v>
      </c>
      <c r="AH189" s="12">
        <f t="shared" si="222"/>
        <v>7268994</v>
      </c>
      <c r="AI189" s="4">
        <f t="shared" si="222"/>
        <v>1814450</v>
      </c>
      <c r="AJ189" s="12">
        <f t="shared" si="222"/>
        <v>99941332</v>
      </c>
      <c r="AK189" s="4">
        <f t="shared" si="222"/>
        <v>65468</v>
      </c>
      <c r="AL189" s="12">
        <f t="shared" si="222"/>
        <v>3704554</v>
      </c>
      <c r="AM189" s="4">
        <f t="shared" si="222"/>
        <v>92114</v>
      </c>
      <c r="AN189" s="12">
        <f t="shared" si="222"/>
        <v>5709452</v>
      </c>
      <c r="AO189" s="4">
        <f t="shared" si="222"/>
        <v>163</v>
      </c>
      <c r="AP189" s="12">
        <f t="shared" si="222"/>
        <v>10336</v>
      </c>
      <c r="AQ189" s="4">
        <f t="shared" si="222"/>
        <v>297</v>
      </c>
      <c r="AR189" s="12">
        <f t="shared" si="222"/>
        <v>19917</v>
      </c>
      <c r="AS189" s="4">
        <f t="shared" si="222"/>
        <v>2129075</v>
      </c>
      <c r="AT189" s="12">
        <f t="shared" si="222"/>
        <v>116654585</v>
      </c>
    </row>
    <row r="190" spans="2:49" outlineLevel="1" x14ac:dyDescent="0.25">
      <c r="J190" s="46" t="str">
        <f>+$B$171</f>
        <v>Aforo e Ingreso - COBI</v>
      </c>
      <c r="K190" s="9" t="s">
        <v>84</v>
      </c>
      <c r="L190" s="15">
        <f>AVERAGE(L176:L187)</f>
        <v>5455.666666666667</v>
      </c>
      <c r="M190" s="60">
        <f>AVERAGE(M176:M187)</f>
        <v>308712.83333333331</v>
      </c>
      <c r="T190" s="15">
        <f>AVERAGE(T176:T187)</f>
        <v>177422.91666666666</v>
      </c>
      <c r="U190" s="28">
        <f>AVERAGE(U176:U187)</f>
        <v>9721215.416666666</v>
      </c>
    </row>
    <row r="191" spans="2:49" outlineLevel="1" x14ac:dyDescent="0.25">
      <c r="B191" s="5" t="s">
        <v>14</v>
      </c>
      <c r="J191" s="46" t="str">
        <f>+$B$171</f>
        <v>Aforo e Ingreso - COBI</v>
      </c>
      <c r="K191" s="9" t="s">
        <v>85</v>
      </c>
      <c r="L191" s="26">
        <f>+L190/$L$316</f>
        <v>2.6247611502634462E-2</v>
      </c>
      <c r="M191" s="36">
        <f>+M190/$M$316</f>
        <v>1.0362667896531546E-2</v>
      </c>
      <c r="N191" s="18"/>
      <c r="O191" s="19"/>
      <c r="P191" s="19"/>
      <c r="Q191" s="19"/>
      <c r="R191" s="19"/>
      <c r="S191" s="19"/>
      <c r="T191" s="36">
        <f>+L190/T190</f>
        <v>3.0749503892535494E-2</v>
      </c>
      <c r="U191" s="62">
        <f>+M190/U190</f>
        <v>3.1756608623655896E-2</v>
      </c>
    </row>
    <row r="192" spans="2:49" outlineLevel="1" x14ac:dyDescent="0.25">
      <c r="B192" s="5" t="s">
        <v>51</v>
      </c>
      <c r="L192" s="26"/>
      <c r="M192" s="26"/>
    </row>
    <row r="193" spans="1:49" outlineLevel="1" x14ac:dyDescent="0.25">
      <c r="B193" s="5"/>
    </row>
    <row r="194" spans="1:49" outlineLevel="1" x14ac:dyDescent="0.25">
      <c r="D194" s="89" t="s">
        <v>15</v>
      </c>
      <c r="E194" s="90"/>
      <c r="F194" s="89" t="s">
        <v>71</v>
      </c>
      <c r="G194" s="90"/>
      <c r="H194" s="89" t="s">
        <v>16</v>
      </c>
      <c r="I194" s="90"/>
      <c r="J194" s="89" t="s">
        <v>17</v>
      </c>
      <c r="K194" s="93"/>
      <c r="L194" s="89" t="s">
        <v>18</v>
      </c>
      <c r="M194" s="93"/>
      <c r="N194" s="89" t="s">
        <v>13</v>
      </c>
      <c r="O194" s="93"/>
      <c r="P194" s="89" t="s">
        <v>34</v>
      </c>
      <c r="Q194" s="93"/>
      <c r="R194" s="89" t="s">
        <v>87</v>
      </c>
      <c r="S194" s="93"/>
      <c r="T194" s="89" t="s">
        <v>12</v>
      </c>
      <c r="U194" s="93"/>
      <c r="AG194" s="89" t="s">
        <v>69</v>
      </c>
      <c r="AH194" s="90"/>
      <c r="AI194" s="89" t="s">
        <v>17</v>
      </c>
      <c r="AJ194" s="93"/>
      <c r="AK194" s="89" t="s">
        <v>18</v>
      </c>
      <c r="AL194" s="93"/>
      <c r="AM194" s="89" t="s">
        <v>13</v>
      </c>
      <c r="AN194" s="93"/>
      <c r="AO194" s="89" t="s">
        <v>34</v>
      </c>
      <c r="AP194" s="93"/>
      <c r="AQ194" s="89" t="s">
        <v>87</v>
      </c>
      <c r="AR194" s="93"/>
      <c r="AS194" s="89" t="s">
        <v>12</v>
      </c>
      <c r="AT194" s="93"/>
    </row>
    <row r="195" spans="1:49" outlineLevel="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T195" s="7" t="s">
        <v>2</v>
      </c>
      <c r="U195" s="10" t="s">
        <v>3</v>
      </c>
      <c r="Z195" s="33">
        <v>2021</v>
      </c>
      <c r="AA195" s="34">
        <v>0.63375379242902985</v>
      </c>
      <c r="AB195" s="33">
        <f>+Z195</f>
        <v>2021</v>
      </c>
      <c r="AC195" s="35">
        <v>7.3423556934406843E-3</v>
      </c>
      <c r="AE195" s="7" t="s">
        <v>0</v>
      </c>
      <c r="AF195" s="7" t="s">
        <v>1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</row>
    <row r="196" spans="1:49" outlineLevel="1" x14ac:dyDescent="0.25">
      <c r="AH196" s="9"/>
      <c r="AJ196" s="9"/>
      <c r="AL196" s="9"/>
      <c r="AN196" s="9"/>
      <c r="AO196" s="9"/>
      <c r="AP196" s="9"/>
      <c r="AQ196" s="9"/>
      <c r="AR196" s="9"/>
      <c r="AT196" s="9"/>
    </row>
    <row r="197" spans="1:49" outlineLevel="1" x14ac:dyDescent="0.25">
      <c r="B197" s="2" t="s">
        <v>5</v>
      </c>
      <c r="C197" s="2">
        <v>2022</v>
      </c>
      <c r="D197" s="1">
        <v>14194</v>
      </c>
      <c r="E197" s="11">
        <v>1329242</v>
      </c>
      <c r="F197" s="1">
        <v>3477</v>
      </c>
      <c r="G197" s="11">
        <v>339131</v>
      </c>
      <c r="H197" s="1">
        <v>4692</v>
      </c>
      <c r="I197" s="11">
        <v>464192</v>
      </c>
      <c r="J197" s="1">
        <v>223237</v>
      </c>
      <c r="K197" s="11">
        <v>31824716</v>
      </c>
      <c r="L197" s="1">
        <v>32351</v>
      </c>
      <c r="M197" s="11">
        <v>3942302</v>
      </c>
      <c r="N197" s="1">
        <v>11331</v>
      </c>
      <c r="O197" s="11">
        <v>2115901</v>
      </c>
      <c r="P197" s="8">
        <v>0</v>
      </c>
      <c r="Q197" s="11">
        <v>0</v>
      </c>
      <c r="R197" s="8">
        <v>0</v>
      </c>
      <c r="S197" s="11">
        <v>0</v>
      </c>
      <c r="T197" s="53">
        <f>N197+L197+J197+H197+D197+P197+F197+R197</f>
        <v>289282</v>
      </c>
      <c r="U197" s="54">
        <f t="shared" ref="U197:U208" si="223">O197+M197+K197+I197+E197+Q197+G197+S197</f>
        <v>40015484</v>
      </c>
      <c r="V197" s="2" t="s">
        <v>65</v>
      </c>
      <c r="Z197" s="30"/>
      <c r="AA197" s="30">
        <f>+Z197/J197</f>
        <v>0</v>
      </c>
      <c r="AB197" s="31"/>
      <c r="AC197" s="32">
        <f>+AB197/K197</f>
        <v>0</v>
      </c>
      <c r="AE197" s="2" t="s">
        <v>5</v>
      </c>
      <c r="AF197" s="2">
        <v>2021</v>
      </c>
      <c r="AG197" s="1">
        <f t="shared" ref="AG197:AG208" si="224">D197+H197+F197</f>
        <v>22363</v>
      </c>
      <c r="AH197" s="11">
        <f t="shared" ref="AH197:AH208" si="225">E197+I197+G197</f>
        <v>2132565</v>
      </c>
      <c r="AI197" s="1">
        <f t="shared" ref="AI197:AI208" si="226">+J197</f>
        <v>223237</v>
      </c>
      <c r="AJ197" s="11">
        <f t="shared" ref="AJ197:AJ208" si="227">+K197</f>
        <v>31824716</v>
      </c>
      <c r="AK197" s="8">
        <f t="shared" ref="AK197:AK208" si="228">+L197</f>
        <v>32351</v>
      </c>
      <c r="AL197" s="11">
        <f t="shared" ref="AL197:AL208" si="229">+M197</f>
        <v>3942302</v>
      </c>
      <c r="AM197" s="8">
        <f t="shared" ref="AM197:AM208" si="230">+N197</f>
        <v>11331</v>
      </c>
      <c r="AN197" s="11">
        <f t="shared" ref="AN197:AN208" si="231">+O197</f>
        <v>2115901</v>
      </c>
      <c r="AO197" s="8">
        <f t="shared" ref="AO197:AO208" si="232">+P197</f>
        <v>0</v>
      </c>
      <c r="AP197" s="11">
        <f t="shared" ref="AP197:AP208" si="233">+Q197</f>
        <v>0</v>
      </c>
      <c r="AQ197" s="11">
        <f t="shared" ref="AQ197:AQ208" si="234">+R197</f>
        <v>0</v>
      </c>
      <c r="AR197" s="11">
        <f t="shared" ref="AR197:AR208" si="235">+S197</f>
        <v>0</v>
      </c>
      <c r="AS197" s="8">
        <f>AO197+AM197+AK197+AI197+AG197+AQ197</f>
        <v>289282</v>
      </c>
      <c r="AT197" s="11">
        <f t="shared" ref="AT197:AT208" si="236">AP197+AN197+AL197+AJ197+AH197+AR197</f>
        <v>40015484</v>
      </c>
      <c r="AU197" s="2" t="str">
        <f t="shared" ref="AU197:AU208" si="237">+V197</f>
        <v>ACCSA</v>
      </c>
      <c r="AV197" s="37">
        <f t="shared" ref="AV197:AV208" si="238">+AS197-T197</f>
        <v>0</v>
      </c>
      <c r="AW197" s="37">
        <f t="shared" ref="AW197:AW208" si="239">+AT197-U197</f>
        <v>0</v>
      </c>
    </row>
    <row r="198" spans="1:49" outlineLevel="1" x14ac:dyDescent="0.25">
      <c r="B198" s="2" t="s">
        <v>6</v>
      </c>
      <c r="C198" s="2">
        <v>2022</v>
      </c>
      <c r="D198" s="1">
        <v>12976</v>
      </c>
      <c r="E198" s="11">
        <v>1342366</v>
      </c>
      <c r="F198" s="1">
        <v>3138</v>
      </c>
      <c r="G198" s="11">
        <v>309178</v>
      </c>
      <c r="H198" s="1">
        <v>4448</v>
      </c>
      <c r="I198" s="11">
        <v>473437</v>
      </c>
      <c r="J198" s="1">
        <v>213225</v>
      </c>
      <c r="K198" s="11">
        <v>30856659</v>
      </c>
      <c r="L198" s="1">
        <v>28700</v>
      </c>
      <c r="M198" s="11">
        <v>3639295</v>
      </c>
      <c r="N198" s="1">
        <v>11098</v>
      </c>
      <c r="O198" s="11">
        <v>2119619</v>
      </c>
      <c r="P198" s="8">
        <v>0</v>
      </c>
      <c r="Q198" s="11">
        <v>0</v>
      </c>
      <c r="R198" s="8">
        <v>0</v>
      </c>
      <c r="S198" s="11">
        <v>0</v>
      </c>
      <c r="T198" s="53">
        <f t="shared" ref="T198:T208" si="240">N198+L198+J198+H198+D198+P198+F198+R198</f>
        <v>273585</v>
      </c>
      <c r="U198" s="54">
        <f t="shared" si="223"/>
        <v>38740554</v>
      </c>
      <c r="V198" s="2" t="s">
        <v>65</v>
      </c>
      <c r="Z198" s="30"/>
      <c r="AA198" s="30">
        <f t="shared" ref="AA198:AA208" si="241">+Z198/J198</f>
        <v>0</v>
      </c>
      <c r="AB198" s="31"/>
      <c r="AC198" s="32">
        <f t="shared" ref="AC198:AC208" si="242">+AB198/K198</f>
        <v>0</v>
      </c>
      <c r="AE198" s="2" t="s">
        <v>6</v>
      </c>
      <c r="AF198" s="2">
        <v>2021</v>
      </c>
      <c r="AG198" s="1">
        <f t="shared" si="224"/>
        <v>20562</v>
      </c>
      <c r="AH198" s="11">
        <f t="shared" si="225"/>
        <v>2124981</v>
      </c>
      <c r="AI198" s="1">
        <f t="shared" si="226"/>
        <v>213225</v>
      </c>
      <c r="AJ198" s="11">
        <f t="shared" si="227"/>
        <v>30856659</v>
      </c>
      <c r="AK198" s="8">
        <f t="shared" si="228"/>
        <v>28700</v>
      </c>
      <c r="AL198" s="11">
        <f t="shared" si="229"/>
        <v>3639295</v>
      </c>
      <c r="AM198" s="8">
        <f t="shared" si="230"/>
        <v>11098</v>
      </c>
      <c r="AN198" s="11">
        <f t="shared" si="231"/>
        <v>2119619</v>
      </c>
      <c r="AO198" s="8">
        <f t="shared" si="232"/>
        <v>0</v>
      </c>
      <c r="AP198" s="11">
        <f t="shared" si="233"/>
        <v>0</v>
      </c>
      <c r="AQ198" s="11">
        <f t="shared" si="234"/>
        <v>0</v>
      </c>
      <c r="AR198" s="11">
        <f t="shared" si="235"/>
        <v>0</v>
      </c>
      <c r="AS198" s="8">
        <f t="shared" ref="AS198:AS208" si="243">AO198+AM198+AK198+AI198+AG198+AQ198</f>
        <v>273585</v>
      </c>
      <c r="AT198" s="11">
        <f t="shared" si="236"/>
        <v>38740554</v>
      </c>
      <c r="AU198" s="2" t="str">
        <f t="shared" si="237"/>
        <v>ACCSA</v>
      </c>
      <c r="AV198" s="37">
        <f t="shared" si="238"/>
        <v>0</v>
      </c>
      <c r="AW198" s="37">
        <f t="shared" si="239"/>
        <v>0</v>
      </c>
    </row>
    <row r="199" spans="1:49" outlineLevel="1" x14ac:dyDescent="0.25">
      <c r="B199" s="2" t="s">
        <v>7</v>
      </c>
      <c r="C199" s="2">
        <v>2022</v>
      </c>
      <c r="D199" s="1">
        <v>16534</v>
      </c>
      <c r="E199" s="11">
        <v>1793059</v>
      </c>
      <c r="F199" s="1">
        <v>3649</v>
      </c>
      <c r="G199" s="11">
        <v>381874</v>
      </c>
      <c r="H199" s="1">
        <v>5571</v>
      </c>
      <c r="I199" s="11">
        <v>593156</v>
      </c>
      <c r="J199" s="1">
        <v>256357</v>
      </c>
      <c r="K199" s="11">
        <v>36848298</v>
      </c>
      <c r="L199" s="1">
        <v>34612</v>
      </c>
      <c r="M199" s="11">
        <v>4337026</v>
      </c>
      <c r="N199" s="1">
        <v>13337</v>
      </c>
      <c r="O199" s="11">
        <v>2468979</v>
      </c>
      <c r="P199" s="8">
        <v>0</v>
      </c>
      <c r="Q199" s="11">
        <v>0</v>
      </c>
      <c r="R199" s="8">
        <v>0</v>
      </c>
      <c r="S199" s="11">
        <v>0</v>
      </c>
      <c r="T199" s="53">
        <f t="shared" ref="T199" si="244">N199+L199+J199+H199+D199+P199+F199+R199</f>
        <v>330060</v>
      </c>
      <c r="U199" s="54">
        <f t="shared" ref="U199" si="245">O199+M199+K199+I199+E199+Q199+G199+S199</f>
        <v>46422392</v>
      </c>
      <c r="V199" s="2" t="s">
        <v>65</v>
      </c>
      <c r="Z199" s="30"/>
      <c r="AA199" s="30">
        <f t="shared" si="241"/>
        <v>0</v>
      </c>
      <c r="AB199" s="31"/>
      <c r="AC199" s="32">
        <f t="shared" si="242"/>
        <v>0</v>
      </c>
      <c r="AD199" s="13"/>
      <c r="AE199" s="2" t="s">
        <v>7</v>
      </c>
      <c r="AF199" s="2">
        <v>2021</v>
      </c>
      <c r="AG199" s="1">
        <f t="shared" si="224"/>
        <v>25754</v>
      </c>
      <c r="AH199" s="11">
        <f t="shared" si="225"/>
        <v>2768089</v>
      </c>
      <c r="AI199" s="1">
        <f t="shared" si="226"/>
        <v>256357</v>
      </c>
      <c r="AJ199" s="11">
        <f t="shared" si="227"/>
        <v>36848298</v>
      </c>
      <c r="AK199" s="8">
        <f t="shared" si="228"/>
        <v>34612</v>
      </c>
      <c r="AL199" s="11">
        <f t="shared" si="229"/>
        <v>4337026</v>
      </c>
      <c r="AM199" s="8">
        <f t="shared" si="230"/>
        <v>13337</v>
      </c>
      <c r="AN199" s="11">
        <f t="shared" si="231"/>
        <v>2468979</v>
      </c>
      <c r="AO199" s="8">
        <f t="shared" si="232"/>
        <v>0</v>
      </c>
      <c r="AP199" s="11">
        <f t="shared" si="233"/>
        <v>0</v>
      </c>
      <c r="AQ199" s="11">
        <f t="shared" si="234"/>
        <v>0</v>
      </c>
      <c r="AR199" s="11">
        <f t="shared" si="235"/>
        <v>0</v>
      </c>
      <c r="AS199" s="8">
        <f t="shared" si="243"/>
        <v>330060</v>
      </c>
      <c r="AT199" s="11">
        <f t="shared" si="236"/>
        <v>46422392</v>
      </c>
      <c r="AU199" s="2" t="str">
        <f t="shared" si="237"/>
        <v>ACCSA</v>
      </c>
      <c r="AV199" s="37">
        <f t="shared" si="238"/>
        <v>0</v>
      </c>
      <c r="AW199" s="37">
        <f t="shared" si="239"/>
        <v>0</v>
      </c>
    </row>
    <row r="200" spans="1:49" outlineLevel="1" x14ac:dyDescent="0.25">
      <c r="B200" s="2" t="s">
        <v>8</v>
      </c>
      <c r="C200" s="2">
        <v>2022</v>
      </c>
      <c r="D200" s="1">
        <v>18345</v>
      </c>
      <c r="E200" s="11">
        <v>1891185</v>
      </c>
      <c r="F200" s="1">
        <v>3732</v>
      </c>
      <c r="G200" s="11">
        <v>391454</v>
      </c>
      <c r="H200" s="1">
        <v>6329</v>
      </c>
      <c r="I200" s="11">
        <v>667383</v>
      </c>
      <c r="J200" s="1">
        <v>259582</v>
      </c>
      <c r="K200" s="11">
        <v>36024618</v>
      </c>
      <c r="L200" s="1">
        <v>36324</v>
      </c>
      <c r="M200" s="11">
        <v>4427754</v>
      </c>
      <c r="N200" s="1">
        <v>13347</v>
      </c>
      <c r="O200" s="11">
        <v>2450064</v>
      </c>
      <c r="P200" s="8">
        <v>0</v>
      </c>
      <c r="Q200" s="11">
        <v>0</v>
      </c>
      <c r="R200" s="8">
        <v>0</v>
      </c>
      <c r="S200" s="11">
        <v>0</v>
      </c>
      <c r="T200" s="53">
        <f t="shared" si="240"/>
        <v>337659</v>
      </c>
      <c r="U200" s="54">
        <f t="shared" si="223"/>
        <v>45852458</v>
      </c>
      <c r="V200" s="2" t="s">
        <v>65</v>
      </c>
      <c r="Z200" s="30"/>
      <c r="AA200" s="30">
        <f t="shared" si="241"/>
        <v>0</v>
      </c>
      <c r="AB200" s="31"/>
      <c r="AC200" s="32">
        <f t="shared" si="242"/>
        <v>0</v>
      </c>
      <c r="AD200" s="13"/>
      <c r="AE200" s="2" t="s">
        <v>8</v>
      </c>
      <c r="AF200" s="2">
        <v>2021</v>
      </c>
      <c r="AG200" s="1">
        <f t="shared" si="224"/>
        <v>28406</v>
      </c>
      <c r="AH200" s="11">
        <f t="shared" si="225"/>
        <v>2950022</v>
      </c>
      <c r="AI200" s="1">
        <f t="shared" si="226"/>
        <v>259582</v>
      </c>
      <c r="AJ200" s="11">
        <f t="shared" si="227"/>
        <v>36024618</v>
      </c>
      <c r="AK200" s="8">
        <f t="shared" si="228"/>
        <v>36324</v>
      </c>
      <c r="AL200" s="11">
        <f t="shared" si="229"/>
        <v>4427754</v>
      </c>
      <c r="AM200" s="8">
        <f t="shared" si="230"/>
        <v>13347</v>
      </c>
      <c r="AN200" s="11">
        <f t="shared" si="231"/>
        <v>2450064</v>
      </c>
      <c r="AO200" s="8">
        <f t="shared" si="232"/>
        <v>0</v>
      </c>
      <c r="AP200" s="11">
        <f t="shared" si="233"/>
        <v>0</v>
      </c>
      <c r="AQ200" s="11">
        <f t="shared" si="234"/>
        <v>0</v>
      </c>
      <c r="AR200" s="11">
        <f t="shared" si="235"/>
        <v>0</v>
      </c>
      <c r="AS200" s="8">
        <f t="shared" si="243"/>
        <v>337659</v>
      </c>
      <c r="AT200" s="11">
        <f t="shared" si="236"/>
        <v>45852458</v>
      </c>
      <c r="AU200" s="2" t="str">
        <f t="shared" si="237"/>
        <v>ACCSA</v>
      </c>
      <c r="AV200" s="37">
        <f t="shared" si="238"/>
        <v>0</v>
      </c>
      <c r="AW200" s="37">
        <f t="shared" si="239"/>
        <v>0</v>
      </c>
    </row>
    <row r="201" spans="1:49" outlineLevel="1" x14ac:dyDescent="0.25">
      <c r="B201" s="2" t="s">
        <v>9</v>
      </c>
      <c r="C201" s="2">
        <v>2022</v>
      </c>
      <c r="D201" s="1">
        <v>17370</v>
      </c>
      <c r="E201" s="11">
        <v>1880157</v>
      </c>
      <c r="F201" s="1">
        <v>3789</v>
      </c>
      <c r="G201" s="11">
        <v>435998</v>
      </c>
      <c r="H201" s="1">
        <v>6413</v>
      </c>
      <c r="I201" s="11">
        <v>696281</v>
      </c>
      <c r="J201" s="1">
        <v>261749</v>
      </c>
      <c r="K201" s="11">
        <v>37681079</v>
      </c>
      <c r="L201" s="1">
        <v>35960</v>
      </c>
      <c r="M201" s="11">
        <v>4451014</v>
      </c>
      <c r="N201" s="1">
        <v>14434</v>
      </c>
      <c r="O201" s="11">
        <v>2679784</v>
      </c>
      <c r="P201" s="8">
        <v>0</v>
      </c>
      <c r="Q201" s="11">
        <v>0</v>
      </c>
      <c r="R201" s="8">
        <v>0</v>
      </c>
      <c r="S201" s="11">
        <v>0</v>
      </c>
      <c r="T201" s="53">
        <f t="shared" si="240"/>
        <v>339715</v>
      </c>
      <c r="U201" s="54">
        <f t="shared" si="223"/>
        <v>47824313</v>
      </c>
      <c r="V201" s="2" t="s">
        <v>65</v>
      </c>
      <c r="Z201" s="30"/>
      <c r="AA201" s="30">
        <f t="shared" si="241"/>
        <v>0</v>
      </c>
      <c r="AB201" s="31"/>
      <c r="AC201" s="32">
        <f t="shared" si="242"/>
        <v>0</v>
      </c>
      <c r="AD201" s="13"/>
      <c r="AE201" s="2" t="s">
        <v>9</v>
      </c>
      <c r="AF201" s="2">
        <v>2021</v>
      </c>
      <c r="AG201" s="1">
        <f t="shared" si="224"/>
        <v>27572</v>
      </c>
      <c r="AH201" s="11">
        <f t="shared" si="225"/>
        <v>3012436</v>
      </c>
      <c r="AI201" s="1">
        <f t="shared" si="226"/>
        <v>261749</v>
      </c>
      <c r="AJ201" s="11">
        <f t="shared" si="227"/>
        <v>37681079</v>
      </c>
      <c r="AK201" s="8">
        <f t="shared" si="228"/>
        <v>35960</v>
      </c>
      <c r="AL201" s="11">
        <f t="shared" si="229"/>
        <v>4451014</v>
      </c>
      <c r="AM201" s="8">
        <f t="shared" si="230"/>
        <v>14434</v>
      </c>
      <c r="AN201" s="11">
        <f t="shared" si="231"/>
        <v>2679784</v>
      </c>
      <c r="AO201" s="8">
        <f t="shared" si="232"/>
        <v>0</v>
      </c>
      <c r="AP201" s="11">
        <f t="shared" si="233"/>
        <v>0</v>
      </c>
      <c r="AQ201" s="11">
        <f t="shared" si="234"/>
        <v>0</v>
      </c>
      <c r="AR201" s="11">
        <f t="shared" si="235"/>
        <v>0</v>
      </c>
      <c r="AS201" s="8">
        <f t="shared" si="243"/>
        <v>339715</v>
      </c>
      <c r="AT201" s="11">
        <f t="shared" si="236"/>
        <v>47824313</v>
      </c>
      <c r="AU201" s="2" t="str">
        <f t="shared" si="237"/>
        <v>ACCSA</v>
      </c>
      <c r="AV201" s="37">
        <f t="shared" si="238"/>
        <v>0</v>
      </c>
      <c r="AW201" s="37">
        <f t="shared" si="239"/>
        <v>0</v>
      </c>
    </row>
    <row r="202" spans="1:49" outlineLevel="1" x14ac:dyDescent="0.25">
      <c r="B202" s="2" t="s">
        <v>10</v>
      </c>
      <c r="C202" s="2">
        <v>2022</v>
      </c>
      <c r="D202" s="1">
        <v>16798</v>
      </c>
      <c r="E202" s="11">
        <v>1918793</v>
      </c>
      <c r="F202" s="1">
        <v>3587</v>
      </c>
      <c r="G202" s="11">
        <v>421051</v>
      </c>
      <c r="H202" s="1">
        <v>15326</v>
      </c>
      <c r="I202" s="11">
        <v>1551943</v>
      </c>
      <c r="J202" s="1">
        <v>259291</v>
      </c>
      <c r="K202" s="11">
        <v>37948852</v>
      </c>
      <c r="L202" s="1">
        <v>25876</v>
      </c>
      <c r="M202" s="11">
        <v>3507607</v>
      </c>
      <c r="N202" s="1">
        <v>14508</v>
      </c>
      <c r="O202" s="11">
        <v>2726786</v>
      </c>
      <c r="P202" s="8">
        <v>0</v>
      </c>
      <c r="Q202" s="11">
        <v>0</v>
      </c>
      <c r="R202" s="8">
        <v>0</v>
      </c>
      <c r="S202" s="11">
        <v>0</v>
      </c>
      <c r="T202" s="53">
        <f t="shared" si="240"/>
        <v>335386</v>
      </c>
      <c r="U202" s="54">
        <f t="shared" si="223"/>
        <v>48075032</v>
      </c>
      <c r="V202" s="2" t="s">
        <v>65</v>
      </c>
      <c r="Z202" s="30"/>
      <c r="AA202" s="30">
        <f t="shared" si="241"/>
        <v>0</v>
      </c>
      <c r="AB202" s="31"/>
      <c r="AC202" s="32">
        <f t="shared" si="242"/>
        <v>0</v>
      </c>
      <c r="AE202" s="2" t="s">
        <v>10</v>
      </c>
      <c r="AF202" s="2">
        <v>2021</v>
      </c>
      <c r="AG202" s="1">
        <f t="shared" si="224"/>
        <v>35711</v>
      </c>
      <c r="AH202" s="11">
        <f t="shared" si="225"/>
        <v>3891787</v>
      </c>
      <c r="AI202" s="1">
        <f t="shared" si="226"/>
        <v>259291</v>
      </c>
      <c r="AJ202" s="11">
        <f t="shared" si="227"/>
        <v>37948852</v>
      </c>
      <c r="AK202" s="8">
        <f t="shared" si="228"/>
        <v>25876</v>
      </c>
      <c r="AL202" s="11">
        <f t="shared" si="229"/>
        <v>3507607</v>
      </c>
      <c r="AM202" s="8">
        <f t="shared" si="230"/>
        <v>14508</v>
      </c>
      <c r="AN202" s="11">
        <f t="shared" si="231"/>
        <v>2726786</v>
      </c>
      <c r="AO202" s="8">
        <f t="shared" si="232"/>
        <v>0</v>
      </c>
      <c r="AP202" s="11">
        <f t="shared" si="233"/>
        <v>0</v>
      </c>
      <c r="AQ202" s="11">
        <f t="shared" si="234"/>
        <v>0</v>
      </c>
      <c r="AR202" s="11">
        <f t="shared" si="235"/>
        <v>0</v>
      </c>
      <c r="AS202" s="8">
        <f t="shared" si="243"/>
        <v>335386</v>
      </c>
      <c r="AT202" s="11">
        <f t="shared" si="236"/>
        <v>48075032</v>
      </c>
      <c r="AU202" s="2" t="str">
        <f t="shared" si="237"/>
        <v>ACCSA</v>
      </c>
      <c r="AV202" s="37">
        <f t="shared" si="238"/>
        <v>0</v>
      </c>
      <c r="AW202" s="37">
        <f t="shared" si="239"/>
        <v>0</v>
      </c>
    </row>
    <row r="203" spans="1:49" outlineLevel="1" x14ac:dyDescent="0.25">
      <c r="B203" s="2" t="s">
        <v>11</v>
      </c>
      <c r="C203" s="2">
        <v>2022</v>
      </c>
      <c r="D203" s="1">
        <v>17977</v>
      </c>
      <c r="E203" s="11">
        <v>1959852</v>
      </c>
      <c r="F203" s="1">
        <v>3486</v>
      </c>
      <c r="G203" s="11">
        <v>367598</v>
      </c>
      <c r="H203" s="1">
        <v>22810</v>
      </c>
      <c r="I203" s="11">
        <v>2326347</v>
      </c>
      <c r="J203" s="1">
        <v>263397</v>
      </c>
      <c r="K203" s="11">
        <v>37612339</v>
      </c>
      <c r="L203" s="1">
        <v>20752</v>
      </c>
      <c r="M203" s="11">
        <v>2943193</v>
      </c>
      <c r="N203" s="1">
        <v>14667</v>
      </c>
      <c r="O203" s="11">
        <v>2694508</v>
      </c>
      <c r="P203" s="8">
        <v>0</v>
      </c>
      <c r="Q203" s="11">
        <v>0</v>
      </c>
      <c r="R203" s="8">
        <v>0</v>
      </c>
      <c r="S203" s="11">
        <v>0</v>
      </c>
      <c r="T203" s="53">
        <f t="shared" si="240"/>
        <v>343089</v>
      </c>
      <c r="U203" s="54">
        <f t="shared" si="223"/>
        <v>47903837</v>
      </c>
      <c r="V203" s="2" t="s">
        <v>65</v>
      </c>
      <c r="Z203" s="30"/>
      <c r="AA203" s="30">
        <f t="shared" si="241"/>
        <v>0</v>
      </c>
      <c r="AB203" s="31"/>
      <c r="AC203" s="32">
        <f t="shared" si="242"/>
        <v>0</v>
      </c>
      <c r="AE203" s="2" t="s">
        <v>11</v>
      </c>
      <c r="AF203" s="2">
        <v>2021</v>
      </c>
      <c r="AG203" s="1">
        <f t="shared" si="224"/>
        <v>44273</v>
      </c>
      <c r="AH203" s="11">
        <f t="shared" si="225"/>
        <v>4653797</v>
      </c>
      <c r="AI203" s="1">
        <f t="shared" si="226"/>
        <v>263397</v>
      </c>
      <c r="AJ203" s="11">
        <f t="shared" si="227"/>
        <v>37612339</v>
      </c>
      <c r="AK203" s="8">
        <f t="shared" si="228"/>
        <v>20752</v>
      </c>
      <c r="AL203" s="11">
        <f t="shared" si="229"/>
        <v>2943193</v>
      </c>
      <c r="AM203" s="8">
        <f t="shared" si="230"/>
        <v>14667</v>
      </c>
      <c r="AN203" s="11">
        <f t="shared" si="231"/>
        <v>2694508</v>
      </c>
      <c r="AO203" s="8">
        <f t="shared" si="232"/>
        <v>0</v>
      </c>
      <c r="AP203" s="11">
        <f t="shared" si="233"/>
        <v>0</v>
      </c>
      <c r="AQ203" s="11">
        <f t="shared" si="234"/>
        <v>0</v>
      </c>
      <c r="AR203" s="11">
        <f t="shared" si="235"/>
        <v>0</v>
      </c>
      <c r="AS203" s="8">
        <f t="shared" si="243"/>
        <v>343089</v>
      </c>
      <c r="AT203" s="11">
        <f t="shared" si="236"/>
        <v>47903837</v>
      </c>
      <c r="AU203" s="2" t="str">
        <f t="shared" si="237"/>
        <v>ACCSA</v>
      </c>
      <c r="AV203" s="37">
        <f t="shared" si="238"/>
        <v>0</v>
      </c>
      <c r="AW203" s="37">
        <f t="shared" si="239"/>
        <v>0</v>
      </c>
    </row>
    <row r="204" spans="1:49" outlineLevel="1" x14ac:dyDescent="0.25">
      <c r="B204" s="2" t="s">
        <v>4</v>
      </c>
      <c r="C204" s="2">
        <v>2022</v>
      </c>
      <c r="D204" s="1">
        <v>17977</v>
      </c>
      <c r="E204" s="11">
        <v>1924121</v>
      </c>
      <c r="F204" s="1">
        <v>3729</v>
      </c>
      <c r="G204" s="11">
        <v>403835</v>
      </c>
      <c r="H204" s="1">
        <v>24517</v>
      </c>
      <c r="I204" s="11">
        <v>2477475</v>
      </c>
      <c r="J204" s="1">
        <v>275621</v>
      </c>
      <c r="K204" s="11">
        <v>38431120</v>
      </c>
      <c r="L204" s="1">
        <v>20967</v>
      </c>
      <c r="M204" s="11">
        <v>2963516</v>
      </c>
      <c r="N204" s="1">
        <v>15353</v>
      </c>
      <c r="O204" s="11">
        <v>2788570</v>
      </c>
      <c r="P204" s="8">
        <v>0</v>
      </c>
      <c r="Q204" s="11">
        <v>0</v>
      </c>
      <c r="R204" s="8">
        <v>0</v>
      </c>
      <c r="S204" s="11">
        <v>0</v>
      </c>
      <c r="T204" s="53">
        <f t="shared" si="240"/>
        <v>358164</v>
      </c>
      <c r="U204" s="54">
        <f t="shared" si="223"/>
        <v>48988637</v>
      </c>
      <c r="V204" s="2" t="s">
        <v>65</v>
      </c>
      <c r="Z204" s="30"/>
      <c r="AA204" s="30">
        <f t="shared" si="241"/>
        <v>0</v>
      </c>
      <c r="AB204" s="31"/>
      <c r="AC204" s="32">
        <f t="shared" si="242"/>
        <v>0</v>
      </c>
      <c r="AE204" s="2" t="s">
        <v>4</v>
      </c>
      <c r="AF204" s="2">
        <v>2021</v>
      </c>
      <c r="AG204" s="1">
        <f t="shared" si="224"/>
        <v>46223</v>
      </c>
      <c r="AH204" s="11">
        <f t="shared" si="225"/>
        <v>4805431</v>
      </c>
      <c r="AI204" s="1">
        <f t="shared" si="226"/>
        <v>275621</v>
      </c>
      <c r="AJ204" s="11">
        <f t="shared" si="227"/>
        <v>38431120</v>
      </c>
      <c r="AK204" s="8">
        <f t="shared" si="228"/>
        <v>20967</v>
      </c>
      <c r="AL204" s="11">
        <f t="shared" si="229"/>
        <v>2963516</v>
      </c>
      <c r="AM204" s="8">
        <f t="shared" si="230"/>
        <v>15353</v>
      </c>
      <c r="AN204" s="11">
        <f t="shared" si="231"/>
        <v>2788570</v>
      </c>
      <c r="AO204" s="8">
        <f t="shared" si="232"/>
        <v>0</v>
      </c>
      <c r="AP204" s="11">
        <f t="shared" si="233"/>
        <v>0</v>
      </c>
      <c r="AQ204" s="11">
        <f t="shared" si="234"/>
        <v>0</v>
      </c>
      <c r="AR204" s="11">
        <f t="shared" si="235"/>
        <v>0</v>
      </c>
      <c r="AS204" s="8">
        <f t="shared" si="243"/>
        <v>358164</v>
      </c>
      <c r="AT204" s="11">
        <f t="shared" si="236"/>
        <v>48988637</v>
      </c>
      <c r="AU204" s="2" t="str">
        <f t="shared" si="237"/>
        <v>ACCSA</v>
      </c>
      <c r="AV204" s="37">
        <f t="shared" si="238"/>
        <v>0</v>
      </c>
      <c r="AW204" s="37">
        <f t="shared" si="239"/>
        <v>0</v>
      </c>
    </row>
    <row r="205" spans="1:49" outlineLevel="1" x14ac:dyDescent="0.25">
      <c r="B205" s="2" t="s">
        <v>28</v>
      </c>
      <c r="C205" s="2">
        <v>2022</v>
      </c>
      <c r="D205" s="1">
        <v>16138</v>
      </c>
      <c r="E205" s="11">
        <v>1752262</v>
      </c>
      <c r="F205" s="1">
        <v>3534</v>
      </c>
      <c r="G205" s="11">
        <v>393888</v>
      </c>
      <c r="H205" s="1">
        <v>25957</v>
      </c>
      <c r="I205" s="11">
        <v>2667303</v>
      </c>
      <c r="J205" s="1">
        <v>260891</v>
      </c>
      <c r="K205" s="11">
        <v>37223854</v>
      </c>
      <c r="L205" s="1">
        <v>16364</v>
      </c>
      <c r="M205" s="11">
        <v>2509138</v>
      </c>
      <c r="N205" s="1">
        <v>14349</v>
      </c>
      <c r="O205" s="11">
        <v>2504434</v>
      </c>
      <c r="P205" s="8">
        <v>0</v>
      </c>
      <c r="Q205" s="11">
        <v>0</v>
      </c>
      <c r="R205" s="8">
        <v>0</v>
      </c>
      <c r="S205" s="11">
        <v>0</v>
      </c>
      <c r="T205" s="53">
        <f t="shared" si="240"/>
        <v>337233</v>
      </c>
      <c r="U205" s="54">
        <f t="shared" si="223"/>
        <v>47050879</v>
      </c>
      <c r="V205" s="2" t="s">
        <v>65</v>
      </c>
      <c r="Z205" s="30"/>
      <c r="AA205" s="30">
        <f t="shared" si="241"/>
        <v>0</v>
      </c>
      <c r="AB205" s="31"/>
      <c r="AC205" s="32">
        <f t="shared" si="242"/>
        <v>0</v>
      </c>
      <c r="AE205" s="2" t="s">
        <v>28</v>
      </c>
      <c r="AF205" s="2">
        <v>2021</v>
      </c>
      <c r="AG205" s="1">
        <f t="shared" si="224"/>
        <v>45629</v>
      </c>
      <c r="AH205" s="11">
        <f t="shared" si="225"/>
        <v>4813453</v>
      </c>
      <c r="AI205" s="1">
        <f t="shared" si="226"/>
        <v>260891</v>
      </c>
      <c r="AJ205" s="11">
        <f t="shared" si="227"/>
        <v>37223854</v>
      </c>
      <c r="AK205" s="8">
        <f t="shared" si="228"/>
        <v>16364</v>
      </c>
      <c r="AL205" s="11">
        <f t="shared" si="229"/>
        <v>2509138</v>
      </c>
      <c r="AM205" s="8">
        <f t="shared" si="230"/>
        <v>14349</v>
      </c>
      <c r="AN205" s="11">
        <f t="shared" si="231"/>
        <v>2504434</v>
      </c>
      <c r="AO205" s="8">
        <f t="shared" si="232"/>
        <v>0</v>
      </c>
      <c r="AP205" s="11">
        <f t="shared" si="233"/>
        <v>0</v>
      </c>
      <c r="AQ205" s="11">
        <f t="shared" si="234"/>
        <v>0</v>
      </c>
      <c r="AR205" s="11">
        <f t="shared" si="235"/>
        <v>0</v>
      </c>
      <c r="AS205" s="8">
        <f t="shared" si="243"/>
        <v>337233</v>
      </c>
      <c r="AT205" s="11">
        <f t="shared" si="236"/>
        <v>47050879</v>
      </c>
      <c r="AU205" s="2" t="str">
        <f t="shared" si="237"/>
        <v>ACCSA</v>
      </c>
      <c r="AV205" s="37">
        <f t="shared" si="238"/>
        <v>0</v>
      </c>
      <c r="AW205" s="37">
        <f t="shared" si="239"/>
        <v>0</v>
      </c>
    </row>
    <row r="206" spans="1:49" outlineLevel="1" x14ac:dyDescent="0.25">
      <c r="B206" s="2" t="s">
        <v>29</v>
      </c>
      <c r="C206" s="2">
        <v>2022</v>
      </c>
      <c r="D206" s="1">
        <v>16772</v>
      </c>
      <c r="E206" s="11">
        <v>1897495</v>
      </c>
      <c r="F206" s="1">
        <v>3611</v>
      </c>
      <c r="G206" s="11">
        <v>403373</v>
      </c>
      <c r="H206" s="1">
        <v>30042</v>
      </c>
      <c r="I206" s="11">
        <v>3085778</v>
      </c>
      <c r="J206" s="1">
        <v>268561</v>
      </c>
      <c r="K206" s="11">
        <v>38344412</v>
      </c>
      <c r="L206" s="1">
        <v>15040</v>
      </c>
      <c r="M206" s="11">
        <v>2303319</v>
      </c>
      <c r="N206" s="1">
        <v>14743</v>
      </c>
      <c r="O206" s="11">
        <v>2566902</v>
      </c>
      <c r="P206" s="8">
        <v>0</v>
      </c>
      <c r="Q206" s="11">
        <v>0</v>
      </c>
      <c r="R206" s="8">
        <v>0</v>
      </c>
      <c r="S206" s="11">
        <v>0</v>
      </c>
      <c r="T206" s="53">
        <f t="shared" ref="T206" si="246">N206+L206+J206+H206+D206+P206+F206+R206</f>
        <v>348769</v>
      </c>
      <c r="U206" s="54">
        <f t="shared" ref="U206" si="247">O206+M206+K206+I206+E206+Q206+G206+S206</f>
        <v>48601279</v>
      </c>
      <c r="V206" s="2" t="s">
        <v>65</v>
      </c>
      <c r="Z206" s="30"/>
      <c r="AA206" s="30">
        <f t="shared" si="241"/>
        <v>0</v>
      </c>
      <c r="AB206" s="31"/>
      <c r="AC206" s="32">
        <f t="shared" si="242"/>
        <v>0</v>
      </c>
      <c r="AE206" s="2" t="s">
        <v>29</v>
      </c>
      <c r="AF206" s="2">
        <v>2021</v>
      </c>
      <c r="AG206" s="1">
        <f t="shared" si="224"/>
        <v>50425</v>
      </c>
      <c r="AH206" s="11">
        <f t="shared" si="225"/>
        <v>5386646</v>
      </c>
      <c r="AI206" s="1">
        <f t="shared" si="226"/>
        <v>268561</v>
      </c>
      <c r="AJ206" s="11">
        <f t="shared" si="227"/>
        <v>38344412</v>
      </c>
      <c r="AK206" s="8">
        <f t="shared" si="228"/>
        <v>15040</v>
      </c>
      <c r="AL206" s="11">
        <f t="shared" si="229"/>
        <v>2303319</v>
      </c>
      <c r="AM206" s="8">
        <f t="shared" si="230"/>
        <v>14743</v>
      </c>
      <c r="AN206" s="11">
        <f t="shared" si="231"/>
        <v>2566902</v>
      </c>
      <c r="AO206" s="8">
        <f t="shared" si="232"/>
        <v>0</v>
      </c>
      <c r="AP206" s="11">
        <f t="shared" si="233"/>
        <v>0</v>
      </c>
      <c r="AQ206" s="11">
        <f t="shared" si="234"/>
        <v>0</v>
      </c>
      <c r="AR206" s="11">
        <f t="shared" si="235"/>
        <v>0</v>
      </c>
      <c r="AS206" s="8">
        <f t="shared" si="243"/>
        <v>348769</v>
      </c>
      <c r="AT206" s="11">
        <f t="shared" si="236"/>
        <v>48601279</v>
      </c>
      <c r="AU206" s="2" t="str">
        <f t="shared" si="237"/>
        <v>ACCSA</v>
      </c>
      <c r="AV206" s="37">
        <f t="shared" si="238"/>
        <v>0</v>
      </c>
      <c r="AW206" s="37">
        <f t="shared" si="239"/>
        <v>0</v>
      </c>
    </row>
    <row r="207" spans="1:49" outlineLevel="1" x14ac:dyDescent="0.25">
      <c r="B207" s="2" t="s">
        <v>30</v>
      </c>
      <c r="C207" s="2">
        <v>2022</v>
      </c>
      <c r="D207" s="1">
        <v>16577</v>
      </c>
      <c r="E207" s="11">
        <v>1925540</v>
      </c>
      <c r="F207" s="1">
        <v>4150</v>
      </c>
      <c r="G207" s="11">
        <v>468726</v>
      </c>
      <c r="H207" s="1">
        <v>29236</v>
      </c>
      <c r="I207" s="11">
        <v>3156889</v>
      </c>
      <c r="J207" s="1">
        <v>263999</v>
      </c>
      <c r="K207" s="11">
        <v>39101960</v>
      </c>
      <c r="L207" s="1">
        <v>12998</v>
      </c>
      <c r="M207" s="11">
        <v>2111090</v>
      </c>
      <c r="N207" s="1">
        <v>14427</v>
      </c>
      <c r="O207" s="11">
        <v>2638508</v>
      </c>
      <c r="P207" s="1">
        <v>0</v>
      </c>
      <c r="Q207" s="11">
        <v>0</v>
      </c>
      <c r="R207" s="1">
        <v>0</v>
      </c>
      <c r="S207" s="11">
        <v>0</v>
      </c>
      <c r="T207" s="53">
        <f t="shared" si="240"/>
        <v>341387</v>
      </c>
      <c r="U207" s="54">
        <f t="shared" si="223"/>
        <v>49402713</v>
      </c>
      <c r="V207" s="2" t="s">
        <v>65</v>
      </c>
      <c r="Z207" s="30"/>
      <c r="AA207" s="30">
        <f t="shared" si="241"/>
        <v>0</v>
      </c>
      <c r="AB207" s="31"/>
      <c r="AC207" s="32">
        <f t="shared" si="242"/>
        <v>0</v>
      </c>
      <c r="AE207" s="2" t="s">
        <v>30</v>
      </c>
      <c r="AF207" s="2">
        <v>2021</v>
      </c>
      <c r="AG207" s="1">
        <f t="shared" si="224"/>
        <v>49963</v>
      </c>
      <c r="AH207" s="11">
        <f t="shared" si="225"/>
        <v>5551155</v>
      </c>
      <c r="AI207" s="1">
        <f t="shared" si="226"/>
        <v>263999</v>
      </c>
      <c r="AJ207" s="11">
        <f t="shared" si="227"/>
        <v>39101960</v>
      </c>
      <c r="AK207" s="8">
        <f t="shared" si="228"/>
        <v>12998</v>
      </c>
      <c r="AL207" s="11">
        <f t="shared" si="229"/>
        <v>2111090</v>
      </c>
      <c r="AM207" s="8">
        <f t="shared" si="230"/>
        <v>14427</v>
      </c>
      <c r="AN207" s="11">
        <f t="shared" si="231"/>
        <v>2638508</v>
      </c>
      <c r="AO207" s="8">
        <f t="shared" si="232"/>
        <v>0</v>
      </c>
      <c r="AP207" s="11">
        <f t="shared" si="233"/>
        <v>0</v>
      </c>
      <c r="AQ207" s="11">
        <f t="shared" si="234"/>
        <v>0</v>
      </c>
      <c r="AR207" s="11">
        <f t="shared" si="235"/>
        <v>0</v>
      </c>
      <c r="AS207" s="8">
        <f t="shared" si="243"/>
        <v>341387</v>
      </c>
      <c r="AT207" s="11">
        <f t="shared" si="236"/>
        <v>49402713</v>
      </c>
      <c r="AU207" s="2" t="str">
        <f t="shared" si="237"/>
        <v>ACCSA</v>
      </c>
      <c r="AV207" s="37">
        <f t="shared" si="238"/>
        <v>0</v>
      </c>
      <c r="AW207" s="37">
        <f t="shared" si="239"/>
        <v>0</v>
      </c>
    </row>
    <row r="208" spans="1:49" outlineLevel="1" x14ac:dyDescent="0.25">
      <c r="B208" s="2" t="s">
        <v>31</v>
      </c>
      <c r="C208" s="2">
        <v>2022</v>
      </c>
      <c r="D208" s="1">
        <v>20245</v>
      </c>
      <c r="E208" s="11">
        <v>2288129</v>
      </c>
      <c r="F208" s="1">
        <v>5302</v>
      </c>
      <c r="G208" s="11">
        <v>586058</v>
      </c>
      <c r="H208" s="1">
        <v>32821</v>
      </c>
      <c r="I208" s="11">
        <v>3704124</v>
      </c>
      <c r="J208" s="1">
        <v>281654</v>
      </c>
      <c r="K208" s="11">
        <v>41702948</v>
      </c>
      <c r="L208" s="1">
        <v>12498</v>
      </c>
      <c r="M208" s="11">
        <v>2118695</v>
      </c>
      <c r="N208" s="8">
        <v>15541</v>
      </c>
      <c r="O208" s="11">
        <v>2966800</v>
      </c>
      <c r="P208" s="8">
        <v>0</v>
      </c>
      <c r="Q208" s="11">
        <v>0</v>
      </c>
      <c r="R208" s="11">
        <v>0</v>
      </c>
      <c r="S208" s="11">
        <v>0</v>
      </c>
      <c r="T208" s="53">
        <f t="shared" si="240"/>
        <v>368061</v>
      </c>
      <c r="U208" s="54">
        <f t="shared" si="223"/>
        <v>53366754</v>
      </c>
      <c r="V208" s="2" t="s">
        <v>65</v>
      </c>
      <c r="X208" s="13"/>
      <c r="Z208" s="30"/>
      <c r="AA208" s="30">
        <f t="shared" si="241"/>
        <v>0</v>
      </c>
      <c r="AB208" s="31"/>
      <c r="AC208" s="32">
        <f t="shared" si="242"/>
        <v>0</v>
      </c>
      <c r="AE208" s="2" t="s">
        <v>31</v>
      </c>
      <c r="AF208" s="2">
        <v>2021</v>
      </c>
      <c r="AG208" s="1">
        <f t="shared" si="224"/>
        <v>58368</v>
      </c>
      <c r="AH208" s="11">
        <f t="shared" si="225"/>
        <v>6578311</v>
      </c>
      <c r="AI208" s="1">
        <f t="shared" si="226"/>
        <v>281654</v>
      </c>
      <c r="AJ208" s="11">
        <f t="shared" si="227"/>
        <v>41702948</v>
      </c>
      <c r="AK208" s="8">
        <f t="shared" si="228"/>
        <v>12498</v>
      </c>
      <c r="AL208" s="11">
        <f t="shared" si="229"/>
        <v>2118695</v>
      </c>
      <c r="AM208" s="8">
        <f t="shared" si="230"/>
        <v>15541</v>
      </c>
      <c r="AN208" s="11">
        <f t="shared" si="231"/>
        <v>2966800</v>
      </c>
      <c r="AO208" s="8">
        <f t="shared" si="232"/>
        <v>0</v>
      </c>
      <c r="AP208" s="11">
        <f t="shared" si="233"/>
        <v>0</v>
      </c>
      <c r="AQ208" s="11">
        <f t="shared" si="234"/>
        <v>0</v>
      </c>
      <c r="AR208" s="11">
        <f t="shared" si="235"/>
        <v>0</v>
      </c>
      <c r="AS208" s="8">
        <f t="shared" si="243"/>
        <v>368061</v>
      </c>
      <c r="AT208" s="11">
        <f t="shared" si="236"/>
        <v>53366754</v>
      </c>
      <c r="AU208" s="2" t="str">
        <f t="shared" si="237"/>
        <v>ACCSA</v>
      </c>
      <c r="AV208" s="37">
        <f t="shared" si="238"/>
        <v>0</v>
      </c>
      <c r="AW208" s="37">
        <f t="shared" si="239"/>
        <v>0</v>
      </c>
    </row>
    <row r="209" spans="1:49" outlineLevel="1" x14ac:dyDescent="0.25">
      <c r="AH209" s="9"/>
      <c r="AJ209" s="9"/>
      <c r="AL209" s="9"/>
      <c r="AN209" s="9"/>
      <c r="AO209" s="9"/>
      <c r="AP209" s="9"/>
      <c r="AQ209" s="9"/>
      <c r="AR209" s="9"/>
      <c r="AT209" s="9"/>
    </row>
    <row r="210" spans="1:49" outlineLevel="1" x14ac:dyDescent="0.25">
      <c r="B210" s="3" t="s">
        <v>12</v>
      </c>
      <c r="C210" s="3"/>
      <c r="D210" s="4">
        <f t="shared" ref="D210:U210" si="248">SUM(D197:D209)</f>
        <v>201903</v>
      </c>
      <c r="E210" s="12">
        <f t="shared" si="248"/>
        <v>21902201</v>
      </c>
      <c r="F210" s="4">
        <f t="shared" si="248"/>
        <v>45184</v>
      </c>
      <c r="G210" s="12">
        <f t="shared" si="248"/>
        <v>4902164</v>
      </c>
      <c r="H210" s="4">
        <f t="shared" si="248"/>
        <v>208162</v>
      </c>
      <c r="I210" s="12">
        <f t="shared" si="248"/>
        <v>21864308</v>
      </c>
      <c r="J210" s="4">
        <f t="shared" si="248"/>
        <v>3087564</v>
      </c>
      <c r="K210" s="12">
        <f t="shared" si="248"/>
        <v>443600855</v>
      </c>
      <c r="L210" s="4">
        <f t="shared" si="248"/>
        <v>292442</v>
      </c>
      <c r="M210" s="12">
        <f t="shared" si="248"/>
        <v>39253949</v>
      </c>
      <c r="N210" s="4">
        <f t="shared" si="248"/>
        <v>167135</v>
      </c>
      <c r="O210" s="12">
        <f t="shared" si="248"/>
        <v>30720855</v>
      </c>
      <c r="P210" s="4">
        <f>SUM(P197:P209)</f>
        <v>0</v>
      </c>
      <c r="Q210" s="12">
        <f>SUM(Q197:Q209)</f>
        <v>0</v>
      </c>
      <c r="R210" s="4">
        <f>SUM(R197:R209)</f>
        <v>0</v>
      </c>
      <c r="S210" s="12">
        <f>SUM(S197:S209)</f>
        <v>0</v>
      </c>
      <c r="T210" s="4">
        <f t="shared" si="248"/>
        <v>4002390</v>
      </c>
      <c r="U210" s="12">
        <f t="shared" si="248"/>
        <v>562244332</v>
      </c>
      <c r="Z210" s="12" t="e">
        <f>AVERAGE(Z197:Z209)</f>
        <v>#DIV/0!</v>
      </c>
      <c r="AA210" s="12">
        <f>AVERAGE(AA197:AA209)</f>
        <v>0</v>
      </c>
      <c r="AB210" s="12" t="e">
        <f t="shared" ref="AB210:AC210" si="249">AVERAGE(AB197:AB209)</f>
        <v>#DIV/0!</v>
      </c>
      <c r="AC210" s="16">
        <f t="shared" si="249"/>
        <v>0</v>
      </c>
      <c r="AE210" s="3" t="s">
        <v>12</v>
      </c>
      <c r="AF210" s="3"/>
      <c r="AG210" s="4">
        <f t="shared" ref="AG210:AT210" si="250">SUM(AG197:AG209)</f>
        <v>455249</v>
      </c>
      <c r="AH210" s="12">
        <f t="shared" si="250"/>
        <v>48668673</v>
      </c>
      <c r="AI210" s="4">
        <f t="shared" si="250"/>
        <v>3087564</v>
      </c>
      <c r="AJ210" s="12">
        <f t="shared" si="250"/>
        <v>443600855</v>
      </c>
      <c r="AK210" s="4">
        <f t="shared" si="250"/>
        <v>292442</v>
      </c>
      <c r="AL210" s="12">
        <f t="shared" si="250"/>
        <v>39253949</v>
      </c>
      <c r="AM210" s="4">
        <f t="shared" si="250"/>
        <v>167135</v>
      </c>
      <c r="AN210" s="12">
        <f t="shared" si="250"/>
        <v>30720855</v>
      </c>
      <c r="AO210" s="4">
        <f t="shared" si="250"/>
        <v>0</v>
      </c>
      <c r="AP210" s="12">
        <f t="shared" si="250"/>
        <v>0</v>
      </c>
      <c r="AQ210" s="4">
        <f t="shared" si="250"/>
        <v>0</v>
      </c>
      <c r="AR210" s="12">
        <f t="shared" si="250"/>
        <v>0</v>
      </c>
      <c r="AS210" s="4">
        <f t="shared" si="250"/>
        <v>4002390</v>
      </c>
      <c r="AT210" s="12">
        <f t="shared" si="250"/>
        <v>562244332</v>
      </c>
    </row>
    <row r="211" spans="1:49" outlineLevel="1" x14ac:dyDescent="0.25">
      <c r="J211" s="46" t="str">
        <f>+$B$192</f>
        <v>Aforo e Ingreso - ACCSA</v>
      </c>
      <c r="K211" s="9" t="s">
        <v>84</v>
      </c>
      <c r="L211" s="15">
        <f>AVERAGE(L197:L208)</f>
        <v>24370.166666666668</v>
      </c>
      <c r="M211" s="60">
        <f>AVERAGE(M197:M208)</f>
        <v>3271162.4166666665</v>
      </c>
      <c r="T211" s="15">
        <f>AVERAGE(T197:T208)</f>
        <v>333532.5</v>
      </c>
      <c r="U211" s="28">
        <f>AVERAGE(U197:U208)</f>
        <v>46853694.333333336</v>
      </c>
    </row>
    <row r="212" spans="1:49" outlineLevel="1" x14ac:dyDescent="0.25">
      <c r="B212" s="5" t="s">
        <v>14</v>
      </c>
      <c r="J212" s="46" t="str">
        <f>+$B$192</f>
        <v>Aforo e Ingreso - ACCSA</v>
      </c>
      <c r="K212" s="9" t="s">
        <v>85</v>
      </c>
      <c r="L212" s="26">
        <f>+L211/$L$316</f>
        <v>0.11724665490091996</v>
      </c>
      <c r="M212" s="36">
        <f>+M211/$M$316</f>
        <v>0.1098042131696249</v>
      </c>
      <c r="N212" s="18"/>
      <c r="O212" s="19"/>
      <c r="P212" s="19"/>
      <c r="Q212" s="19"/>
      <c r="R212" s="19"/>
      <c r="S212" s="19"/>
      <c r="T212" s="36">
        <f>+L211/T211</f>
        <v>7.3066842561569464E-2</v>
      </c>
      <c r="U212" s="62">
        <f>+M211/U211</f>
        <v>6.9816531294085146E-2</v>
      </c>
    </row>
    <row r="213" spans="1:49" outlineLevel="1" x14ac:dyDescent="0.25">
      <c r="B213" s="5" t="s">
        <v>55</v>
      </c>
      <c r="L213" s="26"/>
      <c r="M213" s="26"/>
    </row>
    <row r="214" spans="1:49" outlineLevel="1" x14ac:dyDescent="0.25">
      <c r="B214" s="5"/>
    </row>
    <row r="215" spans="1:49" outlineLevel="1" x14ac:dyDescent="0.25">
      <c r="D215" s="89" t="s">
        <v>15</v>
      </c>
      <c r="E215" s="90"/>
      <c r="F215" s="89" t="s">
        <v>71</v>
      </c>
      <c r="G215" s="90"/>
      <c r="H215" s="89" t="s">
        <v>16</v>
      </c>
      <c r="I215" s="90"/>
      <c r="J215" s="89" t="s">
        <v>17</v>
      </c>
      <c r="K215" s="93"/>
      <c r="L215" s="89" t="s">
        <v>18</v>
      </c>
      <c r="M215" s="93"/>
      <c r="N215" s="89" t="s">
        <v>13</v>
      </c>
      <c r="O215" s="93"/>
      <c r="P215" s="89" t="s">
        <v>34</v>
      </c>
      <c r="Q215" s="93"/>
      <c r="R215" s="89" t="s">
        <v>87</v>
      </c>
      <c r="S215" s="93"/>
      <c r="T215" s="89" t="s">
        <v>12</v>
      </c>
      <c r="U215" s="93"/>
      <c r="AG215" s="89" t="s">
        <v>69</v>
      </c>
      <c r="AH215" s="90"/>
      <c r="AI215" s="89" t="s">
        <v>17</v>
      </c>
      <c r="AJ215" s="93"/>
      <c r="AK215" s="89" t="s">
        <v>18</v>
      </c>
      <c r="AL215" s="93"/>
      <c r="AM215" s="89" t="s">
        <v>13</v>
      </c>
      <c r="AN215" s="93"/>
      <c r="AO215" s="89" t="s">
        <v>34</v>
      </c>
      <c r="AP215" s="93"/>
      <c r="AQ215" s="89" t="s">
        <v>87</v>
      </c>
      <c r="AR215" s="93"/>
      <c r="AS215" s="89" t="s">
        <v>12</v>
      </c>
      <c r="AT215" s="93"/>
    </row>
    <row r="216" spans="1:49" outlineLevel="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T216" s="7" t="s">
        <v>2</v>
      </c>
      <c r="U216" s="10" t="s">
        <v>3</v>
      </c>
      <c r="Z216" s="33">
        <v>2021</v>
      </c>
      <c r="AA216" s="34">
        <v>0.78040950724163505</v>
      </c>
      <c r="AB216" s="33">
        <v>2020</v>
      </c>
      <c r="AC216" s="35">
        <v>3.8521068701415418E-3</v>
      </c>
      <c r="AE216" s="7" t="s">
        <v>0</v>
      </c>
      <c r="AF216" s="7" t="s">
        <v>1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</row>
    <row r="217" spans="1:49" outlineLevel="1" x14ac:dyDescent="0.25">
      <c r="AH217" s="9"/>
      <c r="AJ217" s="9"/>
      <c r="AL217" s="9"/>
      <c r="AN217" s="9"/>
      <c r="AO217" s="9"/>
      <c r="AP217" s="9"/>
      <c r="AQ217" s="9"/>
      <c r="AR217" s="9"/>
      <c r="AT217" s="9"/>
    </row>
    <row r="218" spans="1:49" outlineLevel="1" x14ac:dyDescent="0.25">
      <c r="B218" s="2" t="s">
        <v>5</v>
      </c>
      <c r="C218" s="2">
        <v>2022</v>
      </c>
      <c r="D218" s="1">
        <v>8491</v>
      </c>
      <c r="E218" s="11">
        <v>452084</v>
      </c>
      <c r="F218" s="1">
        <v>2983</v>
      </c>
      <c r="G218" s="11">
        <v>166659</v>
      </c>
      <c r="H218" s="1">
        <v>778</v>
      </c>
      <c r="I218" s="11">
        <v>72062</v>
      </c>
      <c r="J218" s="1">
        <v>122692</v>
      </c>
      <c r="K218" s="11">
        <v>8539428</v>
      </c>
      <c r="L218" s="1">
        <v>1721</v>
      </c>
      <c r="M218" s="11">
        <v>145838</v>
      </c>
      <c r="N218" s="1">
        <v>17708</v>
      </c>
      <c r="O218" s="11">
        <v>1122220</v>
      </c>
      <c r="P218" s="8">
        <v>0</v>
      </c>
      <c r="Q218" s="11">
        <v>0</v>
      </c>
      <c r="R218" s="8">
        <v>0</v>
      </c>
      <c r="S218" s="11">
        <v>0</v>
      </c>
      <c r="T218" s="53">
        <f>N218+L218+J218+H218+D218+P218+F218+R218</f>
        <v>154373</v>
      </c>
      <c r="U218" s="54">
        <f t="shared" ref="U218:U229" si="251">O218+M218+K218+I218+E218+Q218+G218+S218</f>
        <v>10498291</v>
      </c>
      <c r="V218" s="2" t="s">
        <v>66</v>
      </c>
      <c r="Z218" s="30"/>
      <c r="AA218" s="30">
        <f>+Z218/J218</f>
        <v>0</v>
      </c>
      <c r="AB218" s="31"/>
      <c r="AC218" s="32">
        <f>+AB218/K218</f>
        <v>0</v>
      </c>
      <c r="AE218" s="2" t="s">
        <v>5</v>
      </c>
      <c r="AF218" s="2">
        <v>2021</v>
      </c>
      <c r="AG218" s="1">
        <f t="shared" ref="AG218:AG229" si="252">D218+H218+F218</f>
        <v>12252</v>
      </c>
      <c r="AH218" s="11">
        <f t="shared" ref="AH218:AH229" si="253">E218+I218+G218</f>
        <v>690805</v>
      </c>
      <c r="AI218" s="1">
        <f t="shared" ref="AI218:AI229" si="254">+J218</f>
        <v>122692</v>
      </c>
      <c r="AJ218" s="11">
        <f t="shared" ref="AJ218:AJ229" si="255">+K218</f>
        <v>8539428</v>
      </c>
      <c r="AK218" s="8">
        <f t="shared" ref="AK218:AK229" si="256">+L218</f>
        <v>1721</v>
      </c>
      <c r="AL218" s="11">
        <f t="shared" ref="AL218:AL229" si="257">+M218</f>
        <v>145838</v>
      </c>
      <c r="AM218" s="8">
        <f t="shared" ref="AM218:AM229" si="258">+N218</f>
        <v>17708</v>
      </c>
      <c r="AN218" s="11">
        <f t="shared" ref="AN218:AN229" si="259">+O218</f>
        <v>1122220</v>
      </c>
      <c r="AO218" s="8">
        <f t="shared" ref="AO218:AO229" si="260">+P218</f>
        <v>0</v>
      </c>
      <c r="AP218" s="11">
        <f t="shared" ref="AP218:AP229" si="261">+Q218</f>
        <v>0</v>
      </c>
      <c r="AQ218" s="11">
        <f t="shared" ref="AQ218:AQ229" si="262">+R218</f>
        <v>0</v>
      </c>
      <c r="AR218" s="11">
        <f t="shared" ref="AR218:AR229" si="263">+S218</f>
        <v>0</v>
      </c>
      <c r="AS218" s="8">
        <f>AO218+AM218+AK218+AI218+AG218+AQ218</f>
        <v>154373</v>
      </c>
      <c r="AT218" s="11">
        <f t="shared" ref="AT218:AT229" si="264">AP218+AN218+AL218+AJ218+AH218+AR218</f>
        <v>10498291</v>
      </c>
      <c r="AU218" s="2" t="str">
        <f t="shared" ref="AU218:AU229" si="265">+V218</f>
        <v>LERMA</v>
      </c>
      <c r="AV218" s="37">
        <f t="shared" ref="AV218:AV229" si="266">+AS218-T218</f>
        <v>0</v>
      </c>
      <c r="AW218" s="37">
        <f t="shared" ref="AW218:AW229" si="267">+AT218-U218</f>
        <v>0</v>
      </c>
    </row>
    <row r="219" spans="1:49" outlineLevel="1" x14ac:dyDescent="0.25">
      <c r="B219" s="2" t="s">
        <v>6</v>
      </c>
      <c r="C219" s="2">
        <v>2022</v>
      </c>
      <c r="D219" s="1">
        <v>10694</v>
      </c>
      <c r="E219" s="11">
        <v>607083</v>
      </c>
      <c r="F219" s="1">
        <v>2387</v>
      </c>
      <c r="G219" s="11">
        <v>137029</v>
      </c>
      <c r="H219" s="1">
        <v>699</v>
      </c>
      <c r="I219" s="11">
        <v>67366</v>
      </c>
      <c r="J219" s="1">
        <v>129186</v>
      </c>
      <c r="K219" s="11">
        <v>9305599</v>
      </c>
      <c r="L219" s="1">
        <v>1760</v>
      </c>
      <c r="M219" s="11">
        <v>160917</v>
      </c>
      <c r="N219" s="1">
        <v>17861</v>
      </c>
      <c r="O219" s="11">
        <v>1202268</v>
      </c>
      <c r="P219" s="8">
        <v>0</v>
      </c>
      <c r="Q219" s="11">
        <v>0</v>
      </c>
      <c r="R219" s="8">
        <v>0</v>
      </c>
      <c r="S219" s="11">
        <v>0</v>
      </c>
      <c r="T219" s="53">
        <f t="shared" ref="T219:T229" si="268">N219+L219+J219+H219+D219+P219+F219+R219</f>
        <v>162587</v>
      </c>
      <c r="U219" s="54">
        <f t="shared" si="251"/>
        <v>11480262</v>
      </c>
      <c r="V219" s="2" t="s">
        <v>66</v>
      </c>
      <c r="Z219" s="30"/>
      <c r="AA219" s="30">
        <f t="shared" ref="AA219:AA229" si="269">+Z219/J219</f>
        <v>0</v>
      </c>
      <c r="AB219" s="31"/>
      <c r="AC219" s="32">
        <f t="shared" ref="AC219:AC229" si="270">+AB219/K219</f>
        <v>0</v>
      </c>
      <c r="AE219" s="2" t="s">
        <v>6</v>
      </c>
      <c r="AF219" s="2">
        <v>2021</v>
      </c>
      <c r="AG219" s="1">
        <f t="shared" si="252"/>
        <v>13780</v>
      </c>
      <c r="AH219" s="11">
        <f t="shared" si="253"/>
        <v>811478</v>
      </c>
      <c r="AI219" s="1">
        <f t="shared" si="254"/>
        <v>129186</v>
      </c>
      <c r="AJ219" s="11">
        <f t="shared" si="255"/>
        <v>9305599</v>
      </c>
      <c r="AK219" s="8">
        <f t="shared" si="256"/>
        <v>1760</v>
      </c>
      <c r="AL219" s="11">
        <f t="shared" si="257"/>
        <v>160917</v>
      </c>
      <c r="AM219" s="8">
        <f t="shared" si="258"/>
        <v>17861</v>
      </c>
      <c r="AN219" s="11">
        <f t="shared" si="259"/>
        <v>1202268</v>
      </c>
      <c r="AO219" s="8">
        <f t="shared" si="260"/>
        <v>0</v>
      </c>
      <c r="AP219" s="11">
        <f t="shared" si="261"/>
        <v>0</v>
      </c>
      <c r="AQ219" s="11">
        <f t="shared" si="262"/>
        <v>0</v>
      </c>
      <c r="AR219" s="11">
        <f t="shared" si="263"/>
        <v>0</v>
      </c>
      <c r="AS219" s="8">
        <f t="shared" ref="AS219:AS229" si="271">AO219+AM219+AK219+AI219+AG219+AQ219</f>
        <v>162587</v>
      </c>
      <c r="AT219" s="11">
        <f t="shared" si="264"/>
        <v>11480262</v>
      </c>
      <c r="AU219" s="2" t="str">
        <f t="shared" si="265"/>
        <v>LERMA</v>
      </c>
      <c r="AV219" s="37">
        <f t="shared" si="266"/>
        <v>0</v>
      </c>
      <c r="AW219" s="37">
        <f t="shared" si="267"/>
        <v>0</v>
      </c>
    </row>
    <row r="220" spans="1:49" outlineLevel="1" x14ac:dyDescent="0.25">
      <c r="B220" s="2" t="s">
        <v>7</v>
      </c>
      <c r="C220" s="2">
        <v>2022</v>
      </c>
      <c r="D220" s="1">
        <v>12874</v>
      </c>
      <c r="E220" s="11">
        <v>722189</v>
      </c>
      <c r="F220" s="1">
        <v>2810</v>
      </c>
      <c r="G220" s="11">
        <v>166371</v>
      </c>
      <c r="H220" s="1">
        <v>815</v>
      </c>
      <c r="I220" s="11">
        <v>75673</v>
      </c>
      <c r="J220" s="1">
        <v>154823</v>
      </c>
      <c r="K220" s="11">
        <v>11163406</v>
      </c>
      <c r="L220" s="1">
        <v>1984</v>
      </c>
      <c r="M220" s="11">
        <v>174501</v>
      </c>
      <c r="N220" s="1">
        <v>21550</v>
      </c>
      <c r="O220" s="11">
        <v>1462810</v>
      </c>
      <c r="P220" s="8">
        <v>0</v>
      </c>
      <c r="Q220" s="11">
        <v>0</v>
      </c>
      <c r="R220" s="8">
        <v>0</v>
      </c>
      <c r="S220" s="11">
        <v>0</v>
      </c>
      <c r="T220" s="53">
        <f t="shared" ref="T220" si="272">N220+L220+J220+H220+D220+P220+F220+R220</f>
        <v>194856</v>
      </c>
      <c r="U220" s="54">
        <f t="shared" ref="U220" si="273">O220+M220+K220+I220+E220+Q220+G220+S220</f>
        <v>13764950</v>
      </c>
      <c r="V220" s="2" t="s">
        <v>66</v>
      </c>
      <c r="Z220" s="30"/>
      <c r="AA220" s="30">
        <f t="shared" si="269"/>
        <v>0</v>
      </c>
      <c r="AB220" s="31"/>
      <c r="AC220" s="32">
        <f t="shared" si="270"/>
        <v>0</v>
      </c>
      <c r="AD220" s="13"/>
      <c r="AE220" s="2" t="s">
        <v>7</v>
      </c>
      <c r="AF220" s="2">
        <v>2021</v>
      </c>
      <c r="AG220" s="1">
        <f t="shared" si="252"/>
        <v>16499</v>
      </c>
      <c r="AH220" s="11">
        <f t="shared" si="253"/>
        <v>964233</v>
      </c>
      <c r="AI220" s="1">
        <f t="shared" si="254"/>
        <v>154823</v>
      </c>
      <c r="AJ220" s="11">
        <f t="shared" si="255"/>
        <v>11163406</v>
      </c>
      <c r="AK220" s="8">
        <f t="shared" si="256"/>
        <v>1984</v>
      </c>
      <c r="AL220" s="11">
        <f t="shared" si="257"/>
        <v>174501</v>
      </c>
      <c r="AM220" s="8">
        <f t="shared" si="258"/>
        <v>21550</v>
      </c>
      <c r="AN220" s="11">
        <f t="shared" si="259"/>
        <v>1462810</v>
      </c>
      <c r="AO220" s="8">
        <f t="shared" si="260"/>
        <v>0</v>
      </c>
      <c r="AP220" s="11">
        <f t="shared" si="261"/>
        <v>0</v>
      </c>
      <c r="AQ220" s="11">
        <f t="shared" si="262"/>
        <v>0</v>
      </c>
      <c r="AR220" s="11">
        <f t="shared" si="263"/>
        <v>0</v>
      </c>
      <c r="AS220" s="8">
        <f t="shared" si="271"/>
        <v>194856</v>
      </c>
      <c r="AT220" s="11">
        <f t="shared" si="264"/>
        <v>13764950</v>
      </c>
      <c r="AU220" s="2" t="str">
        <f t="shared" si="265"/>
        <v>LERMA</v>
      </c>
      <c r="AV220" s="37">
        <f t="shared" si="266"/>
        <v>0</v>
      </c>
      <c r="AW220" s="37">
        <f t="shared" si="267"/>
        <v>0</v>
      </c>
    </row>
    <row r="221" spans="1:49" outlineLevel="1" x14ac:dyDescent="0.25">
      <c r="B221" s="2" t="s">
        <v>8</v>
      </c>
      <c r="C221" s="2">
        <v>2022</v>
      </c>
      <c r="D221" s="1">
        <v>13691</v>
      </c>
      <c r="E221" s="11">
        <v>754565</v>
      </c>
      <c r="F221" s="1">
        <v>2995</v>
      </c>
      <c r="G221" s="11">
        <v>173341</v>
      </c>
      <c r="H221" s="1">
        <v>835</v>
      </c>
      <c r="I221" s="11">
        <v>79948</v>
      </c>
      <c r="J221" s="1">
        <v>153859</v>
      </c>
      <c r="K221" s="11">
        <v>10840098</v>
      </c>
      <c r="L221" s="1">
        <v>1683</v>
      </c>
      <c r="M221" s="11">
        <v>152328</v>
      </c>
      <c r="N221" s="1">
        <v>22910</v>
      </c>
      <c r="O221" s="11">
        <v>1603080</v>
      </c>
      <c r="P221" s="8">
        <v>0</v>
      </c>
      <c r="Q221" s="11">
        <v>0</v>
      </c>
      <c r="R221" s="8">
        <v>0</v>
      </c>
      <c r="S221" s="11">
        <v>0</v>
      </c>
      <c r="T221" s="53">
        <f t="shared" si="268"/>
        <v>195973</v>
      </c>
      <c r="U221" s="54">
        <f t="shared" si="251"/>
        <v>13603360</v>
      </c>
      <c r="V221" s="2" t="s">
        <v>66</v>
      </c>
      <c r="Z221" s="30"/>
      <c r="AA221" s="30">
        <f t="shared" si="269"/>
        <v>0</v>
      </c>
      <c r="AB221" s="31"/>
      <c r="AC221" s="32">
        <f t="shared" si="270"/>
        <v>0</v>
      </c>
      <c r="AD221" s="13"/>
      <c r="AE221" s="2" t="s">
        <v>8</v>
      </c>
      <c r="AF221" s="2">
        <v>2021</v>
      </c>
      <c r="AG221" s="1">
        <f t="shared" si="252"/>
        <v>17521</v>
      </c>
      <c r="AH221" s="11">
        <f t="shared" si="253"/>
        <v>1007854</v>
      </c>
      <c r="AI221" s="1">
        <f t="shared" si="254"/>
        <v>153859</v>
      </c>
      <c r="AJ221" s="11">
        <f t="shared" si="255"/>
        <v>10840098</v>
      </c>
      <c r="AK221" s="8">
        <f t="shared" si="256"/>
        <v>1683</v>
      </c>
      <c r="AL221" s="11">
        <f t="shared" si="257"/>
        <v>152328</v>
      </c>
      <c r="AM221" s="8">
        <f t="shared" si="258"/>
        <v>22910</v>
      </c>
      <c r="AN221" s="11">
        <f t="shared" si="259"/>
        <v>1603080</v>
      </c>
      <c r="AO221" s="8">
        <f t="shared" si="260"/>
        <v>0</v>
      </c>
      <c r="AP221" s="11">
        <f t="shared" si="261"/>
        <v>0</v>
      </c>
      <c r="AQ221" s="11">
        <f t="shared" si="262"/>
        <v>0</v>
      </c>
      <c r="AR221" s="11">
        <f t="shared" si="263"/>
        <v>0</v>
      </c>
      <c r="AS221" s="8">
        <f t="shared" si="271"/>
        <v>195973</v>
      </c>
      <c r="AT221" s="11">
        <f t="shared" si="264"/>
        <v>13603360</v>
      </c>
      <c r="AU221" s="2" t="str">
        <f t="shared" si="265"/>
        <v>LERMA</v>
      </c>
      <c r="AV221" s="37">
        <f t="shared" si="266"/>
        <v>0</v>
      </c>
      <c r="AW221" s="37">
        <f t="shared" si="267"/>
        <v>0</v>
      </c>
    </row>
    <row r="222" spans="1:49" outlineLevel="1" x14ac:dyDescent="0.25">
      <c r="B222" s="2" t="s">
        <v>9</v>
      </c>
      <c r="C222" s="2">
        <v>2022</v>
      </c>
      <c r="D222" s="1">
        <v>12493</v>
      </c>
      <c r="E222" s="11">
        <v>706937</v>
      </c>
      <c r="F222" s="1">
        <v>2724</v>
      </c>
      <c r="G222" s="11">
        <v>158776</v>
      </c>
      <c r="H222" s="1">
        <v>845</v>
      </c>
      <c r="I222" s="11">
        <v>80688</v>
      </c>
      <c r="J222" s="1">
        <v>150845</v>
      </c>
      <c r="K222" s="11">
        <v>10656936</v>
      </c>
      <c r="L222" s="1">
        <v>1621</v>
      </c>
      <c r="M222" s="11">
        <v>153310</v>
      </c>
      <c r="N222" s="1">
        <v>22523</v>
      </c>
      <c r="O222" s="11">
        <v>1535039</v>
      </c>
      <c r="P222" s="8">
        <v>0</v>
      </c>
      <c r="Q222" s="11">
        <v>0</v>
      </c>
      <c r="R222" s="8">
        <v>0</v>
      </c>
      <c r="S222" s="11">
        <v>0</v>
      </c>
      <c r="T222" s="53">
        <f t="shared" si="268"/>
        <v>191051</v>
      </c>
      <c r="U222" s="54">
        <f t="shared" si="251"/>
        <v>13291686</v>
      </c>
      <c r="V222" s="2" t="s">
        <v>66</v>
      </c>
      <c r="Z222" s="30"/>
      <c r="AA222" s="30">
        <f t="shared" si="269"/>
        <v>0</v>
      </c>
      <c r="AB222" s="31"/>
      <c r="AC222" s="32">
        <f t="shared" si="270"/>
        <v>0</v>
      </c>
      <c r="AD222" s="13"/>
      <c r="AE222" s="2" t="s">
        <v>9</v>
      </c>
      <c r="AF222" s="2">
        <v>2021</v>
      </c>
      <c r="AG222" s="1">
        <f t="shared" si="252"/>
        <v>16062</v>
      </c>
      <c r="AH222" s="11">
        <f t="shared" si="253"/>
        <v>946401</v>
      </c>
      <c r="AI222" s="1">
        <f t="shared" si="254"/>
        <v>150845</v>
      </c>
      <c r="AJ222" s="11">
        <f t="shared" si="255"/>
        <v>10656936</v>
      </c>
      <c r="AK222" s="8">
        <f t="shared" si="256"/>
        <v>1621</v>
      </c>
      <c r="AL222" s="11">
        <f t="shared" si="257"/>
        <v>153310</v>
      </c>
      <c r="AM222" s="8">
        <f t="shared" si="258"/>
        <v>22523</v>
      </c>
      <c r="AN222" s="11">
        <f t="shared" si="259"/>
        <v>1535039</v>
      </c>
      <c r="AO222" s="8">
        <f t="shared" si="260"/>
        <v>0</v>
      </c>
      <c r="AP222" s="11">
        <f t="shared" si="261"/>
        <v>0</v>
      </c>
      <c r="AQ222" s="11">
        <f t="shared" si="262"/>
        <v>0</v>
      </c>
      <c r="AR222" s="11">
        <f t="shared" si="263"/>
        <v>0</v>
      </c>
      <c r="AS222" s="8">
        <f t="shared" si="271"/>
        <v>191051</v>
      </c>
      <c r="AT222" s="11">
        <f t="shared" si="264"/>
        <v>13291686</v>
      </c>
      <c r="AU222" s="2" t="str">
        <f t="shared" si="265"/>
        <v>LERMA</v>
      </c>
      <c r="AV222" s="37">
        <f t="shared" si="266"/>
        <v>0</v>
      </c>
      <c r="AW222" s="37">
        <f t="shared" si="267"/>
        <v>0</v>
      </c>
    </row>
    <row r="223" spans="1:49" outlineLevel="1" x14ac:dyDescent="0.25">
      <c r="B223" s="2" t="s">
        <v>10</v>
      </c>
      <c r="C223" s="2">
        <v>2022</v>
      </c>
      <c r="D223" s="1">
        <v>11625</v>
      </c>
      <c r="E223" s="11">
        <v>662009</v>
      </c>
      <c r="F223" s="1">
        <v>2787</v>
      </c>
      <c r="G223" s="11">
        <v>175009</v>
      </c>
      <c r="H223" s="1">
        <v>943</v>
      </c>
      <c r="I223" s="11">
        <v>93366</v>
      </c>
      <c r="J223" s="1">
        <v>146073</v>
      </c>
      <c r="K223" s="11">
        <v>10509396</v>
      </c>
      <c r="L223" s="1">
        <v>1398</v>
      </c>
      <c r="M223" s="11">
        <v>129996</v>
      </c>
      <c r="N223" s="1">
        <v>22307</v>
      </c>
      <c r="O223" s="11">
        <v>1556965</v>
      </c>
      <c r="P223" s="8">
        <v>0</v>
      </c>
      <c r="Q223" s="11">
        <v>0</v>
      </c>
      <c r="R223" s="8">
        <v>0</v>
      </c>
      <c r="S223" s="11">
        <v>0</v>
      </c>
      <c r="T223" s="53">
        <f t="shared" si="268"/>
        <v>185133</v>
      </c>
      <c r="U223" s="54">
        <f t="shared" si="251"/>
        <v>13126741</v>
      </c>
      <c r="V223" s="2" t="s">
        <v>66</v>
      </c>
      <c r="Z223" s="30"/>
      <c r="AA223" s="30">
        <f t="shared" si="269"/>
        <v>0</v>
      </c>
      <c r="AB223" s="31"/>
      <c r="AC223" s="32">
        <f t="shared" si="270"/>
        <v>0</v>
      </c>
      <c r="AE223" s="2" t="s">
        <v>10</v>
      </c>
      <c r="AF223" s="2">
        <v>2021</v>
      </c>
      <c r="AG223" s="1">
        <f t="shared" si="252"/>
        <v>15355</v>
      </c>
      <c r="AH223" s="11">
        <f t="shared" si="253"/>
        <v>930384</v>
      </c>
      <c r="AI223" s="1">
        <f t="shared" si="254"/>
        <v>146073</v>
      </c>
      <c r="AJ223" s="11">
        <f t="shared" si="255"/>
        <v>10509396</v>
      </c>
      <c r="AK223" s="8">
        <f t="shared" si="256"/>
        <v>1398</v>
      </c>
      <c r="AL223" s="11">
        <f t="shared" si="257"/>
        <v>129996</v>
      </c>
      <c r="AM223" s="8">
        <f t="shared" si="258"/>
        <v>22307</v>
      </c>
      <c r="AN223" s="11">
        <f t="shared" si="259"/>
        <v>1556965</v>
      </c>
      <c r="AO223" s="8">
        <f t="shared" si="260"/>
        <v>0</v>
      </c>
      <c r="AP223" s="11">
        <f t="shared" si="261"/>
        <v>0</v>
      </c>
      <c r="AQ223" s="11">
        <f t="shared" si="262"/>
        <v>0</v>
      </c>
      <c r="AR223" s="11">
        <f t="shared" si="263"/>
        <v>0</v>
      </c>
      <c r="AS223" s="8">
        <f t="shared" si="271"/>
        <v>185133</v>
      </c>
      <c r="AT223" s="11">
        <f t="shared" si="264"/>
        <v>13126741</v>
      </c>
      <c r="AU223" s="2" t="str">
        <f t="shared" si="265"/>
        <v>LERMA</v>
      </c>
      <c r="AV223" s="37">
        <f t="shared" si="266"/>
        <v>0</v>
      </c>
      <c r="AW223" s="37">
        <f t="shared" si="267"/>
        <v>0</v>
      </c>
    </row>
    <row r="224" spans="1:49" outlineLevel="1" x14ac:dyDescent="0.25">
      <c r="B224" s="2" t="s">
        <v>11</v>
      </c>
      <c r="C224" s="2">
        <v>2022</v>
      </c>
      <c r="D224" s="1">
        <v>12494</v>
      </c>
      <c r="E224" s="11">
        <v>698590</v>
      </c>
      <c r="F224" s="1">
        <v>2739</v>
      </c>
      <c r="G224" s="11">
        <v>154352</v>
      </c>
      <c r="H224" s="1">
        <v>882</v>
      </c>
      <c r="I224" s="11">
        <v>85078</v>
      </c>
      <c r="J224" s="1">
        <v>154706</v>
      </c>
      <c r="K224" s="11">
        <v>11000214</v>
      </c>
      <c r="L224" s="1">
        <v>1164</v>
      </c>
      <c r="M224" s="11">
        <v>106745</v>
      </c>
      <c r="N224" s="1">
        <v>22228</v>
      </c>
      <c r="O224" s="11">
        <v>1552508</v>
      </c>
      <c r="P224" s="8">
        <v>0</v>
      </c>
      <c r="Q224" s="11">
        <v>0</v>
      </c>
      <c r="R224" s="8">
        <v>11</v>
      </c>
      <c r="S224" s="11">
        <v>510</v>
      </c>
      <c r="T224" s="53">
        <f t="shared" si="268"/>
        <v>194224</v>
      </c>
      <c r="U224" s="54">
        <f t="shared" si="251"/>
        <v>13597997</v>
      </c>
      <c r="V224" s="2" t="s">
        <v>66</v>
      </c>
      <c r="Z224" s="30"/>
      <c r="AA224" s="30">
        <f t="shared" si="269"/>
        <v>0</v>
      </c>
      <c r="AB224" s="31"/>
      <c r="AC224" s="32">
        <f t="shared" si="270"/>
        <v>0</v>
      </c>
      <c r="AE224" s="2" t="s">
        <v>11</v>
      </c>
      <c r="AF224" s="2">
        <v>2021</v>
      </c>
      <c r="AG224" s="1">
        <f t="shared" si="252"/>
        <v>16115</v>
      </c>
      <c r="AH224" s="11">
        <f t="shared" si="253"/>
        <v>938020</v>
      </c>
      <c r="AI224" s="1">
        <f t="shared" si="254"/>
        <v>154706</v>
      </c>
      <c r="AJ224" s="11">
        <f t="shared" si="255"/>
        <v>11000214</v>
      </c>
      <c r="AK224" s="8">
        <f t="shared" si="256"/>
        <v>1164</v>
      </c>
      <c r="AL224" s="11">
        <f t="shared" si="257"/>
        <v>106745</v>
      </c>
      <c r="AM224" s="8">
        <f t="shared" si="258"/>
        <v>22228</v>
      </c>
      <c r="AN224" s="11">
        <f t="shared" si="259"/>
        <v>1552508</v>
      </c>
      <c r="AO224" s="8">
        <f t="shared" si="260"/>
        <v>0</v>
      </c>
      <c r="AP224" s="11">
        <f t="shared" si="261"/>
        <v>0</v>
      </c>
      <c r="AQ224" s="11">
        <f t="shared" si="262"/>
        <v>11</v>
      </c>
      <c r="AR224" s="11">
        <f t="shared" si="263"/>
        <v>510</v>
      </c>
      <c r="AS224" s="8">
        <f t="shared" si="271"/>
        <v>194224</v>
      </c>
      <c r="AT224" s="11">
        <f t="shared" si="264"/>
        <v>13597997</v>
      </c>
      <c r="AU224" s="2" t="str">
        <f t="shared" si="265"/>
        <v>LERMA</v>
      </c>
      <c r="AV224" s="37">
        <f t="shared" si="266"/>
        <v>0</v>
      </c>
      <c r="AW224" s="37">
        <f t="shared" si="267"/>
        <v>0</v>
      </c>
    </row>
    <row r="225" spans="1:49" outlineLevel="1" x14ac:dyDescent="0.25">
      <c r="B225" s="2" t="s">
        <v>4</v>
      </c>
      <c r="C225" s="2">
        <v>2022</v>
      </c>
      <c r="D225" s="1">
        <v>12859</v>
      </c>
      <c r="E225" s="11">
        <v>727005</v>
      </c>
      <c r="F225" s="1">
        <v>3157</v>
      </c>
      <c r="G225" s="11">
        <v>178548</v>
      </c>
      <c r="H225" s="1">
        <v>946</v>
      </c>
      <c r="I225" s="11">
        <v>96225</v>
      </c>
      <c r="J225" s="1">
        <v>161853</v>
      </c>
      <c r="K225" s="11">
        <v>11588068</v>
      </c>
      <c r="L225" s="1">
        <v>1442</v>
      </c>
      <c r="M225" s="11">
        <v>138875</v>
      </c>
      <c r="N225" s="1">
        <v>24138</v>
      </c>
      <c r="O225" s="11">
        <v>1662278</v>
      </c>
      <c r="P225" s="8">
        <v>0</v>
      </c>
      <c r="Q225" s="11">
        <v>0</v>
      </c>
      <c r="R225" s="8">
        <v>17</v>
      </c>
      <c r="S225" s="11">
        <v>766</v>
      </c>
      <c r="T225" s="53">
        <f t="shared" si="268"/>
        <v>204412</v>
      </c>
      <c r="U225" s="54">
        <f t="shared" si="251"/>
        <v>14391765</v>
      </c>
      <c r="V225" s="2" t="s">
        <v>66</v>
      </c>
      <c r="Z225" s="30"/>
      <c r="AA225" s="30">
        <f t="shared" si="269"/>
        <v>0</v>
      </c>
      <c r="AB225" s="31"/>
      <c r="AC225" s="32">
        <f t="shared" si="270"/>
        <v>0</v>
      </c>
      <c r="AE225" s="2" t="s">
        <v>4</v>
      </c>
      <c r="AF225" s="2">
        <v>2021</v>
      </c>
      <c r="AG225" s="1">
        <f t="shared" si="252"/>
        <v>16962</v>
      </c>
      <c r="AH225" s="11">
        <f t="shared" si="253"/>
        <v>1001778</v>
      </c>
      <c r="AI225" s="1">
        <f t="shared" si="254"/>
        <v>161853</v>
      </c>
      <c r="AJ225" s="11">
        <f t="shared" si="255"/>
        <v>11588068</v>
      </c>
      <c r="AK225" s="8">
        <f t="shared" si="256"/>
        <v>1442</v>
      </c>
      <c r="AL225" s="11">
        <f t="shared" si="257"/>
        <v>138875</v>
      </c>
      <c r="AM225" s="8">
        <f t="shared" si="258"/>
        <v>24138</v>
      </c>
      <c r="AN225" s="11">
        <f t="shared" si="259"/>
        <v>1662278</v>
      </c>
      <c r="AO225" s="8">
        <f t="shared" si="260"/>
        <v>0</v>
      </c>
      <c r="AP225" s="11">
        <f t="shared" si="261"/>
        <v>0</v>
      </c>
      <c r="AQ225" s="11">
        <f t="shared" si="262"/>
        <v>17</v>
      </c>
      <c r="AR225" s="11">
        <f t="shared" si="263"/>
        <v>766</v>
      </c>
      <c r="AS225" s="8">
        <f t="shared" si="271"/>
        <v>204412</v>
      </c>
      <c r="AT225" s="11">
        <f t="shared" si="264"/>
        <v>14391765</v>
      </c>
      <c r="AU225" s="2" t="str">
        <f t="shared" si="265"/>
        <v>LERMA</v>
      </c>
      <c r="AV225" s="37">
        <f t="shared" si="266"/>
        <v>0</v>
      </c>
      <c r="AW225" s="37">
        <f t="shared" si="267"/>
        <v>0</v>
      </c>
    </row>
    <row r="226" spans="1:49" outlineLevel="1" x14ac:dyDescent="0.25">
      <c r="B226" s="2" t="s">
        <v>28</v>
      </c>
      <c r="C226" s="2">
        <v>2022</v>
      </c>
      <c r="D226" s="1">
        <v>12587</v>
      </c>
      <c r="E226" s="11">
        <v>711444</v>
      </c>
      <c r="F226" s="1">
        <v>3199</v>
      </c>
      <c r="G226" s="11">
        <v>181487</v>
      </c>
      <c r="H226" s="1">
        <v>1032</v>
      </c>
      <c r="I226" s="11">
        <v>99054</v>
      </c>
      <c r="J226" s="1">
        <v>161338</v>
      </c>
      <c r="K226" s="11">
        <v>11477031</v>
      </c>
      <c r="L226" s="1">
        <v>1284</v>
      </c>
      <c r="M226" s="11">
        <v>120134</v>
      </c>
      <c r="N226" s="1">
        <v>22668</v>
      </c>
      <c r="O226" s="11">
        <v>1556278</v>
      </c>
      <c r="P226" s="8">
        <v>0</v>
      </c>
      <c r="Q226" s="11">
        <v>0</v>
      </c>
      <c r="R226" s="8">
        <v>17</v>
      </c>
      <c r="S226" s="11">
        <v>874</v>
      </c>
      <c r="T226" s="53">
        <f t="shared" si="268"/>
        <v>202125</v>
      </c>
      <c r="U226" s="54">
        <f t="shared" si="251"/>
        <v>14146302</v>
      </c>
      <c r="V226" s="2" t="s">
        <v>66</v>
      </c>
      <c r="Z226" s="30"/>
      <c r="AA226" s="30">
        <f t="shared" si="269"/>
        <v>0</v>
      </c>
      <c r="AB226" s="31"/>
      <c r="AC226" s="32">
        <f t="shared" si="270"/>
        <v>0</v>
      </c>
      <c r="AE226" s="2" t="s">
        <v>28</v>
      </c>
      <c r="AF226" s="2">
        <v>2021</v>
      </c>
      <c r="AG226" s="1">
        <f t="shared" si="252"/>
        <v>16818</v>
      </c>
      <c r="AH226" s="11">
        <f t="shared" si="253"/>
        <v>991985</v>
      </c>
      <c r="AI226" s="1">
        <f t="shared" si="254"/>
        <v>161338</v>
      </c>
      <c r="AJ226" s="11">
        <f t="shared" si="255"/>
        <v>11477031</v>
      </c>
      <c r="AK226" s="8">
        <f t="shared" si="256"/>
        <v>1284</v>
      </c>
      <c r="AL226" s="11">
        <f t="shared" si="257"/>
        <v>120134</v>
      </c>
      <c r="AM226" s="8">
        <f t="shared" si="258"/>
        <v>22668</v>
      </c>
      <c r="AN226" s="11">
        <f t="shared" si="259"/>
        <v>1556278</v>
      </c>
      <c r="AO226" s="8">
        <f t="shared" si="260"/>
        <v>0</v>
      </c>
      <c r="AP226" s="11">
        <f t="shared" si="261"/>
        <v>0</v>
      </c>
      <c r="AQ226" s="11">
        <f t="shared" si="262"/>
        <v>17</v>
      </c>
      <c r="AR226" s="11">
        <f t="shared" si="263"/>
        <v>874</v>
      </c>
      <c r="AS226" s="8">
        <f t="shared" si="271"/>
        <v>202125</v>
      </c>
      <c r="AT226" s="11">
        <f t="shared" si="264"/>
        <v>14146302</v>
      </c>
      <c r="AU226" s="2" t="str">
        <f t="shared" si="265"/>
        <v>LERMA</v>
      </c>
      <c r="AV226" s="37">
        <f t="shared" si="266"/>
        <v>0</v>
      </c>
      <c r="AW226" s="37">
        <f t="shared" si="267"/>
        <v>0</v>
      </c>
    </row>
    <row r="227" spans="1:49" outlineLevel="1" x14ac:dyDescent="0.25">
      <c r="B227" s="2" t="s">
        <v>29</v>
      </c>
      <c r="C227" s="2">
        <v>2022</v>
      </c>
      <c r="D227" s="1">
        <v>12940</v>
      </c>
      <c r="E227" s="11">
        <v>758634</v>
      </c>
      <c r="F227" s="1">
        <v>3358</v>
      </c>
      <c r="G227" s="11">
        <v>197468</v>
      </c>
      <c r="H227" s="1">
        <v>1296</v>
      </c>
      <c r="I227" s="11">
        <v>118934</v>
      </c>
      <c r="J227" s="1">
        <v>169446</v>
      </c>
      <c r="K227" s="11">
        <v>12090052</v>
      </c>
      <c r="L227" s="1">
        <v>1307</v>
      </c>
      <c r="M227" s="11">
        <v>114429</v>
      </c>
      <c r="N227" s="1">
        <v>23493</v>
      </c>
      <c r="O227" s="11">
        <v>1612398</v>
      </c>
      <c r="P227" s="8">
        <v>0</v>
      </c>
      <c r="Q227" s="11">
        <v>0</v>
      </c>
      <c r="R227" s="8">
        <v>20</v>
      </c>
      <c r="S227" s="11">
        <v>988</v>
      </c>
      <c r="T227" s="53">
        <f t="shared" si="268"/>
        <v>211860</v>
      </c>
      <c r="U227" s="54">
        <f t="shared" si="251"/>
        <v>14892903</v>
      </c>
      <c r="V227" s="2" t="s">
        <v>66</v>
      </c>
      <c r="Z227" s="30"/>
      <c r="AA227" s="30">
        <f t="shared" si="269"/>
        <v>0</v>
      </c>
      <c r="AB227" s="31"/>
      <c r="AC227" s="32">
        <f t="shared" si="270"/>
        <v>0</v>
      </c>
      <c r="AE227" s="2" t="s">
        <v>29</v>
      </c>
      <c r="AF227" s="2">
        <v>2021</v>
      </c>
      <c r="AG227" s="1">
        <f t="shared" si="252"/>
        <v>17594</v>
      </c>
      <c r="AH227" s="11">
        <f t="shared" si="253"/>
        <v>1075036</v>
      </c>
      <c r="AI227" s="1">
        <f t="shared" si="254"/>
        <v>169446</v>
      </c>
      <c r="AJ227" s="11">
        <f t="shared" si="255"/>
        <v>12090052</v>
      </c>
      <c r="AK227" s="8">
        <f t="shared" si="256"/>
        <v>1307</v>
      </c>
      <c r="AL227" s="11">
        <f t="shared" si="257"/>
        <v>114429</v>
      </c>
      <c r="AM227" s="8">
        <f t="shared" si="258"/>
        <v>23493</v>
      </c>
      <c r="AN227" s="11">
        <f t="shared" si="259"/>
        <v>1612398</v>
      </c>
      <c r="AO227" s="8">
        <f t="shared" si="260"/>
        <v>0</v>
      </c>
      <c r="AP227" s="11">
        <f t="shared" si="261"/>
        <v>0</v>
      </c>
      <c r="AQ227" s="11">
        <f t="shared" si="262"/>
        <v>20</v>
      </c>
      <c r="AR227" s="11">
        <f t="shared" si="263"/>
        <v>988</v>
      </c>
      <c r="AS227" s="8">
        <f t="shared" si="271"/>
        <v>211860</v>
      </c>
      <c r="AT227" s="11">
        <f t="shared" si="264"/>
        <v>14892903</v>
      </c>
      <c r="AU227" s="2" t="str">
        <f t="shared" si="265"/>
        <v>LERMA</v>
      </c>
      <c r="AV227" s="37">
        <f t="shared" si="266"/>
        <v>0</v>
      </c>
      <c r="AW227" s="37">
        <f t="shared" si="267"/>
        <v>0</v>
      </c>
    </row>
    <row r="228" spans="1:49" outlineLevel="1" x14ac:dyDescent="0.25">
      <c r="B228" s="2" t="s">
        <v>30</v>
      </c>
      <c r="C228" s="2">
        <v>2022</v>
      </c>
      <c r="D228" s="1">
        <v>12541</v>
      </c>
      <c r="E228" s="11">
        <v>730615</v>
      </c>
      <c r="F228" s="1">
        <v>3197</v>
      </c>
      <c r="G228" s="11">
        <v>179161</v>
      </c>
      <c r="H228" s="1">
        <v>1347</v>
      </c>
      <c r="I228" s="11">
        <v>120961</v>
      </c>
      <c r="J228" s="1">
        <v>162717</v>
      </c>
      <c r="K228" s="11">
        <v>11823642</v>
      </c>
      <c r="L228" s="1">
        <v>1220</v>
      </c>
      <c r="M228" s="11">
        <v>107919</v>
      </c>
      <c r="N228" s="1">
        <v>23000</v>
      </c>
      <c r="O228" s="11">
        <v>1675117</v>
      </c>
      <c r="P228" s="8">
        <v>0</v>
      </c>
      <c r="Q228" s="11">
        <v>0</v>
      </c>
      <c r="R228" s="8">
        <v>47</v>
      </c>
      <c r="S228" s="11">
        <v>2373</v>
      </c>
      <c r="T228" s="53">
        <f t="shared" si="268"/>
        <v>204069</v>
      </c>
      <c r="U228" s="54">
        <f t="shared" si="251"/>
        <v>14639788</v>
      </c>
      <c r="V228" s="2" t="s">
        <v>66</v>
      </c>
      <c r="Z228" s="30"/>
      <c r="AA228" s="30">
        <f t="shared" si="269"/>
        <v>0</v>
      </c>
      <c r="AB228" s="31"/>
      <c r="AC228" s="32">
        <f t="shared" si="270"/>
        <v>0</v>
      </c>
      <c r="AE228" s="2" t="s">
        <v>30</v>
      </c>
      <c r="AF228" s="2">
        <v>2021</v>
      </c>
      <c r="AG228" s="1">
        <f t="shared" si="252"/>
        <v>17085</v>
      </c>
      <c r="AH228" s="11">
        <f t="shared" si="253"/>
        <v>1030737</v>
      </c>
      <c r="AI228" s="1">
        <f t="shared" si="254"/>
        <v>162717</v>
      </c>
      <c r="AJ228" s="11">
        <f t="shared" si="255"/>
        <v>11823642</v>
      </c>
      <c r="AK228" s="8">
        <f t="shared" si="256"/>
        <v>1220</v>
      </c>
      <c r="AL228" s="11">
        <f t="shared" si="257"/>
        <v>107919</v>
      </c>
      <c r="AM228" s="8">
        <f t="shared" si="258"/>
        <v>23000</v>
      </c>
      <c r="AN228" s="11">
        <f t="shared" si="259"/>
        <v>1675117</v>
      </c>
      <c r="AO228" s="8">
        <f t="shared" si="260"/>
        <v>0</v>
      </c>
      <c r="AP228" s="11">
        <f t="shared" si="261"/>
        <v>0</v>
      </c>
      <c r="AQ228" s="11">
        <f t="shared" si="262"/>
        <v>47</v>
      </c>
      <c r="AR228" s="11">
        <f t="shared" si="263"/>
        <v>2373</v>
      </c>
      <c r="AS228" s="8">
        <f t="shared" si="271"/>
        <v>204069</v>
      </c>
      <c r="AT228" s="11">
        <f t="shared" si="264"/>
        <v>14639788</v>
      </c>
      <c r="AU228" s="2" t="str">
        <f t="shared" si="265"/>
        <v>LERMA</v>
      </c>
      <c r="AV228" s="37">
        <f t="shared" si="266"/>
        <v>0</v>
      </c>
      <c r="AW228" s="37">
        <f t="shared" si="267"/>
        <v>0</v>
      </c>
    </row>
    <row r="229" spans="1:49" outlineLevel="1" x14ac:dyDescent="0.25">
      <c r="B229" s="2" t="s">
        <v>31</v>
      </c>
      <c r="C229" s="2">
        <v>2022</v>
      </c>
      <c r="D229" s="1">
        <v>14346</v>
      </c>
      <c r="E229" s="11">
        <v>809368</v>
      </c>
      <c r="F229" s="1">
        <v>3291</v>
      </c>
      <c r="G229" s="11">
        <v>182919</v>
      </c>
      <c r="H229" s="1">
        <v>1455</v>
      </c>
      <c r="I229" s="11">
        <v>127127</v>
      </c>
      <c r="J229" s="1">
        <v>169836</v>
      </c>
      <c r="K229" s="11">
        <v>12287565</v>
      </c>
      <c r="L229" s="1">
        <v>1212</v>
      </c>
      <c r="M229" s="11">
        <v>113010</v>
      </c>
      <c r="N229" s="1">
        <v>23272</v>
      </c>
      <c r="O229" s="11">
        <v>1635509</v>
      </c>
      <c r="P229" s="8">
        <v>0</v>
      </c>
      <c r="Q229" s="11">
        <v>0</v>
      </c>
      <c r="R229" s="8">
        <v>30</v>
      </c>
      <c r="S229" s="11">
        <v>1716</v>
      </c>
      <c r="T229" s="53">
        <f t="shared" si="268"/>
        <v>213442</v>
      </c>
      <c r="U229" s="54">
        <f t="shared" si="251"/>
        <v>15157214</v>
      </c>
      <c r="V229" s="2" t="s">
        <v>66</v>
      </c>
      <c r="X229" s="13"/>
      <c r="Z229" s="30"/>
      <c r="AA229" s="30">
        <f t="shared" si="269"/>
        <v>0</v>
      </c>
      <c r="AB229" s="31"/>
      <c r="AC229" s="32">
        <f t="shared" si="270"/>
        <v>0</v>
      </c>
      <c r="AE229" s="2" t="s">
        <v>31</v>
      </c>
      <c r="AF229" s="2">
        <v>2021</v>
      </c>
      <c r="AG229" s="1">
        <f t="shared" si="252"/>
        <v>19092</v>
      </c>
      <c r="AH229" s="11">
        <f t="shared" si="253"/>
        <v>1119414</v>
      </c>
      <c r="AI229" s="1">
        <f t="shared" si="254"/>
        <v>169836</v>
      </c>
      <c r="AJ229" s="11">
        <f t="shared" si="255"/>
        <v>12287565</v>
      </c>
      <c r="AK229" s="8">
        <f t="shared" si="256"/>
        <v>1212</v>
      </c>
      <c r="AL229" s="11">
        <f t="shared" si="257"/>
        <v>113010</v>
      </c>
      <c r="AM229" s="8">
        <f t="shared" si="258"/>
        <v>23272</v>
      </c>
      <c r="AN229" s="11">
        <f t="shared" si="259"/>
        <v>1635509</v>
      </c>
      <c r="AO229" s="8">
        <f t="shared" si="260"/>
        <v>0</v>
      </c>
      <c r="AP229" s="11">
        <f t="shared" si="261"/>
        <v>0</v>
      </c>
      <c r="AQ229" s="11">
        <f t="shared" si="262"/>
        <v>30</v>
      </c>
      <c r="AR229" s="11">
        <f t="shared" si="263"/>
        <v>1716</v>
      </c>
      <c r="AS229" s="8">
        <f t="shared" si="271"/>
        <v>213442</v>
      </c>
      <c r="AT229" s="11">
        <f t="shared" si="264"/>
        <v>15157214</v>
      </c>
      <c r="AU229" s="2" t="str">
        <f t="shared" si="265"/>
        <v>LERMA</v>
      </c>
      <c r="AV229" s="37">
        <f t="shared" si="266"/>
        <v>0</v>
      </c>
      <c r="AW229" s="37">
        <f t="shared" si="267"/>
        <v>0</v>
      </c>
    </row>
    <row r="230" spans="1:49" outlineLevel="1" x14ac:dyDescent="0.25">
      <c r="AH230" s="9"/>
      <c r="AJ230" s="9"/>
      <c r="AL230" s="9"/>
      <c r="AN230" s="9"/>
      <c r="AO230" s="9"/>
      <c r="AP230" s="9"/>
      <c r="AQ230" s="9"/>
      <c r="AR230" s="9"/>
      <c r="AT230" s="9"/>
    </row>
    <row r="231" spans="1:49" outlineLevel="1" x14ac:dyDescent="0.25">
      <c r="B231" s="3" t="s">
        <v>12</v>
      </c>
      <c r="C231" s="3"/>
      <c r="D231" s="4">
        <f t="shared" ref="D231:O231" si="274">SUM(D218:D230)</f>
        <v>147635</v>
      </c>
      <c r="E231" s="12">
        <f t="shared" si="274"/>
        <v>8340523</v>
      </c>
      <c r="F231" s="4">
        <f t="shared" si="274"/>
        <v>35627</v>
      </c>
      <c r="G231" s="12">
        <f t="shared" si="274"/>
        <v>2051120</v>
      </c>
      <c r="H231" s="4">
        <f t="shared" si="274"/>
        <v>11873</v>
      </c>
      <c r="I231" s="12">
        <f t="shared" si="274"/>
        <v>1116482</v>
      </c>
      <c r="J231" s="4">
        <f t="shared" si="274"/>
        <v>1837374</v>
      </c>
      <c r="K231" s="12">
        <f t="shared" si="274"/>
        <v>131281435</v>
      </c>
      <c r="L231" s="4">
        <f t="shared" si="274"/>
        <v>17796</v>
      </c>
      <c r="M231" s="12">
        <f t="shared" si="274"/>
        <v>1618002</v>
      </c>
      <c r="N231" s="4">
        <f t="shared" si="274"/>
        <v>263658</v>
      </c>
      <c r="O231" s="12">
        <f t="shared" si="274"/>
        <v>18176470</v>
      </c>
      <c r="P231" s="4">
        <f>SUM(P218:P230)</f>
        <v>0</v>
      </c>
      <c r="Q231" s="12">
        <f>SUM(Q218:Q230)</f>
        <v>0</v>
      </c>
      <c r="R231" s="4">
        <f>SUM(R218:R230)</f>
        <v>142</v>
      </c>
      <c r="S231" s="12">
        <f>SUM(S218:S230)</f>
        <v>7227</v>
      </c>
      <c r="T231" s="4">
        <f t="shared" ref="T231:U231" si="275">SUM(T218:T230)</f>
        <v>2314105</v>
      </c>
      <c r="U231" s="12">
        <f t="shared" si="275"/>
        <v>162591259</v>
      </c>
      <c r="Z231" s="12" t="e">
        <f>AVERAGE(Z218:Z230)</f>
        <v>#DIV/0!</v>
      </c>
      <c r="AA231" s="12">
        <f t="shared" ref="AA231:AC231" si="276">AVERAGE(AA218:AA230)</f>
        <v>0</v>
      </c>
      <c r="AB231" s="12" t="e">
        <f t="shared" si="276"/>
        <v>#DIV/0!</v>
      </c>
      <c r="AC231" s="16">
        <f t="shared" si="276"/>
        <v>0</v>
      </c>
      <c r="AE231" s="3" t="s">
        <v>12</v>
      </c>
      <c r="AF231" s="3"/>
      <c r="AG231" s="4">
        <f t="shared" ref="AG231:AT231" si="277">SUM(AG218:AG230)</f>
        <v>195135</v>
      </c>
      <c r="AH231" s="12">
        <f t="shared" si="277"/>
        <v>11508125</v>
      </c>
      <c r="AI231" s="4">
        <f t="shared" si="277"/>
        <v>1837374</v>
      </c>
      <c r="AJ231" s="12">
        <f t="shared" si="277"/>
        <v>131281435</v>
      </c>
      <c r="AK231" s="4">
        <f t="shared" si="277"/>
        <v>17796</v>
      </c>
      <c r="AL231" s="12">
        <f t="shared" si="277"/>
        <v>1618002</v>
      </c>
      <c r="AM231" s="4">
        <f t="shared" si="277"/>
        <v>263658</v>
      </c>
      <c r="AN231" s="12">
        <f t="shared" si="277"/>
        <v>18176470</v>
      </c>
      <c r="AO231" s="4">
        <f t="shared" si="277"/>
        <v>0</v>
      </c>
      <c r="AP231" s="12">
        <f t="shared" si="277"/>
        <v>0</v>
      </c>
      <c r="AQ231" s="4">
        <f t="shared" si="277"/>
        <v>142</v>
      </c>
      <c r="AR231" s="12">
        <f t="shared" si="277"/>
        <v>7227</v>
      </c>
      <c r="AS231" s="4">
        <f t="shared" si="277"/>
        <v>2314105</v>
      </c>
      <c r="AT231" s="12">
        <f t="shared" si="277"/>
        <v>162591259</v>
      </c>
    </row>
    <row r="232" spans="1:49" outlineLevel="1" x14ac:dyDescent="0.25">
      <c r="J232" s="46" t="str">
        <f>+$B$213</f>
        <v>Aforo e Ingreso - LERMA</v>
      </c>
      <c r="K232" s="9" t="s">
        <v>84</v>
      </c>
      <c r="L232" s="15">
        <f>AVERAGE(L218:L229)</f>
        <v>1483</v>
      </c>
      <c r="M232" s="60">
        <f>AVERAGE(M218:M229)</f>
        <v>134833.5</v>
      </c>
      <c r="T232" s="15">
        <f>AVERAGE(T218:T229)</f>
        <v>192842.08333333334</v>
      </c>
      <c r="U232" s="28">
        <f>AVERAGE(U218:U229)</f>
        <v>13549271.583333334</v>
      </c>
      <c r="AA232" s="13"/>
    </row>
    <row r="233" spans="1:49" outlineLevel="1" x14ac:dyDescent="0.25">
      <c r="B233" s="5" t="s">
        <v>14</v>
      </c>
      <c r="J233" s="46" t="str">
        <f>+$B$213</f>
        <v>Aforo e Ingreso - LERMA</v>
      </c>
      <c r="K233" s="9" t="s">
        <v>85</v>
      </c>
      <c r="L233" s="26">
        <f>+L232/$L$316</f>
        <v>7.1348215051763135E-3</v>
      </c>
      <c r="M233" s="36">
        <f>+M232/$M$316</f>
        <v>4.5260016136689698E-3</v>
      </c>
      <c r="N233" s="18"/>
      <c r="O233" s="19"/>
      <c r="P233" s="19"/>
      <c r="Q233" s="19"/>
      <c r="R233" s="19"/>
      <c r="S233" s="19"/>
      <c r="T233" s="36">
        <f>+L232/T232</f>
        <v>7.6902301321677274E-3</v>
      </c>
      <c r="U233" s="62">
        <f>+M232/U232</f>
        <v>9.9513467695086857E-3</v>
      </c>
    </row>
    <row r="234" spans="1:49" outlineLevel="1" x14ac:dyDescent="0.25">
      <c r="B234" s="5" t="s">
        <v>67</v>
      </c>
      <c r="L234" s="26"/>
      <c r="M234" s="26"/>
    </row>
    <row r="235" spans="1:49" outlineLevel="1" x14ac:dyDescent="0.25">
      <c r="B235" s="5"/>
    </row>
    <row r="236" spans="1:49" outlineLevel="1" x14ac:dyDescent="0.25">
      <c r="D236" s="89" t="s">
        <v>15</v>
      </c>
      <c r="E236" s="90"/>
      <c r="F236" s="89" t="s">
        <v>71</v>
      </c>
      <c r="G236" s="90"/>
      <c r="H236" s="89" t="s">
        <v>16</v>
      </c>
      <c r="I236" s="90"/>
      <c r="J236" s="89" t="s">
        <v>17</v>
      </c>
      <c r="K236" s="93"/>
      <c r="L236" s="89" t="s">
        <v>18</v>
      </c>
      <c r="M236" s="93"/>
      <c r="N236" s="89" t="s">
        <v>13</v>
      </c>
      <c r="O236" s="93"/>
      <c r="P236" s="89" t="s">
        <v>34</v>
      </c>
      <c r="Q236" s="93"/>
      <c r="R236" s="89" t="s">
        <v>87</v>
      </c>
      <c r="S236" s="93"/>
      <c r="T236" s="89" t="s">
        <v>12</v>
      </c>
      <c r="U236" s="93"/>
      <c r="AG236" s="89" t="s">
        <v>69</v>
      </c>
      <c r="AH236" s="90"/>
      <c r="AI236" s="89" t="s">
        <v>17</v>
      </c>
      <c r="AJ236" s="93"/>
      <c r="AK236" s="89" t="s">
        <v>18</v>
      </c>
      <c r="AL236" s="93"/>
      <c r="AM236" s="89" t="s">
        <v>13</v>
      </c>
      <c r="AN236" s="93"/>
      <c r="AO236" s="89" t="s">
        <v>34</v>
      </c>
      <c r="AP236" s="93"/>
      <c r="AQ236" s="89" t="s">
        <v>87</v>
      </c>
      <c r="AR236" s="93"/>
      <c r="AS236" s="89" t="s">
        <v>12</v>
      </c>
      <c r="AT236" s="93"/>
    </row>
    <row r="237" spans="1:49" outlineLevel="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T237" s="7" t="s">
        <v>2</v>
      </c>
      <c r="U237" s="10" t="s">
        <v>3</v>
      </c>
      <c r="Z237" s="33">
        <v>2021</v>
      </c>
      <c r="AA237" s="34">
        <v>0.65107536491747087</v>
      </c>
      <c r="AB237" s="33">
        <f>+Z237</f>
        <v>2021</v>
      </c>
      <c r="AC237" s="35">
        <v>5.9743403600312946E-3</v>
      </c>
      <c r="AE237" s="7" t="s">
        <v>0</v>
      </c>
      <c r="AF237" s="7" t="s">
        <v>1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</row>
    <row r="238" spans="1:49" outlineLevel="1" x14ac:dyDescent="0.25">
      <c r="AH238" s="9"/>
      <c r="AJ238" s="9"/>
      <c r="AL238" s="9"/>
      <c r="AN238" s="9"/>
      <c r="AO238" s="9"/>
      <c r="AP238" s="9"/>
      <c r="AQ238" s="9"/>
      <c r="AR238" s="9"/>
      <c r="AT238" s="9"/>
    </row>
    <row r="239" spans="1:49" outlineLevel="1" x14ac:dyDescent="0.25">
      <c r="B239" s="2" t="s">
        <v>5</v>
      </c>
      <c r="C239" s="2">
        <v>2022</v>
      </c>
      <c r="D239" s="1">
        <v>720</v>
      </c>
      <c r="E239" s="11">
        <v>45265</v>
      </c>
      <c r="F239" s="1">
        <v>141</v>
      </c>
      <c r="G239" s="11">
        <v>9069</v>
      </c>
      <c r="H239" s="1">
        <v>83</v>
      </c>
      <c r="I239" s="11">
        <v>6467</v>
      </c>
      <c r="J239" s="1">
        <v>22335</v>
      </c>
      <c r="K239" s="11">
        <v>1765095</v>
      </c>
      <c r="L239" s="1">
        <v>1295</v>
      </c>
      <c r="M239" s="11">
        <v>125184</v>
      </c>
      <c r="N239" s="1">
        <v>639</v>
      </c>
      <c r="O239" s="11">
        <v>53423</v>
      </c>
      <c r="P239" s="8">
        <v>0</v>
      </c>
      <c r="Q239" s="11">
        <v>0</v>
      </c>
      <c r="R239" s="8">
        <v>0</v>
      </c>
      <c r="S239" s="11">
        <v>0</v>
      </c>
      <c r="T239" s="53">
        <f t="shared" ref="T239:T250" si="278">N239+L239+J239+H239+D239+P239+F239+R239</f>
        <v>25213</v>
      </c>
      <c r="U239" s="54">
        <f t="shared" ref="U239:U250" si="279">O239+M239+K239+I239+E239+Q239+G239+S239</f>
        <v>2004503</v>
      </c>
      <c r="V239" s="2" t="s">
        <v>68</v>
      </c>
      <c r="Z239" s="30"/>
      <c r="AA239" s="30">
        <f>+Z239/J239</f>
        <v>0</v>
      </c>
      <c r="AB239" s="31"/>
      <c r="AC239" s="32">
        <f>+AB239/K239</f>
        <v>0</v>
      </c>
      <c r="AE239" s="2" t="s">
        <v>5</v>
      </c>
      <c r="AF239" s="2">
        <v>2021</v>
      </c>
      <c r="AG239" s="1">
        <f t="shared" ref="AG239:AG250" si="280">D239+H239+F239</f>
        <v>944</v>
      </c>
      <c r="AH239" s="11">
        <f t="shared" ref="AH239:AH250" si="281">E239+I239+G239</f>
        <v>60801</v>
      </c>
      <c r="AI239" s="1">
        <f t="shared" ref="AI239:AI250" si="282">+J239</f>
        <v>22335</v>
      </c>
      <c r="AJ239" s="11">
        <f t="shared" ref="AJ239:AJ250" si="283">+K239</f>
        <v>1765095</v>
      </c>
      <c r="AK239" s="8">
        <f t="shared" ref="AK239:AK250" si="284">+L239</f>
        <v>1295</v>
      </c>
      <c r="AL239" s="11">
        <f t="shared" ref="AL239:AL250" si="285">+M239</f>
        <v>125184</v>
      </c>
      <c r="AM239" s="8">
        <f t="shared" ref="AM239:AM250" si="286">+N239</f>
        <v>639</v>
      </c>
      <c r="AN239" s="11">
        <f t="shared" ref="AN239:AN250" si="287">+O239</f>
        <v>53423</v>
      </c>
      <c r="AO239" s="8">
        <f t="shared" ref="AO239:AO250" si="288">+P239</f>
        <v>0</v>
      </c>
      <c r="AP239" s="11">
        <f t="shared" ref="AP239:AP250" si="289">+Q239</f>
        <v>0</v>
      </c>
      <c r="AQ239" s="11">
        <f t="shared" ref="AQ239:AQ250" si="290">+R239</f>
        <v>0</v>
      </c>
      <c r="AR239" s="11">
        <f t="shared" ref="AR239:AR250" si="291">+S239</f>
        <v>0</v>
      </c>
      <c r="AS239" s="8">
        <f>AO239+AM239+AK239+AI239+AG239+AQ239</f>
        <v>25213</v>
      </c>
      <c r="AT239" s="11">
        <f t="shared" ref="AT239:AT250" si="292">AP239+AN239+AL239+AJ239+AH239+AR239</f>
        <v>2004503</v>
      </c>
      <c r="AU239" s="2" t="str">
        <f t="shared" ref="AU239:AU250" si="293">+V239</f>
        <v>IRAPUATO</v>
      </c>
      <c r="AV239" s="37">
        <f t="shared" ref="AV239:AV250" si="294">+AS239-T239</f>
        <v>0</v>
      </c>
      <c r="AW239" s="37">
        <f t="shared" ref="AW239:AW250" si="295">+AT239-U239</f>
        <v>0</v>
      </c>
    </row>
    <row r="240" spans="1:49" outlineLevel="1" x14ac:dyDescent="0.25">
      <c r="B240" s="2" t="s">
        <v>6</v>
      </c>
      <c r="C240" s="2">
        <v>2022</v>
      </c>
      <c r="D240" s="1">
        <v>614</v>
      </c>
      <c r="E240" s="11">
        <v>37196</v>
      </c>
      <c r="F240" s="1">
        <v>172</v>
      </c>
      <c r="G240" s="11">
        <v>12118</v>
      </c>
      <c r="H240" s="1">
        <v>93</v>
      </c>
      <c r="I240" s="11">
        <v>7969</v>
      </c>
      <c r="J240" s="1">
        <v>21471</v>
      </c>
      <c r="K240" s="11">
        <v>1675499</v>
      </c>
      <c r="L240" s="1">
        <v>1150</v>
      </c>
      <c r="M240" s="11">
        <v>111639</v>
      </c>
      <c r="N240" s="1">
        <v>474</v>
      </c>
      <c r="O240" s="11">
        <v>39860</v>
      </c>
      <c r="P240" s="8">
        <v>0</v>
      </c>
      <c r="Q240" s="11">
        <v>0</v>
      </c>
      <c r="R240" s="8">
        <v>0</v>
      </c>
      <c r="S240" s="11">
        <v>0</v>
      </c>
      <c r="T240" s="53">
        <f t="shared" si="278"/>
        <v>23974</v>
      </c>
      <c r="U240" s="54">
        <f t="shared" si="279"/>
        <v>1884281</v>
      </c>
      <c r="V240" s="2" t="s">
        <v>68</v>
      </c>
      <c r="Z240" s="30"/>
      <c r="AA240" s="30">
        <f t="shared" ref="AA240:AA250" si="296">+Z240/J240</f>
        <v>0</v>
      </c>
      <c r="AB240" s="31"/>
      <c r="AC240" s="32">
        <f t="shared" ref="AC240:AC250" si="297">+AB240/K240</f>
        <v>0</v>
      </c>
      <c r="AE240" s="2" t="s">
        <v>6</v>
      </c>
      <c r="AF240" s="2">
        <v>2021</v>
      </c>
      <c r="AG240" s="1">
        <f t="shared" si="280"/>
        <v>879</v>
      </c>
      <c r="AH240" s="11">
        <f t="shared" si="281"/>
        <v>57283</v>
      </c>
      <c r="AI240" s="1">
        <f t="shared" si="282"/>
        <v>21471</v>
      </c>
      <c r="AJ240" s="11">
        <f t="shared" si="283"/>
        <v>1675499</v>
      </c>
      <c r="AK240" s="8">
        <f t="shared" si="284"/>
        <v>1150</v>
      </c>
      <c r="AL240" s="11">
        <f t="shared" si="285"/>
        <v>111639</v>
      </c>
      <c r="AM240" s="8">
        <f t="shared" si="286"/>
        <v>474</v>
      </c>
      <c r="AN240" s="11">
        <f t="shared" si="287"/>
        <v>39860</v>
      </c>
      <c r="AO240" s="8">
        <f t="shared" si="288"/>
        <v>0</v>
      </c>
      <c r="AP240" s="11">
        <f t="shared" si="289"/>
        <v>0</v>
      </c>
      <c r="AQ240" s="11">
        <f t="shared" si="290"/>
        <v>0</v>
      </c>
      <c r="AR240" s="11">
        <f t="shared" si="291"/>
        <v>0</v>
      </c>
      <c r="AS240" s="8">
        <f t="shared" ref="AS240:AS250" si="298">AO240+AM240+AK240+AI240+AG240+AQ240</f>
        <v>23974</v>
      </c>
      <c r="AT240" s="11">
        <f t="shared" si="292"/>
        <v>1884281</v>
      </c>
      <c r="AU240" s="2" t="str">
        <f t="shared" si="293"/>
        <v>IRAPUATO</v>
      </c>
      <c r="AV240" s="37">
        <f t="shared" si="294"/>
        <v>0</v>
      </c>
      <c r="AW240" s="37">
        <f t="shared" si="295"/>
        <v>0</v>
      </c>
    </row>
    <row r="241" spans="2:49" outlineLevel="1" x14ac:dyDescent="0.25">
      <c r="B241" s="2" t="s">
        <v>7</v>
      </c>
      <c r="C241" s="2">
        <v>2022</v>
      </c>
      <c r="D241" s="1">
        <v>749</v>
      </c>
      <c r="E241" s="11">
        <v>43358</v>
      </c>
      <c r="F241" s="1">
        <v>207</v>
      </c>
      <c r="G241" s="11">
        <v>13932</v>
      </c>
      <c r="H241" s="1">
        <v>98</v>
      </c>
      <c r="I241" s="11">
        <v>7109</v>
      </c>
      <c r="J241" s="1">
        <v>23641</v>
      </c>
      <c r="K241" s="11">
        <v>1773586</v>
      </c>
      <c r="L241" s="1">
        <v>1255</v>
      </c>
      <c r="M241" s="11">
        <v>119964</v>
      </c>
      <c r="N241" s="1">
        <v>648</v>
      </c>
      <c r="O241" s="11">
        <v>53002</v>
      </c>
      <c r="P241" s="8">
        <v>0</v>
      </c>
      <c r="Q241" s="11">
        <v>0</v>
      </c>
      <c r="R241" s="8">
        <v>0</v>
      </c>
      <c r="S241" s="11">
        <v>0</v>
      </c>
      <c r="T241" s="53">
        <f t="shared" ref="T241" si="299">N241+L241+J241+H241+D241+P241+F241+R241</f>
        <v>26598</v>
      </c>
      <c r="U241" s="54">
        <f t="shared" ref="U241" si="300">O241+M241+K241+I241+E241+Q241+G241+S241</f>
        <v>2010951</v>
      </c>
      <c r="V241" s="2" t="s">
        <v>68</v>
      </c>
      <c r="Z241" s="30"/>
      <c r="AA241" s="30">
        <f t="shared" si="296"/>
        <v>0</v>
      </c>
      <c r="AB241" s="31"/>
      <c r="AC241" s="32">
        <f t="shared" si="297"/>
        <v>0</v>
      </c>
      <c r="AD241" s="13"/>
      <c r="AE241" s="2" t="s">
        <v>7</v>
      </c>
      <c r="AF241" s="2">
        <v>2021</v>
      </c>
      <c r="AG241" s="1">
        <f t="shared" si="280"/>
        <v>1054</v>
      </c>
      <c r="AH241" s="11">
        <f t="shared" si="281"/>
        <v>64399</v>
      </c>
      <c r="AI241" s="1">
        <f t="shared" si="282"/>
        <v>23641</v>
      </c>
      <c r="AJ241" s="11">
        <f t="shared" si="283"/>
        <v>1773586</v>
      </c>
      <c r="AK241" s="8">
        <f t="shared" si="284"/>
        <v>1255</v>
      </c>
      <c r="AL241" s="11">
        <f t="shared" si="285"/>
        <v>119964</v>
      </c>
      <c r="AM241" s="8">
        <f t="shared" si="286"/>
        <v>648</v>
      </c>
      <c r="AN241" s="11">
        <f t="shared" si="287"/>
        <v>53002</v>
      </c>
      <c r="AO241" s="8">
        <f t="shared" si="288"/>
        <v>0</v>
      </c>
      <c r="AP241" s="11">
        <f t="shared" si="289"/>
        <v>0</v>
      </c>
      <c r="AQ241" s="11">
        <f t="shared" si="290"/>
        <v>0</v>
      </c>
      <c r="AR241" s="11">
        <f t="shared" si="291"/>
        <v>0</v>
      </c>
      <c r="AS241" s="8">
        <f t="shared" si="298"/>
        <v>26598</v>
      </c>
      <c r="AT241" s="11">
        <f t="shared" si="292"/>
        <v>2010951</v>
      </c>
      <c r="AU241" s="2" t="str">
        <f t="shared" si="293"/>
        <v>IRAPUATO</v>
      </c>
      <c r="AV241" s="37">
        <f t="shared" si="294"/>
        <v>0</v>
      </c>
      <c r="AW241" s="37">
        <f t="shared" si="295"/>
        <v>0</v>
      </c>
    </row>
    <row r="242" spans="2:49" outlineLevel="1" x14ac:dyDescent="0.25">
      <c r="B242" s="2" t="s">
        <v>8</v>
      </c>
      <c r="C242" s="2">
        <v>2022</v>
      </c>
      <c r="D242" s="1">
        <v>660</v>
      </c>
      <c r="E242" s="11">
        <v>34848</v>
      </c>
      <c r="F242" s="1">
        <v>209</v>
      </c>
      <c r="G242" s="11">
        <v>13636</v>
      </c>
      <c r="H242" s="1">
        <v>117</v>
      </c>
      <c r="I242" s="11">
        <v>8258</v>
      </c>
      <c r="J242" s="1">
        <v>21062</v>
      </c>
      <c r="K242" s="11">
        <v>1572491</v>
      </c>
      <c r="L242" s="1">
        <v>1106</v>
      </c>
      <c r="M242" s="11">
        <v>102096</v>
      </c>
      <c r="N242" s="1">
        <v>670</v>
      </c>
      <c r="O242" s="11">
        <v>61754</v>
      </c>
      <c r="P242" s="8">
        <v>0</v>
      </c>
      <c r="Q242" s="11">
        <v>0</v>
      </c>
      <c r="R242" s="8">
        <v>0</v>
      </c>
      <c r="S242" s="11">
        <v>0</v>
      </c>
      <c r="T242" s="53">
        <f t="shared" ref="T242:T243" si="301">N242+L242+J242+H242+D242+P242+F242+R242</f>
        <v>23824</v>
      </c>
      <c r="U242" s="54">
        <f t="shared" ref="U242:U243" si="302">O242+M242+K242+I242+E242+Q242+G242+S242</f>
        <v>1793083</v>
      </c>
      <c r="V242" s="2" t="s">
        <v>68</v>
      </c>
      <c r="Z242" s="30"/>
      <c r="AA242" s="30">
        <f t="shared" si="296"/>
        <v>0</v>
      </c>
      <c r="AB242" s="31"/>
      <c r="AC242" s="32">
        <f t="shared" si="297"/>
        <v>0</v>
      </c>
      <c r="AD242" s="13"/>
      <c r="AE242" s="2" t="s">
        <v>8</v>
      </c>
      <c r="AF242" s="2">
        <v>2021</v>
      </c>
      <c r="AG242" s="1">
        <f t="shared" si="280"/>
        <v>986</v>
      </c>
      <c r="AH242" s="11">
        <f t="shared" si="281"/>
        <v>56742</v>
      </c>
      <c r="AI242" s="1">
        <f t="shared" si="282"/>
        <v>21062</v>
      </c>
      <c r="AJ242" s="11">
        <f t="shared" si="283"/>
        <v>1572491</v>
      </c>
      <c r="AK242" s="8">
        <f t="shared" si="284"/>
        <v>1106</v>
      </c>
      <c r="AL242" s="11">
        <f t="shared" si="285"/>
        <v>102096</v>
      </c>
      <c r="AM242" s="8">
        <f t="shared" si="286"/>
        <v>670</v>
      </c>
      <c r="AN242" s="11">
        <f t="shared" si="287"/>
        <v>61754</v>
      </c>
      <c r="AO242" s="8">
        <f t="shared" si="288"/>
        <v>0</v>
      </c>
      <c r="AP242" s="11">
        <f t="shared" si="289"/>
        <v>0</v>
      </c>
      <c r="AQ242" s="11">
        <f t="shared" si="290"/>
        <v>0</v>
      </c>
      <c r="AR242" s="11">
        <f t="shared" si="291"/>
        <v>0</v>
      </c>
      <c r="AS242" s="8">
        <f t="shared" si="298"/>
        <v>23824</v>
      </c>
      <c r="AT242" s="11">
        <f t="shared" si="292"/>
        <v>1793083</v>
      </c>
      <c r="AU242" s="2" t="str">
        <f t="shared" si="293"/>
        <v>IRAPUATO</v>
      </c>
      <c r="AV242" s="37">
        <f t="shared" si="294"/>
        <v>0</v>
      </c>
      <c r="AW242" s="37">
        <f t="shared" si="295"/>
        <v>0</v>
      </c>
    </row>
    <row r="243" spans="2:49" outlineLevel="1" x14ac:dyDescent="0.25">
      <c r="B243" s="2" t="s">
        <v>9</v>
      </c>
      <c r="C243" s="2">
        <v>2022</v>
      </c>
      <c r="D243" s="1">
        <v>718</v>
      </c>
      <c r="E243" s="11">
        <v>43890</v>
      </c>
      <c r="F243" s="1">
        <v>263</v>
      </c>
      <c r="G243" s="11">
        <v>19974</v>
      </c>
      <c r="H243" s="1">
        <v>107</v>
      </c>
      <c r="I243" s="11">
        <v>8298</v>
      </c>
      <c r="J243" s="1">
        <v>24213</v>
      </c>
      <c r="K243" s="11">
        <v>1915236</v>
      </c>
      <c r="L243" s="1">
        <v>1139</v>
      </c>
      <c r="M243" s="11">
        <v>112249</v>
      </c>
      <c r="N243" s="1">
        <v>646</v>
      </c>
      <c r="O243" s="11">
        <v>61188</v>
      </c>
      <c r="P243" s="8">
        <v>0</v>
      </c>
      <c r="Q243" s="11">
        <v>0</v>
      </c>
      <c r="R243" s="8">
        <v>0</v>
      </c>
      <c r="S243" s="11">
        <v>0</v>
      </c>
      <c r="T243" s="53">
        <f t="shared" si="301"/>
        <v>27086</v>
      </c>
      <c r="U243" s="54">
        <f t="shared" si="302"/>
        <v>2160835</v>
      </c>
      <c r="V243" s="2" t="s">
        <v>68</v>
      </c>
      <c r="Z243" s="30"/>
      <c r="AA243" s="30">
        <f t="shared" si="296"/>
        <v>0</v>
      </c>
      <c r="AB243" s="31"/>
      <c r="AC243" s="32">
        <f t="shared" si="297"/>
        <v>0</v>
      </c>
      <c r="AD243" s="13"/>
      <c r="AE243" s="2" t="s">
        <v>9</v>
      </c>
      <c r="AF243" s="2">
        <v>2021</v>
      </c>
      <c r="AG243" s="1">
        <f t="shared" si="280"/>
        <v>1088</v>
      </c>
      <c r="AH243" s="11">
        <f t="shared" si="281"/>
        <v>72162</v>
      </c>
      <c r="AI243" s="1">
        <f t="shared" si="282"/>
        <v>24213</v>
      </c>
      <c r="AJ243" s="11">
        <f t="shared" si="283"/>
        <v>1915236</v>
      </c>
      <c r="AK243" s="8">
        <f t="shared" si="284"/>
        <v>1139</v>
      </c>
      <c r="AL243" s="11">
        <f t="shared" si="285"/>
        <v>112249</v>
      </c>
      <c r="AM243" s="8">
        <f t="shared" si="286"/>
        <v>646</v>
      </c>
      <c r="AN243" s="11">
        <f t="shared" si="287"/>
        <v>61188</v>
      </c>
      <c r="AO243" s="8">
        <f t="shared" si="288"/>
        <v>0</v>
      </c>
      <c r="AP243" s="11">
        <f t="shared" si="289"/>
        <v>0</v>
      </c>
      <c r="AQ243" s="11">
        <f t="shared" si="290"/>
        <v>0</v>
      </c>
      <c r="AR243" s="11">
        <f t="shared" si="291"/>
        <v>0</v>
      </c>
      <c r="AS243" s="8">
        <f t="shared" si="298"/>
        <v>27086</v>
      </c>
      <c r="AT243" s="11">
        <f t="shared" si="292"/>
        <v>2160835</v>
      </c>
      <c r="AU243" s="2" t="str">
        <f t="shared" si="293"/>
        <v>IRAPUATO</v>
      </c>
      <c r="AV243" s="37">
        <f t="shared" si="294"/>
        <v>0</v>
      </c>
      <c r="AW243" s="37">
        <f t="shared" si="295"/>
        <v>0</v>
      </c>
    </row>
    <row r="244" spans="2:49" outlineLevel="1" x14ac:dyDescent="0.25">
      <c r="B244" s="2" t="s">
        <v>10</v>
      </c>
      <c r="C244" s="2">
        <v>2022</v>
      </c>
      <c r="D244" s="1">
        <v>807</v>
      </c>
      <c r="E244" s="11">
        <v>48559</v>
      </c>
      <c r="F244" s="1">
        <v>306</v>
      </c>
      <c r="G244" s="11">
        <v>23879</v>
      </c>
      <c r="H244" s="1">
        <v>104</v>
      </c>
      <c r="I244" s="11">
        <v>7290</v>
      </c>
      <c r="J244" s="1">
        <v>24591</v>
      </c>
      <c r="K244" s="11">
        <v>1920544</v>
      </c>
      <c r="L244" s="1">
        <v>1107</v>
      </c>
      <c r="M244" s="11">
        <v>111840</v>
      </c>
      <c r="N244" s="1">
        <v>917</v>
      </c>
      <c r="O244" s="11">
        <v>91244</v>
      </c>
      <c r="P244" s="8">
        <v>0</v>
      </c>
      <c r="Q244" s="11">
        <v>0</v>
      </c>
      <c r="R244" s="8">
        <v>0</v>
      </c>
      <c r="S244" s="11">
        <v>0</v>
      </c>
      <c r="T244" s="53">
        <f t="shared" si="278"/>
        <v>27832</v>
      </c>
      <c r="U244" s="54">
        <f t="shared" si="279"/>
        <v>2203356</v>
      </c>
      <c r="V244" s="2" t="s">
        <v>68</v>
      </c>
      <c r="Z244" s="30"/>
      <c r="AA244" s="30">
        <f t="shared" si="296"/>
        <v>0</v>
      </c>
      <c r="AB244" s="31"/>
      <c r="AC244" s="32">
        <f t="shared" si="297"/>
        <v>0</v>
      </c>
      <c r="AE244" s="2" t="s">
        <v>10</v>
      </c>
      <c r="AF244" s="2">
        <v>2021</v>
      </c>
      <c r="AG244" s="1">
        <f t="shared" si="280"/>
        <v>1217</v>
      </c>
      <c r="AH244" s="11">
        <f t="shared" si="281"/>
        <v>79728</v>
      </c>
      <c r="AI244" s="1">
        <f t="shared" si="282"/>
        <v>24591</v>
      </c>
      <c r="AJ244" s="11">
        <f t="shared" si="283"/>
        <v>1920544</v>
      </c>
      <c r="AK244" s="8">
        <f t="shared" si="284"/>
        <v>1107</v>
      </c>
      <c r="AL244" s="11">
        <f t="shared" si="285"/>
        <v>111840</v>
      </c>
      <c r="AM244" s="8">
        <f t="shared" si="286"/>
        <v>917</v>
      </c>
      <c r="AN244" s="11">
        <f t="shared" si="287"/>
        <v>91244</v>
      </c>
      <c r="AO244" s="8">
        <f t="shared" si="288"/>
        <v>0</v>
      </c>
      <c r="AP244" s="11">
        <f t="shared" si="289"/>
        <v>0</v>
      </c>
      <c r="AQ244" s="11">
        <f t="shared" si="290"/>
        <v>0</v>
      </c>
      <c r="AR244" s="11">
        <f t="shared" si="291"/>
        <v>0</v>
      </c>
      <c r="AS244" s="8">
        <f t="shared" si="298"/>
        <v>27832</v>
      </c>
      <c r="AT244" s="11">
        <f t="shared" si="292"/>
        <v>2203356</v>
      </c>
      <c r="AU244" s="2" t="str">
        <f t="shared" si="293"/>
        <v>IRAPUATO</v>
      </c>
      <c r="AV244" s="37">
        <f t="shared" si="294"/>
        <v>0</v>
      </c>
      <c r="AW244" s="37">
        <f t="shared" si="295"/>
        <v>0</v>
      </c>
    </row>
    <row r="245" spans="2:49" outlineLevel="1" x14ac:dyDescent="0.25">
      <c r="B245" s="2" t="s">
        <v>11</v>
      </c>
      <c r="C245" s="2">
        <v>2022</v>
      </c>
      <c r="D245" s="1">
        <v>747</v>
      </c>
      <c r="E245" s="11">
        <v>46174</v>
      </c>
      <c r="F245" s="1">
        <v>263</v>
      </c>
      <c r="G245" s="11">
        <v>21108</v>
      </c>
      <c r="H245" s="1">
        <v>167</v>
      </c>
      <c r="I245" s="11">
        <v>12873</v>
      </c>
      <c r="J245" s="1">
        <v>23493</v>
      </c>
      <c r="K245" s="11">
        <v>1835587</v>
      </c>
      <c r="L245" s="1">
        <v>1247</v>
      </c>
      <c r="M245" s="11">
        <v>125295</v>
      </c>
      <c r="N245" s="1">
        <v>1001</v>
      </c>
      <c r="O245" s="11">
        <v>99598</v>
      </c>
      <c r="P245" s="8">
        <v>0</v>
      </c>
      <c r="Q245" s="11">
        <v>0</v>
      </c>
      <c r="R245" s="8">
        <v>8</v>
      </c>
      <c r="S245" s="11">
        <v>932</v>
      </c>
      <c r="T245" s="53">
        <f t="shared" si="278"/>
        <v>26926</v>
      </c>
      <c r="U245" s="54">
        <f t="shared" si="279"/>
        <v>2141567</v>
      </c>
      <c r="V245" s="2" t="s">
        <v>68</v>
      </c>
      <c r="Z245" s="30"/>
      <c r="AA245" s="30">
        <f t="shared" si="296"/>
        <v>0</v>
      </c>
      <c r="AB245" s="31"/>
      <c r="AC245" s="32">
        <f t="shared" si="297"/>
        <v>0</v>
      </c>
      <c r="AE245" s="2" t="s">
        <v>11</v>
      </c>
      <c r="AF245" s="2">
        <v>2021</v>
      </c>
      <c r="AG245" s="1">
        <f t="shared" si="280"/>
        <v>1177</v>
      </c>
      <c r="AH245" s="11">
        <f t="shared" si="281"/>
        <v>80155</v>
      </c>
      <c r="AI245" s="1">
        <f t="shared" si="282"/>
        <v>23493</v>
      </c>
      <c r="AJ245" s="11">
        <f t="shared" si="283"/>
        <v>1835587</v>
      </c>
      <c r="AK245" s="8">
        <f t="shared" si="284"/>
        <v>1247</v>
      </c>
      <c r="AL245" s="11">
        <f t="shared" si="285"/>
        <v>125295</v>
      </c>
      <c r="AM245" s="8">
        <f t="shared" si="286"/>
        <v>1001</v>
      </c>
      <c r="AN245" s="11">
        <f t="shared" si="287"/>
        <v>99598</v>
      </c>
      <c r="AO245" s="8">
        <f t="shared" si="288"/>
        <v>0</v>
      </c>
      <c r="AP245" s="11">
        <f t="shared" si="289"/>
        <v>0</v>
      </c>
      <c r="AQ245" s="11">
        <f t="shared" si="290"/>
        <v>8</v>
      </c>
      <c r="AR245" s="11">
        <f t="shared" si="291"/>
        <v>932</v>
      </c>
      <c r="AS245" s="8">
        <f t="shared" si="298"/>
        <v>26926</v>
      </c>
      <c r="AT245" s="11">
        <f t="shared" si="292"/>
        <v>2141567</v>
      </c>
      <c r="AU245" s="2" t="str">
        <f t="shared" si="293"/>
        <v>IRAPUATO</v>
      </c>
      <c r="AV245" s="37">
        <f t="shared" si="294"/>
        <v>0</v>
      </c>
      <c r="AW245" s="37">
        <f t="shared" si="295"/>
        <v>0</v>
      </c>
    </row>
    <row r="246" spans="2:49" outlineLevel="1" x14ac:dyDescent="0.25">
      <c r="B246" s="2" t="s">
        <v>4</v>
      </c>
      <c r="C246" s="2">
        <v>2022</v>
      </c>
      <c r="D246" s="1">
        <v>807</v>
      </c>
      <c r="E246" s="11">
        <v>57354</v>
      </c>
      <c r="F246" s="1">
        <v>303</v>
      </c>
      <c r="G246" s="11">
        <v>21740</v>
      </c>
      <c r="H246" s="1">
        <v>471</v>
      </c>
      <c r="I246" s="11">
        <v>54082</v>
      </c>
      <c r="J246" s="1">
        <v>24899</v>
      </c>
      <c r="K246" s="11">
        <v>1955563</v>
      </c>
      <c r="L246" s="1">
        <v>1151</v>
      </c>
      <c r="M246" s="11">
        <v>116538</v>
      </c>
      <c r="N246" s="1">
        <v>1006</v>
      </c>
      <c r="O246" s="11">
        <v>106451</v>
      </c>
      <c r="P246" s="8">
        <v>0</v>
      </c>
      <c r="Q246" s="11">
        <v>0</v>
      </c>
      <c r="R246" s="8">
        <v>13</v>
      </c>
      <c r="S246" s="11">
        <v>1476</v>
      </c>
      <c r="T246" s="53">
        <f t="shared" si="278"/>
        <v>28650</v>
      </c>
      <c r="U246" s="54">
        <f t="shared" si="279"/>
        <v>2313204</v>
      </c>
      <c r="V246" s="2" t="s">
        <v>68</v>
      </c>
      <c r="W246" s="38"/>
      <c r="Z246" s="30"/>
      <c r="AA246" s="30">
        <f t="shared" si="296"/>
        <v>0</v>
      </c>
      <c r="AB246" s="31"/>
      <c r="AC246" s="32">
        <f t="shared" si="297"/>
        <v>0</v>
      </c>
      <c r="AE246" s="2" t="s">
        <v>4</v>
      </c>
      <c r="AF246" s="2">
        <v>2021</v>
      </c>
      <c r="AG246" s="1">
        <f t="shared" si="280"/>
        <v>1581</v>
      </c>
      <c r="AH246" s="11">
        <f t="shared" si="281"/>
        <v>133176</v>
      </c>
      <c r="AI246" s="1">
        <f t="shared" si="282"/>
        <v>24899</v>
      </c>
      <c r="AJ246" s="11">
        <f t="shared" si="283"/>
        <v>1955563</v>
      </c>
      <c r="AK246" s="8">
        <f t="shared" si="284"/>
        <v>1151</v>
      </c>
      <c r="AL246" s="11">
        <f t="shared" si="285"/>
        <v>116538</v>
      </c>
      <c r="AM246" s="8">
        <f t="shared" si="286"/>
        <v>1006</v>
      </c>
      <c r="AN246" s="11">
        <f t="shared" si="287"/>
        <v>106451</v>
      </c>
      <c r="AO246" s="8">
        <f t="shared" si="288"/>
        <v>0</v>
      </c>
      <c r="AP246" s="11">
        <f t="shared" si="289"/>
        <v>0</v>
      </c>
      <c r="AQ246" s="11">
        <f t="shared" si="290"/>
        <v>13</v>
      </c>
      <c r="AR246" s="11">
        <f t="shared" si="291"/>
        <v>1476</v>
      </c>
      <c r="AS246" s="8">
        <f t="shared" si="298"/>
        <v>28650</v>
      </c>
      <c r="AT246" s="11">
        <f t="shared" si="292"/>
        <v>2313204</v>
      </c>
      <c r="AU246" s="2" t="str">
        <f t="shared" si="293"/>
        <v>IRAPUATO</v>
      </c>
      <c r="AV246" s="37">
        <f t="shared" si="294"/>
        <v>0</v>
      </c>
      <c r="AW246" s="37">
        <f t="shared" si="295"/>
        <v>0</v>
      </c>
    </row>
    <row r="247" spans="2:49" outlineLevel="1" x14ac:dyDescent="0.25">
      <c r="B247" s="2" t="s">
        <v>28</v>
      </c>
      <c r="C247" s="2">
        <v>2022</v>
      </c>
      <c r="D247" s="1">
        <v>863</v>
      </c>
      <c r="E247" s="11">
        <v>55881</v>
      </c>
      <c r="F247" s="1">
        <v>301</v>
      </c>
      <c r="G247" s="11">
        <v>22924</v>
      </c>
      <c r="H247" s="1">
        <v>463</v>
      </c>
      <c r="I247" s="11">
        <v>43466</v>
      </c>
      <c r="J247" s="1">
        <v>25816</v>
      </c>
      <c r="K247" s="11">
        <v>2032598</v>
      </c>
      <c r="L247" s="1">
        <v>1115</v>
      </c>
      <c r="M247" s="11">
        <v>114608</v>
      </c>
      <c r="N247" s="1">
        <v>870</v>
      </c>
      <c r="O247" s="11">
        <v>91081</v>
      </c>
      <c r="P247" s="8">
        <v>0</v>
      </c>
      <c r="Q247" s="11">
        <v>0</v>
      </c>
      <c r="R247" s="8">
        <v>22</v>
      </c>
      <c r="S247" s="11">
        <v>2314</v>
      </c>
      <c r="T247" s="53">
        <f t="shared" si="278"/>
        <v>29450</v>
      </c>
      <c r="U247" s="54">
        <f t="shared" si="279"/>
        <v>2362872</v>
      </c>
      <c r="V247" s="2" t="s">
        <v>68</v>
      </c>
      <c r="Z247" s="30"/>
      <c r="AA247" s="30">
        <f t="shared" si="296"/>
        <v>0</v>
      </c>
      <c r="AB247" s="31"/>
      <c r="AC247" s="32">
        <f t="shared" si="297"/>
        <v>0</v>
      </c>
      <c r="AE247" s="2" t="s">
        <v>28</v>
      </c>
      <c r="AF247" s="2">
        <v>2021</v>
      </c>
      <c r="AG247" s="1">
        <f t="shared" si="280"/>
        <v>1627</v>
      </c>
      <c r="AH247" s="11">
        <f t="shared" si="281"/>
        <v>122271</v>
      </c>
      <c r="AI247" s="1">
        <f t="shared" si="282"/>
        <v>25816</v>
      </c>
      <c r="AJ247" s="11">
        <f t="shared" si="283"/>
        <v>2032598</v>
      </c>
      <c r="AK247" s="8">
        <f t="shared" si="284"/>
        <v>1115</v>
      </c>
      <c r="AL247" s="11">
        <f t="shared" si="285"/>
        <v>114608</v>
      </c>
      <c r="AM247" s="8">
        <f t="shared" si="286"/>
        <v>870</v>
      </c>
      <c r="AN247" s="11">
        <f t="shared" si="287"/>
        <v>91081</v>
      </c>
      <c r="AO247" s="8">
        <f t="shared" si="288"/>
        <v>0</v>
      </c>
      <c r="AP247" s="11">
        <f t="shared" si="289"/>
        <v>0</v>
      </c>
      <c r="AQ247" s="11">
        <f t="shared" si="290"/>
        <v>22</v>
      </c>
      <c r="AR247" s="11">
        <f t="shared" si="291"/>
        <v>2314</v>
      </c>
      <c r="AS247" s="8">
        <f t="shared" si="298"/>
        <v>29450</v>
      </c>
      <c r="AT247" s="11">
        <f t="shared" si="292"/>
        <v>2362872</v>
      </c>
      <c r="AU247" s="2" t="str">
        <f t="shared" si="293"/>
        <v>IRAPUATO</v>
      </c>
      <c r="AV247" s="37">
        <f t="shared" si="294"/>
        <v>0</v>
      </c>
      <c r="AW247" s="37">
        <f t="shared" si="295"/>
        <v>0</v>
      </c>
    </row>
    <row r="248" spans="2:49" outlineLevel="1" x14ac:dyDescent="0.25">
      <c r="B248" s="2" t="s">
        <v>29</v>
      </c>
      <c r="C248" s="2">
        <v>2022</v>
      </c>
      <c r="D248" s="1">
        <v>858</v>
      </c>
      <c r="E248" s="11">
        <v>56852</v>
      </c>
      <c r="F248" s="1">
        <v>309</v>
      </c>
      <c r="G248" s="11">
        <v>20813</v>
      </c>
      <c r="H248" s="1">
        <v>296</v>
      </c>
      <c r="I248" s="11">
        <v>23237</v>
      </c>
      <c r="J248" s="1">
        <v>26976</v>
      </c>
      <c r="K248" s="11">
        <v>2205822</v>
      </c>
      <c r="L248" s="1">
        <v>978</v>
      </c>
      <c r="M248" s="11">
        <v>102787</v>
      </c>
      <c r="N248" s="1">
        <v>1085</v>
      </c>
      <c r="O248" s="11">
        <v>111769</v>
      </c>
      <c r="P248" s="8">
        <v>0</v>
      </c>
      <c r="Q248" s="11">
        <v>0</v>
      </c>
      <c r="R248" s="8">
        <v>28</v>
      </c>
      <c r="S248" s="11">
        <v>2588</v>
      </c>
      <c r="T248" s="53">
        <f>N248+L248+J248+H248+D248+P248+F248+R248</f>
        <v>30530</v>
      </c>
      <c r="U248" s="54">
        <f>O248+M248+K248+I248+E248+Q248+G248+S248</f>
        <v>2523868</v>
      </c>
      <c r="V248" s="2" t="s">
        <v>68</v>
      </c>
      <c r="Z248" s="30"/>
      <c r="AA248" s="30">
        <f t="shared" si="296"/>
        <v>0</v>
      </c>
      <c r="AB248" s="31"/>
      <c r="AC248" s="32">
        <f t="shared" si="297"/>
        <v>0</v>
      </c>
      <c r="AE248" s="2" t="s">
        <v>29</v>
      </c>
      <c r="AF248" s="2">
        <v>2021</v>
      </c>
      <c r="AG248" s="1">
        <f t="shared" si="280"/>
        <v>1463</v>
      </c>
      <c r="AH248" s="11">
        <f t="shared" si="281"/>
        <v>100902</v>
      </c>
      <c r="AI248" s="1">
        <f t="shared" si="282"/>
        <v>26976</v>
      </c>
      <c r="AJ248" s="11">
        <f t="shared" si="283"/>
        <v>2205822</v>
      </c>
      <c r="AK248" s="8">
        <f t="shared" si="284"/>
        <v>978</v>
      </c>
      <c r="AL248" s="11">
        <f t="shared" si="285"/>
        <v>102787</v>
      </c>
      <c r="AM248" s="8">
        <f t="shared" si="286"/>
        <v>1085</v>
      </c>
      <c r="AN248" s="11">
        <f t="shared" si="287"/>
        <v>111769</v>
      </c>
      <c r="AO248" s="8">
        <f t="shared" si="288"/>
        <v>0</v>
      </c>
      <c r="AP248" s="11">
        <f t="shared" si="289"/>
        <v>0</v>
      </c>
      <c r="AQ248" s="11">
        <f t="shared" si="290"/>
        <v>28</v>
      </c>
      <c r="AR248" s="11">
        <f t="shared" si="291"/>
        <v>2588</v>
      </c>
      <c r="AS248" s="8">
        <f t="shared" si="298"/>
        <v>30530</v>
      </c>
      <c r="AT248" s="11">
        <f t="shared" si="292"/>
        <v>2523868</v>
      </c>
      <c r="AU248" s="2" t="str">
        <f t="shared" si="293"/>
        <v>IRAPUATO</v>
      </c>
      <c r="AV248" s="37">
        <f t="shared" si="294"/>
        <v>0</v>
      </c>
      <c r="AW248" s="37">
        <f t="shared" si="295"/>
        <v>0</v>
      </c>
    </row>
    <row r="249" spans="2:49" outlineLevel="1" x14ac:dyDescent="0.25">
      <c r="B249" s="2" t="s">
        <v>30</v>
      </c>
      <c r="C249" s="2">
        <v>2022</v>
      </c>
      <c r="D249" s="1">
        <v>943</v>
      </c>
      <c r="E249" s="11">
        <v>60101</v>
      </c>
      <c r="F249" s="1">
        <v>357</v>
      </c>
      <c r="G249" s="11">
        <v>23709</v>
      </c>
      <c r="H249" s="1">
        <v>369</v>
      </c>
      <c r="I249" s="11">
        <v>26824</v>
      </c>
      <c r="J249" s="1">
        <v>30988</v>
      </c>
      <c r="K249" s="11">
        <v>2343418</v>
      </c>
      <c r="L249" s="1">
        <v>1164</v>
      </c>
      <c r="M249" s="11">
        <v>118373</v>
      </c>
      <c r="N249" s="1">
        <v>1015</v>
      </c>
      <c r="O249" s="11">
        <v>91010</v>
      </c>
      <c r="P249" s="8">
        <v>0</v>
      </c>
      <c r="Q249" s="11">
        <v>0</v>
      </c>
      <c r="R249" s="8">
        <v>21</v>
      </c>
      <c r="S249" s="11">
        <v>2187</v>
      </c>
      <c r="T249" s="53">
        <f>N249+L249+J249+H249+D249+P249+F249+R249</f>
        <v>34857</v>
      </c>
      <c r="U249" s="54">
        <f>O249+M249+K249+I249+E249+Q249+G249+S249</f>
        <v>2665622</v>
      </c>
      <c r="V249" s="2" t="s">
        <v>68</v>
      </c>
      <c r="Z249" s="30"/>
      <c r="AA249" s="30">
        <f t="shared" si="296"/>
        <v>0</v>
      </c>
      <c r="AB249" s="31"/>
      <c r="AC249" s="32">
        <f t="shared" si="297"/>
        <v>0</v>
      </c>
      <c r="AE249" s="2" t="s">
        <v>30</v>
      </c>
      <c r="AF249" s="2">
        <v>2021</v>
      </c>
      <c r="AG249" s="1">
        <f t="shared" si="280"/>
        <v>1669</v>
      </c>
      <c r="AH249" s="11">
        <f t="shared" si="281"/>
        <v>110634</v>
      </c>
      <c r="AI249" s="1">
        <f t="shared" si="282"/>
        <v>30988</v>
      </c>
      <c r="AJ249" s="11">
        <f t="shared" si="283"/>
        <v>2343418</v>
      </c>
      <c r="AK249" s="8">
        <f t="shared" si="284"/>
        <v>1164</v>
      </c>
      <c r="AL249" s="11">
        <f t="shared" si="285"/>
        <v>118373</v>
      </c>
      <c r="AM249" s="8">
        <f t="shared" si="286"/>
        <v>1015</v>
      </c>
      <c r="AN249" s="11">
        <f t="shared" si="287"/>
        <v>91010</v>
      </c>
      <c r="AO249" s="8">
        <f t="shared" si="288"/>
        <v>0</v>
      </c>
      <c r="AP249" s="11">
        <f t="shared" si="289"/>
        <v>0</v>
      </c>
      <c r="AQ249" s="11">
        <f t="shared" si="290"/>
        <v>21</v>
      </c>
      <c r="AR249" s="11">
        <f t="shared" si="291"/>
        <v>2187</v>
      </c>
      <c r="AS249" s="8">
        <f t="shared" si="298"/>
        <v>34857</v>
      </c>
      <c r="AT249" s="11">
        <f t="shared" si="292"/>
        <v>2665622</v>
      </c>
      <c r="AU249" s="2" t="str">
        <f t="shared" si="293"/>
        <v>IRAPUATO</v>
      </c>
      <c r="AV249" s="37">
        <f t="shared" si="294"/>
        <v>0</v>
      </c>
      <c r="AW249" s="37">
        <f t="shared" si="295"/>
        <v>0</v>
      </c>
    </row>
    <row r="250" spans="2:49" outlineLevel="1" x14ac:dyDescent="0.25">
      <c r="B250" s="2" t="s">
        <v>31</v>
      </c>
      <c r="C250" s="2">
        <v>2022</v>
      </c>
      <c r="D250" s="1">
        <v>846</v>
      </c>
      <c r="E250" s="11">
        <v>53390</v>
      </c>
      <c r="F250" s="1">
        <v>302</v>
      </c>
      <c r="G250" s="11">
        <v>24792</v>
      </c>
      <c r="H250" s="1">
        <v>262</v>
      </c>
      <c r="I250" s="11">
        <v>19532</v>
      </c>
      <c r="J250" s="1">
        <v>27406</v>
      </c>
      <c r="K250" s="11">
        <v>2259045</v>
      </c>
      <c r="L250" s="1">
        <v>1113</v>
      </c>
      <c r="M250" s="11">
        <v>119567</v>
      </c>
      <c r="N250" s="1">
        <v>877</v>
      </c>
      <c r="O250" s="11">
        <v>85783</v>
      </c>
      <c r="P250" s="8">
        <v>0</v>
      </c>
      <c r="Q250" s="11">
        <v>0</v>
      </c>
      <c r="R250" s="8">
        <v>23</v>
      </c>
      <c r="S250" s="11">
        <v>1251</v>
      </c>
      <c r="T250" s="53">
        <f t="shared" si="278"/>
        <v>30829</v>
      </c>
      <c r="U250" s="54">
        <f t="shared" si="279"/>
        <v>2563360</v>
      </c>
      <c r="V250" s="2" t="s">
        <v>68</v>
      </c>
      <c r="W250">
        <v>2563360</v>
      </c>
      <c r="X250" s="13">
        <f>+W250-U250</f>
        <v>0</v>
      </c>
      <c r="Z250" s="30"/>
      <c r="AA250" s="30">
        <f t="shared" si="296"/>
        <v>0</v>
      </c>
      <c r="AB250" s="31"/>
      <c r="AC250" s="32">
        <f t="shared" si="297"/>
        <v>0</v>
      </c>
      <c r="AE250" s="2" t="s">
        <v>31</v>
      </c>
      <c r="AF250" s="2">
        <v>2021</v>
      </c>
      <c r="AG250" s="1">
        <f t="shared" si="280"/>
        <v>1410</v>
      </c>
      <c r="AH250" s="11">
        <f t="shared" si="281"/>
        <v>97714</v>
      </c>
      <c r="AI250" s="1">
        <f t="shared" si="282"/>
        <v>27406</v>
      </c>
      <c r="AJ250" s="11">
        <f t="shared" si="283"/>
        <v>2259045</v>
      </c>
      <c r="AK250" s="8">
        <f t="shared" si="284"/>
        <v>1113</v>
      </c>
      <c r="AL250" s="11">
        <f t="shared" si="285"/>
        <v>119567</v>
      </c>
      <c r="AM250" s="8">
        <f t="shared" si="286"/>
        <v>877</v>
      </c>
      <c r="AN250" s="11">
        <f t="shared" si="287"/>
        <v>85783</v>
      </c>
      <c r="AO250" s="8">
        <f t="shared" si="288"/>
        <v>0</v>
      </c>
      <c r="AP250" s="11">
        <f t="shared" si="289"/>
        <v>0</v>
      </c>
      <c r="AQ250" s="11">
        <f t="shared" si="290"/>
        <v>23</v>
      </c>
      <c r="AR250" s="11">
        <f t="shared" si="291"/>
        <v>1251</v>
      </c>
      <c r="AS250" s="8">
        <f t="shared" si="298"/>
        <v>30829</v>
      </c>
      <c r="AT250" s="11">
        <f t="shared" si="292"/>
        <v>2563360</v>
      </c>
      <c r="AU250" s="2" t="str">
        <f t="shared" si="293"/>
        <v>IRAPUATO</v>
      </c>
      <c r="AV250" s="37">
        <f t="shared" si="294"/>
        <v>0</v>
      </c>
      <c r="AW250" s="37">
        <f t="shared" si="295"/>
        <v>0</v>
      </c>
    </row>
    <row r="251" spans="2:49" outlineLevel="1" x14ac:dyDescent="0.25">
      <c r="AH251" s="9"/>
      <c r="AJ251" s="9"/>
      <c r="AL251" s="9"/>
      <c r="AN251" s="9"/>
      <c r="AO251" s="9"/>
      <c r="AP251" s="9"/>
      <c r="AQ251" s="9"/>
      <c r="AR251" s="9"/>
      <c r="AT251" s="9"/>
    </row>
    <row r="252" spans="2:49" outlineLevel="1" x14ac:dyDescent="0.25">
      <c r="B252" s="3" t="s">
        <v>12</v>
      </c>
      <c r="C252" s="3"/>
      <c r="D252" s="4">
        <f t="shared" ref="D252:U252" si="303">SUM(D239:D251)</f>
        <v>9332</v>
      </c>
      <c r="E252" s="12">
        <f t="shared" si="303"/>
        <v>582868</v>
      </c>
      <c r="F252" s="4">
        <f t="shared" si="303"/>
        <v>3133</v>
      </c>
      <c r="G252" s="12">
        <f t="shared" si="303"/>
        <v>227694</v>
      </c>
      <c r="H252" s="4">
        <f t="shared" si="303"/>
        <v>2630</v>
      </c>
      <c r="I252" s="12">
        <f t="shared" si="303"/>
        <v>225405</v>
      </c>
      <c r="J252" s="4">
        <f t="shared" si="303"/>
        <v>296891</v>
      </c>
      <c r="K252" s="12">
        <f t="shared" si="303"/>
        <v>23254484</v>
      </c>
      <c r="L252" s="4">
        <f t="shared" si="303"/>
        <v>13820</v>
      </c>
      <c r="M252" s="12">
        <f t="shared" si="303"/>
        <v>1380140</v>
      </c>
      <c r="N252" s="4">
        <f t="shared" si="303"/>
        <v>9848</v>
      </c>
      <c r="O252" s="12">
        <f t="shared" si="303"/>
        <v>946163</v>
      </c>
      <c r="P252" s="4">
        <f>SUM(P239:P251)</f>
        <v>0</v>
      </c>
      <c r="Q252" s="12">
        <f>SUM(Q239:Q251)</f>
        <v>0</v>
      </c>
      <c r="R252" s="4">
        <f>SUM(R239:R251)</f>
        <v>115</v>
      </c>
      <c r="S252" s="12">
        <f>SUM(S239:S251)</f>
        <v>10748</v>
      </c>
      <c r="T252" s="4">
        <f t="shared" si="303"/>
        <v>335769</v>
      </c>
      <c r="U252" s="12">
        <f t="shared" si="303"/>
        <v>26627502</v>
      </c>
      <c r="Z252" s="12" t="e">
        <f>AVERAGE(Z239:Z251)</f>
        <v>#DIV/0!</v>
      </c>
      <c r="AA252" s="12">
        <f t="shared" ref="AA252:AC252" si="304">AVERAGE(AA239:AA251)</f>
        <v>0</v>
      </c>
      <c r="AB252" s="12" t="e">
        <f t="shared" si="304"/>
        <v>#DIV/0!</v>
      </c>
      <c r="AC252" s="16">
        <f t="shared" si="304"/>
        <v>0</v>
      </c>
      <c r="AE252" s="3" t="s">
        <v>12</v>
      </c>
      <c r="AF252" s="3"/>
      <c r="AG252" s="4">
        <f t="shared" ref="AG252:AT252" si="305">SUM(AG239:AG251)</f>
        <v>15095</v>
      </c>
      <c r="AH252" s="12">
        <f t="shared" si="305"/>
        <v>1035967</v>
      </c>
      <c r="AI252" s="4">
        <f t="shared" si="305"/>
        <v>296891</v>
      </c>
      <c r="AJ252" s="12">
        <f t="shared" si="305"/>
        <v>23254484</v>
      </c>
      <c r="AK252" s="4">
        <f t="shared" si="305"/>
        <v>13820</v>
      </c>
      <c r="AL252" s="12">
        <f t="shared" si="305"/>
        <v>1380140</v>
      </c>
      <c r="AM252" s="4">
        <f t="shared" si="305"/>
        <v>9848</v>
      </c>
      <c r="AN252" s="12">
        <f t="shared" si="305"/>
        <v>946163</v>
      </c>
      <c r="AO252" s="4">
        <f t="shared" si="305"/>
        <v>0</v>
      </c>
      <c r="AP252" s="12">
        <f t="shared" si="305"/>
        <v>0</v>
      </c>
      <c r="AQ252" s="4">
        <f t="shared" si="305"/>
        <v>115</v>
      </c>
      <c r="AR252" s="12">
        <f t="shared" si="305"/>
        <v>10748</v>
      </c>
      <c r="AS252" s="4">
        <f t="shared" si="305"/>
        <v>335769</v>
      </c>
      <c r="AT252" s="12">
        <f t="shared" si="305"/>
        <v>26627502</v>
      </c>
    </row>
    <row r="253" spans="2:49" outlineLevel="1" x14ac:dyDescent="0.25">
      <c r="J253" s="46" t="str">
        <f>+$B$234</f>
        <v>Aforo e Ingreso - IRAPUATO</v>
      </c>
      <c r="K253" s="9" t="s">
        <v>84</v>
      </c>
      <c r="L253" s="15">
        <f>AVERAGE(L239:L250)</f>
        <v>1151.6666666666667</v>
      </c>
      <c r="M253" s="60">
        <f>AVERAGE(M239:M250)</f>
        <v>115011.66666666667</v>
      </c>
      <c r="T253" s="15">
        <f>AVERAGE(T239:T250)</f>
        <v>27980.75</v>
      </c>
      <c r="U253" s="28">
        <f>AVERAGE(U239:U250)</f>
        <v>2218958.5</v>
      </c>
    </row>
    <row r="254" spans="2:49" outlineLevel="1" x14ac:dyDescent="0.25">
      <c r="B254" s="5" t="s">
        <v>14</v>
      </c>
      <c r="J254" s="46" t="str">
        <f>+$B$234</f>
        <v>Aforo e Ingreso - IRAPUATO</v>
      </c>
      <c r="K254" s="9" t="s">
        <v>85</v>
      </c>
      <c r="L254" s="26">
        <f>+L253/$L$316</f>
        <v>5.5407525961753577E-3</v>
      </c>
      <c r="M254" s="36">
        <f>+M253/$M$316</f>
        <v>3.8606354424092749E-3</v>
      </c>
      <c r="N254" s="18"/>
      <c r="O254" s="19"/>
      <c r="P254" s="19"/>
      <c r="Q254" s="19"/>
      <c r="R254" s="19"/>
      <c r="S254" s="19"/>
      <c r="T254" s="36">
        <f>+L253/T253</f>
        <v>4.1159249364890745E-2</v>
      </c>
      <c r="U254" s="62">
        <f>+M253/U253</f>
        <v>5.1831373442390506E-2</v>
      </c>
    </row>
    <row r="255" spans="2:49" outlineLevel="1" x14ac:dyDescent="0.25">
      <c r="B255" s="5" t="s">
        <v>81</v>
      </c>
      <c r="L255" s="26"/>
      <c r="M255" s="26"/>
    </row>
    <row r="256" spans="2:49" outlineLevel="1" x14ac:dyDescent="0.25">
      <c r="B256" s="5"/>
    </row>
    <row r="257" spans="1:49" outlineLevel="1" x14ac:dyDescent="0.25">
      <c r="D257" s="89" t="s">
        <v>15</v>
      </c>
      <c r="E257" s="90"/>
      <c r="F257" s="89" t="s">
        <v>71</v>
      </c>
      <c r="G257" s="90"/>
      <c r="H257" s="89" t="s">
        <v>16</v>
      </c>
      <c r="I257" s="90"/>
      <c r="J257" s="89" t="s">
        <v>17</v>
      </c>
      <c r="K257" s="93"/>
      <c r="L257" s="89" t="s">
        <v>18</v>
      </c>
      <c r="M257" s="93"/>
      <c r="N257" s="89" t="s">
        <v>13</v>
      </c>
      <c r="O257" s="93"/>
      <c r="P257" s="89" t="s">
        <v>34</v>
      </c>
      <c r="Q257" s="93"/>
      <c r="R257" s="89" t="s">
        <v>87</v>
      </c>
      <c r="S257" s="93"/>
      <c r="T257" s="89" t="s">
        <v>12</v>
      </c>
      <c r="U257" s="93"/>
      <c r="AG257" s="89" t="s">
        <v>69</v>
      </c>
      <c r="AH257" s="90"/>
      <c r="AI257" s="89" t="s">
        <v>17</v>
      </c>
      <c r="AJ257" s="93"/>
      <c r="AK257" s="89" t="s">
        <v>18</v>
      </c>
      <c r="AL257" s="93"/>
      <c r="AM257" s="89" t="s">
        <v>13</v>
      </c>
      <c r="AN257" s="93"/>
      <c r="AO257" s="89" t="s">
        <v>34</v>
      </c>
      <c r="AP257" s="93"/>
      <c r="AQ257" s="89" t="s">
        <v>87</v>
      </c>
      <c r="AR257" s="93"/>
      <c r="AS257" s="89" t="s">
        <v>12</v>
      </c>
      <c r="AT257" s="93"/>
    </row>
    <row r="258" spans="1:49" outlineLevel="1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Z258" s="33">
        <v>2021</v>
      </c>
      <c r="AA258" s="34">
        <v>0.64911320469749589</v>
      </c>
      <c r="AB258" s="33">
        <f>+Z258</f>
        <v>2021</v>
      </c>
      <c r="AC258" s="35">
        <v>7.2438527738108022E-3</v>
      </c>
      <c r="AE258" s="7" t="s">
        <v>0</v>
      </c>
      <c r="AF258" s="7" t="s">
        <v>1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</row>
    <row r="259" spans="1:49" outlineLevel="1" x14ac:dyDescent="0.25">
      <c r="AH259" s="9"/>
      <c r="AJ259" s="9"/>
      <c r="AL259" s="9"/>
      <c r="AN259" s="9"/>
      <c r="AO259" s="9"/>
      <c r="AP259" s="9"/>
      <c r="AQ259" s="9"/>
      <c r="AR259" s="9"/>
      <c r="AT259" s="9"/>
    </row>
    <row r="260" spans="1:49" outlineLevel="1" x14ac:dyDescent="0.25">
      <c r="B260" s="2" t="s">
        <v>5</v>
      </c>
      <c r="C260" s="2">
        <v>2022</v>
      </c>
      <c r="D260" s="1">
        <v>1905</v>
      </c>
      <c r="E260" s="11">
        <v>215521</v>
      </c>
      <c r="F260" s="1">
        <v>520</v>
      </c>
      <c r="G260" s="11">
        <v>74226</v>
      </c>
      <c r="H260" s="1">
        <v>412</v>
      </c>
      <c r="I260" s="11">
        <v>76284</v>
      </c>
      <c r="J260" s="1">
        <v>67971</v>
      </c>
      <c r="K260" s="11">
        <v>12045037</v>
      </c>
      <c r="L260" s="1">
        <v>3037</v>
      </c>
      <c r="M260" s="11">
        <v>527949</v>
      </c>
      <c r="N260" s="1">
        <v>1494</v>
      </c>
      <c r="O260" s="11">
        <v>327366</v>
      </c>
      <c r="P260" s="8">
        <v>0</v>
      </c>
      <c r="Q260" s="11">
        <v>0</v>
      </c>
      <c r="R260" s="8">
        <v>0</v>
      </c>
      <c r="S260" s="11">
        <v>0</v>
      </c>
      <c r="T260" s="53">
        <f t="shared" ref="T260:T271" si="306">N260+L260+J260+H260+D260+P260+F260+R260</f>
        <v>75339</v>
      </c>
      <c r="U260" s="54">
        <f t="shared" ref="U260:U271" si="307">O260+M260+K260+I260+E260+Q260+G260+S260</f>
        <v>13266383</v>
      </c>
      <c r="V260" s="2" t="s">
        <v>82</v>
      </c>
      <c r="Z260" s="30"/>
      <c r="AA260" s="30">
        <f>+Z260/J260</f>
        <v>0</v>
      </c>
      <c r="AB260" s="31"/>
      <c r="AC260" s="32">
        <f>+AB260/K260</f>
        <v>0</v>
      </c>
      <c r="AE260" s="2" t="s">
        <v>5</v>
      </c>
      <c r="AF260" s="2">
        <v>2021</v>
      </c>
      <c r="AG260" s="1">
        <f t="shared" ref="AG260:AG271" si="308">D260+H260+F260</f>
        <v>2837</v>
      </c>
      <c r="AH260" s="11">
        <f t="shared" ref="AH260:AH271" si="309">E260+I260+G260</f>
        <v>366031</v>
      </c>
      <c r="AI260" s="1">
        <f t="shared" ref="AI260:AI271" si="310">+J260</f>
        <v>67971</v>
      </c>
      <c r="AJ260" s="11">
        <f t="shared" ref="AJ260:AJ271" si="311">+K260</f>
        <v>12045037</v>
      </c>
      <c r="AK260" s="8">
        <f t="shared" ref="AK260:AK271" si="312">+L260</f>
        <v>3037</v>
      </c>
      <c r="AL260" s="11">
        <f t="shared" ref="AL260:AL271" si="313">+M260</f>
        <v>527949</v>
      </c>
      <c r="AM260" s="8">
        <f t="shared" ref="AM260:AM271" si="314">+N260</f>
        <v>1494</v>
      </c>
      <c r="AN260" s="11">
        <f t="shared" ref="AN260:AN271" si="315">+O260</f>
        <v>327366</v>
      </c>
      <c r="AO260" s="8">
        <f t="shared" ref="AO260:AO271" si="316">+P260</f>
        <v>0</v>
      </c>
      <c r="AP260" s="11">
        <f t="shared" ref="AP260:AP271" si="317">+Q260</f>
        <v>0</v>
      </c>
      <c r="AQ260" s="11">
        <f t="shared" ref="AQ260:AQ271" si="318">+R260</f>
        <v>0</v>
      </c>
      <c r="AR260" s="11">
        <f t="shared" ref="AR260:AR271" si="319">+S260</f>
        <v>0</v>
      </c>
      <c r="AS260" s="8">
        <f>AO260+AM260+AK260+AI260+AG260+AQ260</f>
        <v>75339</v>
      </c>
      <c r="AT260" s="11">
        <f t="shared" ref="AT260:AT271" si="320">AP260+AN260+AL260+AJ260+AH260+AR260</f>
        <v>13266383</v>
      </c>
      <c r="AU260" s="2" t="str">
        <f t="shared" ref="AU260:AU271" si="321">+V260</f>
        <v>META</v>
      </c>
      <c r="AV260" s="37">
        <f t="shared" ref="AV260:AV271" si="322">+AS260-T260</f>
        <v>0</v>
      </c>
      <c r="AW260" s="37">
        <f t="shared" ref="AW260:AW271" si="323">+AT260-U260</f>
        <v>0</v>
      </c>
    </row>
    <row r="261" spans="1:49" outlineLevel="1" x14ac:dyDescent="0.25">
      <c r="B261" s="2" t="s">
        <v>6</v>
      </c>
      <c r="C261" s="2">
        <v>2022</v>
      </c>
      <c r="D261" s="1">
        <v>1586</v>
      </c>
      <c r="E261" s="11">
        <v>192507</v>
      </c>
      <c r="F261" s="1">
        <v>536</v>
      </c>
      <c r="G261" s="11">
        <v>84230</v>
      </c>
      <c r="H261" s="1">
        <v>329</v>
      </c>
      <c r="I261" s="11">
        <v>59576</v>
      </c>
      <c r="J261" s="1">
        <v>61296</v>
      </c>
      <c r="K261" s="11">
        <v>11044808</v>
      </c>
      <c r="L261" s="1">
        <v>2382</v>
      </c>
      <c r="M261" s="11">
        <v>444976</v>
      </c>
      <c r="N261" s="1">
        <v>1736</v>
      </c>
      <c r="O261" s="11">
        <v>390782</v>
      </c>
      <c r="P261" s="8">
        <v>0</v>
      </c>
      <c r="Q261" s="11">
        <v>0</v>
      </c>
      <c r="R261" s="8">
        <v>0</v>
      </c>
      <c r="S261" s="11">
        <v>0</v>
      </c>
      <c r="T261" s="53">
        <f t="shared" si="306"/>
        <v>67865</v>
      </c>
      <c r="U261" s="54">
        <f t="shared" si="307"/>
        <v>12216879</v>
      </c>
      <c r="V261" s="2" t="s">
        <v>82</v>
      </c>
      <c r="Z261" s="30"/>
      <c r="AA261" s="30">
        <f t="shared" ref="AA261:AA269" si="324">+Z261/J261</f>
        <v>0</v>
      </c>
      <c r="AB261" s="31"/>
      <c r="AC261" s="32">
        <f t="shared" ref="AC261:AC269" si="325">+AB261/K261</f>
        <v>0</v>
      </c>
      <c r="AE261" s="2" t="s">
        <v>6</v>
      </c>
      <c r="AF261" s="2">
        <v>2021</v>
      </c>
      <c r="AG261" s="1">
        <f t="shared" si="308"/>
        <v>2451</v>
      </c>
      <c r="AH261" s="11">
        <f t="shared" si="309"/>
        <v>336313</v>
      </c>
      <c r="AI261" s="1">
        <f t="shared" si="310"/>
        <v>61296</v>
      </c>
      <c r="AJ261" s="11">
        <f t="shared" si="311"/>
        <v>11044808</v>
      </c>
      <c r="AK261" s="8">
        <f t="shared" si="312"/>
        <v>2382</v>
      </c>
      <c r="AL261" s="11">
        <f t="shared" si="313"/>
        <v>444976</v>
      </c>
      <c r="AM261" s="8">
        <f t="shared" si="314"/>
        <v>1736</v>
      </c>
      <c r="AN261" s="11">
        <f t="shared" si="315"/>
        <v>390782</v>
      </c>
      <c r="AO261" s="8">
        <f t="shared" si="316"/>
        <v>0</v>
      </c>
      <c r="AP261" s="11">
        <f t="shared" si="317"/>
        <v>0</v>
      </c>
      <c r="AQ261" s="11">
        <f t="shared" si="318"/>
        <v>0</v>
      </c>
      <c r="AR261" s="11">
        <f t="shared" si="319"/>
        <v>0</v>
      </c>
      <c r="AS261" s="8">
        <f t="shared" ref="AS261:AS271" si="326">AO261+AM261+AK261+AI261+AG261+AQ261</f>
        <v>67865</v>
      </c>
      <c r="AT261" s="11">
        <f t="shared" si="320"/>
        <v>12216879</v>
      </c>
      <c r="AU261" s="2" t="str">
        <f t="shared" si="321"/>
        <v>META</v>
      </c>
      <c r="AV261" s="37">
        <f t="shared" si="322"/>
        <v>0</v>
      </c>
      <c r="AW261" s="37">
        <f t="shared" si="323"/>
        <v>0</v>
      </c>
    </row>
    <row r="262" spans="1:49" outlineLevel="1" x14ac:dyDescent="0.25">
      <c r="B262" s="2" t="s">
        <v>7</v>
      </c>
      <c r="C262" s="2">
        <v>2022</v>
      </c>
      <c r="D262" s="1">
        <v>1728</v>
      </c>
      <c r="E262" s="11">
        <v>195767</v>
      </c>
      <c r="F262" s="1">
        <v>606</v>
      </c>
      <c r="G262" s="11">
        <v>92279</v>
      </c>
      <c r="H262" s="1">
        <v>560</v>
      </c>
      <c r="I262" s="11">
        <v>104128</v>
      </c>
      <c r="J262" s="1">
        <v>67926</v>
      </c>
      <c r="K262" s="11">
        <v>12035993</v>
      </c>
      <c r="L262" s="1">
        <v>2636</v>
      </c>
      <c r="M262" s="11">
        <v>473925</v>
      </c>
      <c r="N262" s="1">
        <v>1746</v>
      </c>
      <c r="O262" s="11">
        <v>359492</v>
      </c>
      <c r="P262" s="8">
        <v>0</v>
      </c>
      <c r="Q262" s="11">
        <v>0</v>
      </c>
      <c r="R262" s="8">
        <v>0</v>
      </c>
      <c r="S262" s="11">
        <v>0</v>
      </c>
      <c r="T262" s="53">
        <f t="shared" ref="T262" si="327">N262+L262+J262+H262+D262+P262+F262+R262</f>
        <v>75202</v>
      </c>
      <c r="U262" s="54">
        <f t="shared" ref="U262" si="328">O262+M262+K262+I262+E262+Q262+G262+S262</f>
        <v>13261584</v>
      </c>
      <c r="V262" s="2" t="s">
        <v>82</v>
      </c>
      <c r="Z262" s="30"/>
      <c r="AA262" s="30">
        <f t="shared" si="324"/>
        <v>0</v>
      </c>
      <c r="AB262" s="31"/>
      <c r="AC262" s="32">
        <f t="shared" si="325"/>
        <v>0</v>
      </c>
      <c r="AD262" s="13"/>
      <c r="AE262" s="2" t="s">
        <v>7</v>
      </c>
      <c r="AF262" s="2">
        <v>2021</v>
      </c>
      <c r="AG262" s="1">
        <f t="shared" si="308"/>
        <v>2894</v>
      </c>
      <c r="AH262" s="11">
        <f t="shared" si="309"/>
        <v>392174</v>
      </c>
      <c r="AI262" s="1">
        <f t="shared" si="310"/>
        <v>67926</v>
      </c>
      <c r="AJ262" s="11">
        <f t="shared" si="311"/>
        <v>12035993</v>
      </c>
      <c r="AK262" s="8">
        <f t="shared" si="312"/>
        <v>2636</v>
      </c>
      <c r="AL262" s="11">
        <f t="shared" si="313"/>
        <v>473925</v>
      </c>
      <c r="AM262" s="8">
        <f t="shared" si="314"/>
        <v>1746</v>
      </c>
      <c r="AN262" s="11">
        <f t="shared" si="315"/>
        <v>359492</v>
      </c>
      <c r="AO262" s="8">
        <f t="shared" si="316"/>
        <v>0</v>
      </c>
      <c r="AP262" s="11">
        <f t="shared" si="317"/>
        <v>0</v>
      </c>
      <c r="AQ262" s="11">
        <f t="shared" si="318"/>
        <v>0</v>
      </c>
      <c r="AR262" s="11">
        <f t="shared" si="319"/>
        <v>0</v>
      </c>
      <c r="AS262" s="8">
        <f t="shared" si="326"/>
        <v>75202</v>
      </c>
      <c r="AT262" s="11">
        <f t="shared" si="320"/>
        <v>13261584</v>
      </c>
      <c r="AU262" s="2" t="str">
        <f t="shared" si="321"/>
        <v>META</v>
      </c>
      <c r="AV262" s="37">
        <f t="shared" si="322"/>
        <v>0</v>
      </c>
      <c r="AW262" s="37">
        <f t="shared" si="323"/>
        <v>0</v>
      </c>
    </row>
    <row r="263" spans="1:49" outlineLevel="1" x14ac:dyDescent="0.25">
      <c r="B263" s="2" t="s">
        <v>8</v>
      </c>
      <c r="C263" s="2">
        <v>2022</v>
      </c>
      <c r="D263" s="1">
        <v>1886</v>
      </c>
      <c r="E263" s="11">
        <v>205417</v>
      </c>
      <c r="F263" s="1">
        <v>625</v>
      </c>
      <c r="G263" s="11">
        <v>96992</v>
      </c>
      <c r="H263" s="1">
        <v>563</v>
      </c>
      <c r="I263" s="11">
        <v>91046</v>
      </c>
      <c r="J263" s="1">
        <v>75034</v>
      </c>
      <c r="K263" s="11">
        <v>13385889</v>
      </c>
      <c r="L263" s="1">
        <v>3097</v>
      </c>
      <c r="M263" s="11">
        <v>523002</v>
      </c>
      <c r="N263" s="1">
        <v>2006</v>
      </c>
      <c r="O263" s="11">
        <v>410701</v>
      </c>
      <c r="P263" s="8">
        <v>0</v>
      </c>
      <c r="Q263" s="11">
        <v>0</v>
      </c>
      <c r="R263" s="8">
        <v>0</v>
      </c>
      <c r="S263" s="11">
        <v>0</v>
      </c>
      <c r="T263" s="53">
        <f t="shared" ref="T263:T264" si="329">N263+L263+J263+H263+D263+P263+F263+R263</f>
        <v>83211</v>
      </c>
      <c r="U263" s="54">
        <f t="shared" ref="U263:U264" si="330">O263+M263+K263+I263+E263+Q263+G263+S263</f>
        <v>14713047</v>
      </c>
      <c r="V263" s="2" t="s">
        <v>82</v>
      </c>
      <c r="Z263" s="30"/>
      <c r="AA263" s="30">
        <f t="shared" si="324"/>
        <v>0</v>
      </c>
      <c r="AB263" s="31"/>
      <c r="AC263" s="32">
        <f t="shared" si="325"/>
        <v>0</v>
      </c>
      <c r="AD263" s="13"/>
      <c r="AE263" s="2" t="s">
        <v>8</v>
      </c>
      <c r="AF263" s="2">
        <v>2021</v>
      </c>
      <c r="AG263" s="1">
        <f t="shared" si="308"/>
        <v>3074</v>
      </c>
      <c r="AH263" s="11">
        <f t="shared" si="309"/>
        <v>393455</v>
      </c>
      <c r="AI263" s="1">
        <f t="shared" si="310"/>
        <v>75034</v>
      </c>
      <c r="AJ263" s="11">
        <f t="shared" si="311"/>
        <v>13385889</v>
      </c>
      <c r="AK263" s="8">
        <f t="shared" si="312"/>
        <v>3097</v>
      </c>
      <c r="AL263" s="11">
        <f t="shared" si="313"/>
        <v>523002</v>
      </c>
      <c r="AM263" s="8">
        <f t="shared" si="314"/>
        <v>2006</v>
      </c>
      <c r="AN263" s="11">
        <f t="shared" si="315"/>
        <v>410701</v>
      </c>
      <c r="AO263" s="8">
        <f t="shared" si="316"/>
        <v>0</v>
      </c>
      <c r="AP263" s="11">
        <f t="shared" si="317"/>
        <v>0</v>
      </c>
      <c r="AQ263" s="11">
        <f t="shared" si="318"/>
        <v>0</v>
      </c>
      <c r="AR263" s="11">
        <f t="shared" si="319"/>
        <v>0</v>
      </c>
      <c r="AS263" s="8">
        <f t="shared" si="326"/>
        <v>83211</v>
      </c>
      <c r="AT263" s="11">
        <f t="shared" si="320"/>
        <v>14713047</v>
      </c>
      <c r="AU263" s="2" t="str">
        <f t="shared" si="321"/>
        <v>META</v>
      </c>
      <c r="AV263" s="37">
        <f t="shared" si="322"/>
        <v>0</v>
      </c>
      <c r="AW263" s="37">
        <f t="shared" si="323"/>
        <v>0</v>
      </c>
    </row>
    <row r="264" spans="1:49" outlineLevel="1" x14ac:dyDescent="0.25">
      <c r="B264" s="2" t="s">
        <v>9</v>
      </c>
      <c r="C264" s="2">
        <v>2022</v>
      </c>
      <c r="D264" s="1">
        <v>1957</v>
      </c>
      <c r="E264" s="11">
        <v>227463</v>
      </c>
      <c r="F264" s="1">
        <v>852</v>
      </c>
      <c r="G264" s="11">
        <v>134441</v>
      </c>
      <c r="H264" s="1">
        <v>603</v>
      </c>
      <c r="I264" s="11">
        <v>99954</v>
      </c>
      <c r="J264" s="1">
        <v>85882</v>
      </c>
      <c r="K264" s="11">
        <v>15386636</v>
      </c>
      <c r="L264" s="1">
        <v>3229</v>
      </c>
      <c r="M264" s="11">
        <v>553905</v>
      </c>
      <c r="N264" s="1">
        <v>2256</v>
      </c>
      <c r="O264" s="11">
        <v>464188</v>
      </c>
      <c r="P264" s="8">
        <v>0</v>
      </c>
      <c r="Q264" s="11">
        <v>0</v>
      </c>
      <c r="R264" s="8">
        <v>0</v>
      </c>
      <c r="S264" s="11">
        <v>0</v>
      </c>
      <c r="T264" s="53">
        <f t="shared" si="329"/>
        <v>94779</v>
      </c>
      <c r="U264" s="54">
        <f t="shared" si="330"/>
        <v>16866587</v>
      </c>
      <c r="V264" s="2" t="s">
        <v>82</v>
      </c>
      <c r="Z264" s="30"/>
      <c r="AA264" s="30">
        <f t="shared" si="324"/>
        <v>0</v>
      </c>
      <c r="AB264" s="31"/>
      <c r="AC264" s="32">
        <f t="shared" si="325"/>
        <v>0</v>
      </c>
      <c r="AD264" s="13"/>
      <c r="AE264" s="2" t="s">
        <v>9</v>
      </c>
      <c r="AF264" s="2">
        <v>2021</v>
      </c>
      <c r="AG264" s="1">
        <f t="shared" si="308"/>
        <v>3412</v>
      </c>
      <c r="AH264" s="11">
        <f t="shared" si="309"/>
        <v>461858</v>
      </c>
      <c r="AI264" s="1">
        <f t="shared" si="310"/>
        <v>85882</v>
      </c>
      <c r="AJ264" s="11">
        <f t="shared" si="311"/>
        <v>15386636</v>
      </c>
      <c r="AK264" s="8">
        <f t="shared" si="312"/>
        <v>3229</v>
      </c>
      <c r="AL264" s="11">
        <f t="shared" si="313"/>
        <v>553905</v>
      </c>
      <c r="AM264" s="8">
        <f t="shared" si="314"/>
        <v>2256</v>
      </c>
      <c r="AN264" s="11">
        <f t="shared" si="315"/>
        <v>464188</v>
      </c>
      <c r="AO264" s="8">
        <f t="shared" si="316"/>
        <v>0</v>
      </c>
      <c r="AP264" s="11">
        <f t="shared" si="317"/>
        <v>0</v>
      </c>
      <c r="AQ264" s="11">
        <f t="shared" si="318"/>
        <v>0</v>
      </c>
      <c r="AR264" s="11">
        <f t="shared" si="319"/>
        <v>0</v>
      </c>
      <c r="AS264" s="8">
        <f t="shared" si="326"/>
        <v>94779</v>
      </c>
      <c r="AT264" s="11">
        <f t="shared" si="320"/>
        <v>16866587</v>
      </c>
      <c r="AU264" s="2" t="str">
        <f t="shared" si="321"/>
        <v>META</v>
      </c>
      <c r="AV264" s="37">
        <f t="shared" si="322"/>
        <v>0</v>
      </c>
      <c r="AW264" s="37">
        <f t="shared" si="323"/>
        <v>0</v>
      </c>
    </row>
    <row r="265" spans="1:49" outlineLevel="1" x14ac:dyDescent="0.25">
      <c r="B265" s="2" t="s">
        <v>10</v>
      </c>
      <c r="C265" s="2">
        <v>2022</v>
      </c>
      <c r="D265" s="1">
        <v>1707</v>
      </c>
      <c r="E265" s="11">
        <v>201277</v>
      </c>
      <c r="F265" s="1">
        <v>791</v>
      </c>
      <c r="G265" s="11">
        <v>127755</v>
      </c>
      <c r="H265" s="1">
        <v>591</v>
      </c>
      <c r="I265" s="11">
        <v>100398</v>
      </c>
      <c r="J265" s="1">
        <v>68976</v>
      </c>
      <c r="K265" s="11">
        <v>12196449</v>
      </c>
      <c r="L265" s="1">
        <v>2244</v>
      </c>
      <c r="M265" s="11">
        <v>398215</v>
      </c>
      <c r="N265" s="1">
        <v>1459</v>
      </c>
      <c r="O265" s="11">
        <v>288783</v>
      </c>
      <c r="P265" s="8">
        <v>0</v>
      </c>
      <c r="Q265" s="11">
        <v>0</v>
      </c>
      <c r="R265" s="8">
        <v>0</v>
      </c>
      <c r="S265" s="11">
        <v>0</v>
      </c>
      <c r="T265" s="53">
        <f t="shared" si="306"/>
        <v>75768</v>
      </c>
      <c r="U265" s="54">
        <f t="shared" si="307"/>
        <v>13312877</v>
      </c>
      <c r="V265" s="2" t="s">
        <v>82</v>
      </c>
      <c r="Z265" s="30"/>
      <c r="AA265" s="30">
        <f t="shared" si="324"/>
        <v>0</v>
      </c>
      <c r="AB265" s="31"/>
      <c r="AC265" s="32">
        <f t="shared" si="325"/>
        <v>0</v>
      </c>
      <c r="AE265" s="2" t="s">
        <v>10</v>
      </c>
      <c r="AF265" s="2">
        <v>2021</v>
      </c>
      <c r="AG265" s="1">
        <f t="shared" si="308"/>
        <v>3089</v>
      </c>
      <c r="AH265" s="11">
        <f t="shared" si="309"/>
        <v>429430</v>
      </c>
      <c r="AI265" s="1">
        <f t="shared" si="310"/>
        <v>68976</v>
      </c>
      <c r="AJ265" s="11">
        <f t="shared" si="311"/>
        <v>12196449</v>
      </c>
      <c r="AK265" s="8">
        <f t="shared" si="312"/>
        <v>2244</v>
      </c>
      <c r="AL265" s="11">
        <f t="shared" si="313"/>
        <v>398215</v>
      </c>
      <c r="AM265" s="8">
        <f t="shared" si="314"/>
        <v>1459</v>
      </c>
      <c r="AN265" s="11">
        <f t="shared" si="315"/>
        <v>288783</v>
      </c>
      <c r="AO265" s="8">
        <f t="shared" si="316"/>
        <v>0</v>
      </c>
      <c r="AP265" s="11">
        <f t="shared" si="317"/>
        <v>0</v>
      </c>
      <c r="AQ265" s="11">
        <f t="shared" si="318"/>
        <v>0</v>
      </c>
      <c r="AR265" s="11">
        <f t="shared" si="319"/>
        <v>0</v>
      </c>
      <c r="AS265" s="8">
        <f t="shared" si="326"/>
        <v>75768</v>
      </c>
      <c r="AT265" s="11">
        <f t="shared" si="320"/>
        <v>13312877</v>
      </c>
      <c r="AU265" s="2" t="str">
        <f t="shared" si="321"/>
        <v>META</v>
      </c>
      <c r="AV265" s="37">
        <f t="shared" si="322"/>
        <v>0</v>
      </c>
      <c r="AW265" s="37">
        <f t="shared" si="323"/>
        <v>0</v>
      </c>
    </row>
    <row r="266" spans="1:49" outlineLevel="1" x14ac:dyDescent="0.25">
      <c r="B266" s="2" t="s">
        <v>11</v>
      </c>
      <c r="C266" s="2">
        <v>2022</v>
      </c>
      <c r="D266" s="1">
        <v>1778</v>
      </c>
      <c r="E266" s="11">
        <v>200809</v>
      </c>
      <c r="F266" s="1">
        <v>807</v>
      </c>
      <c r="G266" s="11">
        <v>130100</v>
      </c>
      <c r="H266" s="1">
        <v>580</v>
      </c>
      <c r="I266" s="11">
        <v>88582</v>
      </c>
      <c r="J266" s="1">
        <v>71280</v>
      </c>
      <c r="K266" s="11">
        <v>12339397</v>
      </c>
      <c r="L266" s="1">
        <v>2331</v>
      </c>
      <c r="M266" s="11">
        <v>412798</v>
      </c>
      <c r="N266" s="1">
        <v>1471</v>
      </c>
      <c r="O266" s="11">
        <v>288719</v>
      </c>
      <c r="P266" s="8">
        <v>0</v>
      </c>
      <c r="Q266" s="11">
        <v>0</v>
      </c>
      <c r="R266" s="8">
        <v>0</v>
      </c>
      <c r="S266" s="11">
        <v>0</v>
      </c>
      <c r="T266" s="53">
        <f t="shared" ref="T266" si="331">N266+L266+J266+H266+D266+P266+F266+R266</f>
        <v>78247</v>
      </c>
      <c r="U266" s="54">
        <f t="shared" ref="U266" si="332">O266+M266+K266+I266+E266+Q266+G266+S266</f>
        <v>13460405</v>
      </c>
      <c r="V266" s="2" t="s">
        <v>82</v>
      </c>
      <c r="Z266" s="30"/>
      <c r="AA266" s="30">
        <f t="shared" si="324"/>
        <v>0</v>
      </c>
      <c r="AB266" s="31"/>
      <c r="AC266" s="32">
        <f t="shared" si="325"/>
        <v>0</v>
      </c>
      <c r="AE266" s="2" t="s">
        <v>11</v>
      </c>
      <c r="AF266" s="2">
        <v>2021</v>
      </c>
      <c r="AG266" s="1">
        <f t="shared" si="308"/>
        <v>3165</v>
      </c>
      <c r="AH266" s="11">
        <f t="shared" si="309"/>
        <v>419491</v>
      </c>
      <c r="AI266" s="1">
        <f t="shared" si="310"/>
        <v>71280</v>
      </c>
      <c r="AJ266" s="11">
        <f t="shared" si="311"/>
        <v>12339397</v>
      </c>
      <c r="AK266" s="8">
        <f t="shared" si="312"/>
        <v>2331</v>
      </c>
      <c r="AL266" s="11">
        <f t="shared" si="313"/>
        <v>412798</v>
      </c>
      <c r="AM266" s="8">
        <f t="shared" si="314"/>
        <v>1471</v>
      </c>
      <c r="AN266" s="11">
        <f t="shared" si="315"/>
        <v>288719</v>
      </c>
      <c r="AO266" s="8">
        <f t="shared" si="316"/>
        <v>0</v>
      </c>
      <c r="AP266" s="11">
        <f t="shared" si="317"/>
        <v>0</v>
      </c>
      <c r="AQ266" s="11">
        <f t="shared" si="318"/>
        <v>0</v>
      </c>
      <c r="AR266" s="11">
        <f t="shared" si="319"/>
        <v>0</v>
      </c>
      <c r="AS266" s="8">
        <f t="shared" si="326"/>
        <v>78247</v>
      </c>
      <c r="AT266" s="11">
        <f t="shared" si="320"/>
        <v>13460405</v>
      </c>
      <c r="AU266" s="2" t="str">
        <f t="shared" si="321"/>
        <v>META</v>
      </c>
      <c r="AV266" s="37">
        <f t="shared" si="322"/>
        <v>0</v>
      </c>
      <c r="AW266" s="37">
        <f t="shared" si="323"/>
        <v>0</v>
      </c>
    </row>
    <row r="267" spans="1:49" outlineLevel="1" x14ac:dyDescent="0.25">
      <c r="B267" s="2" t="s">
        <v>4</v>
      </c>
      <c r="C267" s="2">
        <v>2022</v>
      </c>
      <c r="D267" s="1">
        <v>1890</v>
      </c>
      <c r="E267" s="11">
        <v>231094</v>
      </c>
      <c r="F267" s="1">
        <v>775</v>
      </c>
      <c r="G267" s="11">
        <v>127461</v>
      </c>
      <c r="H267" s="1">
        <v>647</v>
      </c>
      <c r="I267" s="11">
        <v>97994</v>
      </c>
      <c r="J267" s="1">
        <v>73361</v>
      </c>
      <c r="K267" s="11">
        <v>12822623</v>
      </c>
      <c r="L267" s="1">
        <v>2202</v>
      </c>
      <c r="M267" s="11">
        <v>392462</v>
      </c>
      <c r="N267" s="1">
        <v>1598</v>
      </c>
      <c r="O267" s="11">
        <v>324734</v>
      </c>
      <c r="P267" s="8">
        <v>0</v>
      </c>
      <c r="Q267" s="11">
        <v>0</v>
      </c>
      <c r="R267" s="8">
        <v>2</v>
      </c>
      <c r="S267" s="11">
        <v>386</v>
      </c>
      <c r="T267" s="53">
        <f t="shared" ref="T267" si="333">N267+L267+J267+H267+D267+P267+F267+R267</f>
        <v>80475</v>
      </c>
      <c r="U267" s="54">
        <f t="shared" ref="U267" si="334">O267+M267+K267+I267+E267+Q267+G267+S267</f>
        <v>13996754</v>
      </c>
      <c r="V267" s="2" t="s">
        <v>82</v>
      </c>
      <c r="W267" s="38"/>
      <c r="Z267" s="30"/>
      <c r="AA267" s="30">
        <f t="shared" si="324"/>
        <v>0</v>
      </c>
      <c r="AB267" s="31"/>
      <c r="AC267" s="32">
        <f t="shared" si="325"/>
        <v>0</v>
      </c>
      <c r="AE267" s="2" t="s">
        <v>4</v>
      </c>
      <c r="AF267" s="2">
        <v>2021</v>
      </c>
      <c r="AG267" s="1">
        <f t="shared" si="308"/>
        <v>3312</v>
      </c>
      <c r="AH267" s="11">
        <f t="shared" si="309"/>
        <v>456549</v>
      </c>
      <c r="AI267" s="1">
        <f t="shared" si="310"/>
        <v>73361</v>
      </c>
      <c r="AJ267" s="11">
        <f t="shared" si="311"/>
        <v>12822623</v>
      </c>
      <c r="AK267" s="8">
        <f t="shared" si="312"/>
        <v>2202</v>
      </c>
      <c r="AL267" s="11">
        <f t="shared" si="313"/>
        <v>392462</v>
      </c>
      <c r="AM267" s="8">
        <f t="shared" si="314"/>
        <v>1598</v>
      </c>
      <c r="AN267" s="11">
        <f t="shared" si="315"/>
        <v>324734</v>
      </c>
      <c r="AO267" s="8">
        <f t="shared" si="316"/>
        <v>0</v>
      </c>
      <c r="AP267" s="11">
        <f t="shared" si="317"/>
        <v>0</v>
      </c>
      <c r="AQ267" s="11">
        <f t="shared" si="318"/>
        <v>2</v>
      </c>
      <c r="AR267" s="11">
        <f t="shared" si="319"/>
        <v>386</v>
      </c>
      <c r="AS267" s="8">
        <f t="shared" si="326"/>
        <v>80475</v>
      </c>
      <c r="AT267" s="11">
        <f t="shared" si="320"/>
        <v>13996754</v>
      </c>
      <c r="AU267" s="2" t="str">
        <f t="shared" si="321"/>
        <v>META</v>
      </c>
      <c r="AV267" s="37">
        <f t="shared" si="322"/>
        <v>0</v>
      </c>
      <c r="AW267" s="37">
        <f t="shared" si="323"/>
        <v>0</v>
      </c>
    </row>
    <row r="268" spans="1:49" outlineLevel="1" x14ac:dyDescent="0.25">
      <c r="B268" s="2" t="s">
        <v>28</v>
      </c>
      <c r="C268" s="2">
        <v>2022</v>
      </c>
      <c r="D268" s="1">
        <v>1347</v>
      </c>
      <c r="E268" s="11">
        <v>162884</v>
      </c>
      <c r="F268" s="1">
        <v>562</v>
      </c>
      <c r="G268" s="11">
        <v>92860</v>
      </c>
      <c r="H268" s="1">
        <v>527</v>
      </c>
      <c r="I268" s="11">
        <v>75012</v>
      </c>
      <c r="J268" s="1">
        <v>54258</v>
      </c>
      <c r="K268" s="11">
        <v>9559659</v>
      </c>
      <c r="L268" s="1">
        <v>1332</v>
      </c>
      <c r="M268" s="11">
        <v>247103</v>
      </c>
      <c r="N268" s="1">
        <v>1380</v>
      </c>
      <c r="O268" s="11">
        <v>296701</v>
      </c>
      <c r="P268" s="8">
        <v>0</v>
      </c>
      <c r="Q268" s="11">
        <v>0</v>
      </c>
      <c r="R268" s="8">
        <v>5</v>
      </c>
      <c r="S268" s="11">
        <v>965</v>
      </c>
      <c r="T268" s="53">
        <f t="shared" si="306"/>
        <v>59411</v>
      </c>
      <c r="U268" s="54">
        <f t="shared" si="307"/>
        <v>10435184</v>
      </c>
      <c r="V268" s="2" t="s">
        <v>82</v>
      </c>
      <c r="Z268" s="30"/>
      <c r="AA268" s="30">
        <f t="shared" si="324"/>
        <v>0</v>
      </c>
      <c r="AB268" s="31"/>
      <c r="AC268" s="32">
        <f t="shared" si="325"/>
        <v>0</v>
      </c>
      <c r="AE268" s="2" t="s">
        <v>28</v>
      </c>
      <c r="AF268" s="2">
        <v>2021</v>
      </c>
      <c r="AG268" s="1">
        <f t="shared" si="308"/>
        <v>2436</v>
      </c>
      <c r="AH268" s="11">
        <f t="shared" si="309"/>
        <v>330756</v>
      </c>
      <c r="AI268" s="1">
        <f t="shared" si="310"/>
        <v>54258</v>
      </c>
      <c r="AJ268" s="11">
        <f t="shared" si="311"/>
        <v>9559659</v>
      </c>
      <c r="AK268" s="8">
        <f t="shared" si="312"/>
        <v>1332</v>
      </c>
      <c r="AL268" s="11">
        <f t="shared" si="313"/>
        <v>247103</v>
      </c>
      <c r="AM268" s="8">
        <f t="shared" si="314"/>
        <v>1380</v>
      </c>
      <c r="AN268" s="11">
        <f t="shared" si="315"/>
        <v>296701</v>
      </c>
      <c r="AO268" s="8">
        <f t="shared" si="316"/>
        <v>0</v>
      </c>
      <c r="AP268" s="11">
        <f t="shared" si="317"/>
        <v>0</v>
      </c>
      <c r="AQ268" s="11">
        <f t="shared" si="318"/>
        <v>5</v>
      </c>
      <c r="AR268" s="11">
        <f t="shared" si="319"/>
        <v>965</v>
      </c>
      <c r="AS268" s="8">
        <f t="shared" si="326"/>
        <v>59411</v>
      </c>
      <c r="AT268" s="11">
        <f t="shared" si="320"/>
        <v>10435184</v>
      </c>
      <c r="AU268" s="2" t="str">
        <f t="shared" si="321"/>
        <v>META</v>
      </c>
      <c r="AV268" s="37">
        <f t="shared" si="322"/>
        <v>0</v>
      </c>
      <c r="AW268" s="37">
        <f t="shared" si="323"/>
        <v>0</v>
      </c>
    </row>
    <row r="269" spans="1:49" outlineLevel="1" x14ac:dyDescent="0.25">
      <c r="B269" s="2" t="s">
        <v>29</v>
      </c>
      <c r="C269" s="2">
        <v>2022</v>
      </c>
      <c r="D269" s="1">
        <v>1472</v>
      </c>
      <c r="E269" s="11">
        <v>192041</v>
      </c>
      <c r="F269" s="1">
        <v>708</v>
      </c>
      <c r="G269" s="11">
        <v>122734</v>
      </c>
      <c r="H269" s="1">
        <v>672</v>
      </c>
      <c r="I269" s="11">
        <v>96432</v>
      </c>
      <c r="J269" s="1">
        <v>61437</v>
      </c>
      <c r="K269" s="11">
        <v>11024003</v>
      </c>
      <c r="L269" s="1">
        <v>1333</v>
      </c>
      <c r="M269" s="11">
        <v>239453</v>
      </c>
      <c r="N269" s="1">
        <v>1589</v>
      </c>
      <c r="O269" s="11">
        <v>344248</v>
      </c>
      <c r="P269" s="8">
        <v>0</v>
      </c>
      <c r="Q269" s="11">
        <v>0</v>
      </c>
      <c r="R269" s="8">
        <v>4</v>
      </c>
      <c r="S269" s="11">
        <v>210</v>
      </c>
      <c r="T269" s="53">
        <f t="shared" si="306"/>
        <v>67215</v>
      </c>
      <c r="U269" s="54">
        <f t="shared" si="307"/>
        <v>12019121</v>
      </c>
      <c r="V269" s="2" t="s">
        <v>82</v>
      </c>
      <c r="Z269" s="30"/>
      <c r="AA269" s="30">
        <f t="shared" si="324"/>
        <v>0</v>
      </c>
      <c r="AB269" s="31"/>
      <c r="AC269" s="32">
        <f t="shared" si="325"/>
        <v>0</v>
      </c>
      <c r="AE269" s="2" t="s">
        <v>29</v>
      </c>
      <c r="AF269" s="2">
        <v>2021</v>
      </c>
      <c r="AG269" s="1">
        <f t="shared" si="308"/>
        <v>2852</v>
      </c>
      <c r="AH269" s="11">
        <f t="shared" si="309"/>
        <v>411207</v>
      </c>
      <c r="AI269" s="1">
        <f t="shared" si="310"/>
        <v>61437</v>
      </c>
      <c r="AJ269" s="11">
        <f t="shared" si="311"/>
        <v>11024003</v>
      </c>
      <c r="AK269" s="8">
        <f t="shared" si="312"/>
        <v>1333</v>
      </c>
      <c r="AL269" s="11">
        <f t="shared" si="313"/>
        <v>239453</v>
      </c>
      <c r="AM269" s="8">
        <f t="shared" si="314"/>
        <v>1589</v>
      </c>
      <c r="AN269" s="11">
        <f t="shared" si="315"/>
        <v>344248</v>
      </c>
      <c r="AO269" s="8">
        <f t="shared" si="316"/>
        <v>0</v>
      </c>
      <c r="AP269" s="11">
        <f t="shared" si="317"/>
        <v>0</v>
      </c>
      <c r="AQ269" s="11">
        <f t="shared" si="318"/>
        <v>4</v>
      </c>
      <c r="AR269" s="11">
        <f t="shared" si="319"/>
        <v>210</v>
      </c>
      <c r="AS269" s="8">
        <f t="shared" si="326"/>
        <v>67215</v>
      </c>
      <c r="AT269" s="11">
        <f t="shared" si="320"/>
        <v>12019121</v>
      </c>
      <c r="AU269" s="2" t="str">
        <f t="shared" si="321"/>
        <v>META</v>
      </c>
      <c r="AV269" s="37">
        <f t="shared" si="322"/>
        <v>0</v>
      </c>
      <c r="AW269" s="37">
        <f t="shared" si="323"/>
        <v>0</v>
      </c>
    </row>
    <row r="270" spans="1:49" outlineLevel="1" x14ac:dyDescent="0.25">
      <c r="B270" s="2" t="s">
        <v>30</v>
      </c>
      <c r="C270" s="2">
        <v>2022</v>
      </c>
      <c r="D270" s="1">
        <v>0</v>
      </c>
      <c r="E270" s="11">
        <v>0</v>
      </c>
      <c r="F270" s="1">
        <v>0</v>
      </c>
      <c r="G270" s="11">
        <v>0</v>
      </c>
      <c r="H270" s="1">
        <v>0</v>
      </c>
      <c r="I270" s="11">
        <v>0</v>
      </c>
      <c r="J270" s="1">
        <v>0</v>
      </c>
      <c r="K270" s="11">
        <v>0</v>
      </c>
      <c r="L270" s="1">
        <v>0</v>
      </c>
      <c r="M270" s="11">
        <v>0</v>
      </c>
      <c r="N270" s="1">
        <v>0</v>
      </c>
      <c r="O270" s="11">
        <v>0</v>
      </c>
      <c r="P270" s="1">
        <v>0</v>
      </c>
      <c r="Q270" s="11">
        <v>0</v>
      </c>
      <c r="R270" s="1">
        <v>0</v>
      </c>
      <c r="S270" s="11">
        <v>0</v>
      </c>
      <c r="T270" s="47">
        <f t="shared" si="306"/>
        <v>0</v>
      </c>
      <c r="U270" s="48">
        <f t="shared" si="307"/>
        <v>0</v>
      </c>
      <c r="V270" s="2" t="s">
        <v>82</v>
      </c>
      <c r="Z270" s="30"/>
      <c r="AA270" s="30"/>
      <c r="AB270" s="31"/>
      <c r="AC270" s="32"/>
      <c r="AE270" s="2" t="s">
        <v>30</v>
      </c>
      <c r="AF270" s="2">
        <v>2021</v>
      </c>
      <c r="AG270" s="1">
        <f t="shared" si="308"/>
        <v>0</v>
      </c>
      <c r="AH270" s="11">
        <f t="shared" si="309"/>
        <v>0</v>
      </c>
      <c r="AI270" s="1">
        <f t="shared" si="310"/>
        <v>0</v>
      </c>
      <c r="AJ270" s="11">
        <f t="shared" si="311"/>
        <v>0</v>
      </c>
      <c r="AK270" s="8">
        <f t="shared" si="312"/>
        <v>0</v>
      </c>
      <c r="AL270" s="11">
        <f t="shared" si="313"/>
        <v>0</v>
      </c>
      <c r="AM270" s="8">
        <f t="shared" si="314"/>
        <v>0</v>
      </c>
      <c r="AN270" s="11">
        <f t="shared" si="315"/>
        <v>0</v>
      </c>
      <c r="AO270" s="8">
        <f t="shared" si="316"/>
        <v>0</v>
      </c>
      <c r="AP270" s="11">
        <f t="shared" si="317"/>
        <v>0</v>
      </c>
      <c r="AQ270" s="11">
        <f t="shared" si="318"/>
        <v>0</v>
      </c>
      <c r="AR270" s="11">
        <f t="shared" si="319"/>
        <v>0</v>
      </c>
      <c r="AS270" s="8">
        <f t="shared" si="326"/>
        <v>0</v>
      </c>
      <c r="AT270" s="11">
        <f t="shared" si="320"/>
        <v>0</v>
      </c>
      <c r="AU270" s="2" t="str">
        <f t="shared" si="321"/>
        <v>META</v>
      </c>
      <c r="AV270" s="37">
        <f t="shared" si="322"/>
        <v>0</v>
      </c>
      <c r="AW270" s="37">
        <f t="shared" si="323"/>
        <v>0</v>
      </c>
    </row>
    <row r="271" spans="1:49" outlineLevel="1" x14ac:dyDescent="0.25">
      <c r="B271" s="2" t="s">
        <v>31</v>
      </c>
      <c r="C271" s="2">
        <v>2022</v>
      </c>
      <c r="D271" s="1">
        <v>0</v>
      </c>
      <c r="E271" s="11">
        <v>0</v>
      </c>
      <c r="F271" s="1">
        <v>0</v>
      </c>
      <c r="G271" s="11">
        <v>0</v>
      </c>
      <c r="H271" s="1">
        <v>0</v>
      </c>
      <c r="I271" s="11">
        <v>0</v>
      </c>
      <c r="J271" s="1">
        <v>0</v>
      </c>
      <c r="K271" s="11">
        <v>0</v>
      </c>
      <c r="L271" s="1">
        <v>0</v>
      </c>
      <c r="M271" s="11">
        <v>0</v>
      </c>
      <c r="N271" s="1">
        <v>0</v>
      </c>
      <c r="O271" s="11">
        <v>0</v>
      </c>
      <c r="P271" s="1">
        <v>0</v>
      </c>
      <c r="Q271" s="11">
        <v>0</v>
      </c>
      <c r="R271" s="1">
        <v>0</v>
      </c>
      <c r="S271" s="11">
        <v>0</v>
      </c>
      <c r="T271" s="47">
        <f t="shared" si="306"/>
        <v>0</v>
      </c>
      <c r="U271" s="48">
        <f t="shared" si="307"/>
        <v>0</v>
      </c>
      <c r="V271" s="2" t="s">
        <v>82</v>
      </c>
      <c r="Z271" s="30"/>
      <c r="AA271" s="30"/>
      <c r="AB271" s="31"/>
      <c r="AC271" s="32"/>
      <c r="AE271" s="2" t="s">
        <v>31</v>
      </c>
      <c r="AF271" s="2">
        <v>2021</v>
      </c>
      <c r="AG271" s="1">
        <f t="shared" si="308"/>
        <v>0</v>
      </c>
      <c r="AH271" s="11">
        <f t="shared" si="309"/>
        <v>0</v>
      </c>
      <c r="AI271" s="1">
        <f t="shared" si="310"/>
        <v>0</v>
      </c>
      <c r="AJ271" s="11">
        <f t="shared" si="311"/>
        <v>0</v>
      </c>
      <c r="AK271" s="8">
        <f t="shared" si="312"/>
        <v>0</v>
      </c>
      <c r="AL271" s="11">
        <f t="shared" si="313"/>
        <v>0</v>
      </c>
      <c r="AM271" s="8">
        <f t="shared" si="314"/>
        <v>0</v>
      </c>
      <c r="AN271" s="11">
        <f t="shared" si="315"/>
        <v>0</v>
      </c>
      <c r="AO271" s="8">
        <f t="shared" si="316"/>
        <v>0</v>
      </c>
      <c r="AP271" s="11">
        <f t="shared" si="317"/>
        <v>0</v>
      </c>
      <c r="AQ271" s="11">
        <f t="shared" si="318"/>
        <v>0</v>
      </c>
      <c r="AR271" s="11">
        <f t="shared" si="319"/>
        <v>0</v>
      </c>
      <c r="AS271" s="8">
        <f t="shared" si="326"/>
        <v>0</v>
      </c>
      <c r="AT271" s="11">
        <f t="shared" si="320"/>
        <v>0</v>
      </c>
      <c r="AU271" s="2" t="str">
        <f t="shared" si="321"/>
        <v>META</v>
      </c>
      <c r="AV271" s="37">
        <f t="shared" si="322"/>
        <v>0</v>
      </c>
      <c r="AW271" s="37">
        <f t="shared" si="323"/>
        <v>0</v>
      </c>
    </row>
    <row r="272" spans="1:49" outlineLevel="1" x14ac:dyDescent="0.25">
      <c r="AH272" s="9"/>
      <c r="AJ272" s="9"/>
      <c r="AL272" s="9"/>
      <c r="AN272" s="9"/>
      <c r="AO272" s="9"/>
      <c r="AP272" s="9"/>
      <c r="AQ272" s="9"/>
      <c r="AR272" s="9"/>
      <c r="AT272" s="9"/>
    </row>
    <row r="273" spans="1:49" outlineLevel="1" x14ac:dyDescent="0.25">
      <c r="B273" s="3" t="s">
        <v>12</v>
      </c>
      <c r="C273" s="3"/>
      <c r="D273" s="4">
        <f t="shared" ref="D273:U273" si="335">SUM(D260:D272)</f>
        <v>17256</v>
      </c>
      <c r="E273" s="12">
        <f t="shared" si="335"/>
        <v>2024780</v>
      </c>
      <c r="F273" s="4">
        <f t="shared" si="335"/>
        <v>6782</v>
      </c>
      <c r="G273" s="12">
        <f t="shared" si="335"/>
        <v>1083078</v>
      </c>
      <c r="H273" s="4">
        <f t="shared" si="335"/>
        <v>5484</v>
      </c>
      <c r="I273" s="12">
        <f t="shared" si="335"/>
        <v>889406</v>
      </c>
      <c r="J273" s="4">
        <f t="shared" si="335"/>
        <v>687421</v>
      </c>
      <c r="K273" s="12">
        <f t="shared" si="335"/>
        <v>121840494</v>
      </c>
      <c r="L273" s="4">
        <f t="shared" si="335"/>
        <v>23823</v>
      </c>
      <c r="M273" s="12">
        <f t="shared" si="335"/>
        <v>4213788</v>
      </c>
      <c r="N273" s="4">
        <f t="shared" si="335"/>
        <v>16735</v>
      </c>
      <c r="O273" s="12">
        <f t="shared" si="335"/>
        <v>3495714</v>
      </c>
      <c r="P273" s="4">
        <f>SUM(P260:P272)</f>
        <v>0</v>
      </c>
      <c r="Q273" s="12">
        <f>SUM(Q260:Q272)</f>
        <v>0</v>
      </c>
      <c r="R273" s="4">
        <f>SUM(R260:R272)</f>
        <v>11</v>
      </c>
      <c r="S273" s="12">
        <f>SUM(S260:S272)</f>
        <v>1561</v>
      </c>
      <c r="T273" s="4">
        <f t="shared" si="335"/>
        <v>757512</v>
      </c>
      <c r="U273" s="12">
        <f t="shared" si="335"/>
        <v>133548821</v>
      </c>
      <c r="Z273" s="12" t="e">
        <f>AVERAGE(Z260:Z272)</f>
        <v>#DIV/0!</v>
      </c>
      <c r="AA273" s="12">
        <f t="shared" ref="AA273:AC273" si="336">AVERAGE(AA260:AA272)</f>
        <v>0</v>
      </c>
      <c r="AB273" s="12" t="e">
        <f t="shared" si="336"/>
        <v>#DIV/0!</v>
      </c>
      <c r="AC273" s="16">
        <f t="shared" si="336"/>
        <v>0</v>
      </c>
      <c r="AE273" s="3" t="s">
        <v>12</v>
      </c>
      <c r="AF273" s="3"/>
      <c r="AG273" s="4">
        <f t="shared" ref="AG273:AT273" si="337">SUM(AG260:AG272)</f>
        <v>29522</v>
      </c>
      <c r="AH273" s="12">
        <f t="shared" si="337"/>
        <v>3997264</v>
      </c>
      <c r="AI273" s="4">
        <f t="shared" si="337"/>
        <v>687421</v>
      </c>
      <c r="AJ273" s="12">
        <f t="shared" si="337"/>
        <v>121840494</v>
      </c>
      <c r="AK273" s="4">
        <f t="shared" si="337"/>
        <v>23823</v>
      </c>
      <c r="AL273" s="12">
        <f t="shared" si="337"/>
        <v>4213788</v>
      </c>
      <c r="AM273" s="4">
        <f t="shared" si="337"/>
        <v>16735</v>
      </c>
      <c r="AN273" s="12">
        <f t="shared" si="337"/>
        <v>3495714</v>
      </c>
      <c r="AO273" s="4">
        <f t="shared" si="337"/>
        <v>0</v>
      </c>
      <c r="AP273" s="12">
        <f t="shared" si="337"/>
        <v>0</v>
      </c>
      <c r="AQ273" s="4">
        <f t="shared" si="337"/>
        <v>11</v>
      </c>
      <c r="AR273" s="12">
        <f t="shared" si="337"/>
        <v>1561</v>
      </c>
      <c r="AS273" s="4">
        <f t="shared" si="337"/>
        <v>757512</v>
      </c>
      <c r="AT273" s="12">
        <f t="shared" si="337"/>
        <v>133548821</v>
      </c>
    </row>
    <row r="274" spans="1:49" outlineLevel="1" x14ac:dyDescent="0.25">
      <c r="B274" s="56"/>
      <c r="C274" s="56"/>
      <c r="D274" s="57"/>
      <c r="E274" s="58"/>
      <c r="F274" s="57"/>
      <c r="G274" s="58"/>
      <c r="H274" s="57"/>
      <c r="I274" s="58"/>
      <c r="J274" s="46" t="str">
        <f>+$B$255</f>
        <v>Aforo e Ingreso - META</v>
      </c>
      <c r="K274" s="9" t="s">
        <v>84</v>
      </c>
      <c r="L274" s="15">
        <f>AVERAGE(L260:L269)</f>
        <v>2382.3000000000002</v>
      </c>
      <c r="M274" s="60">
        <f>AVERAGE(M260:M269)</f>
        <v>421378.8</v>
      </c>
      <c r="T274" s="15">
        <f>AVERAGE(T260:T269)</f>
        <v>75751.199999999997</v>
      </c>
      <c r="U274" s="28">
        <f>AVERAGE(U260:U269)</f>
        <v>13354882.1</v>
      </c>
      <c r="Z274" s="58"/>
      <c r="AA274" s="58"/>
      <c r="AB274" s="58"/>
      <c r="AC274" s="59"/>
      <c r="AE274" s="56"/>
      <c r="AF274" s="56"/>
      <c r="AG274" s="57"/>
      <c r="AH274" s="58"/>
      <c r="AI274" s="57"/>
      <c r="AJ274" s="58"/>
      <c r="AK274" s="57"/>
      <c r="AL274" s="58"/>
      <c r="AM274" s="57"/>
      <c r="AN274" s="58"/>
      <c r="AO274" s="57"/>
      <c r="AP274" s="58"/>
      <c r="AQ274" s="57"/>
      <c r="AR274" s="58"/>
      <c r="AS274" s="57"/>
      <c r="AT274" s="58"/>
    </row>
    <row r="275" spans="1:49" outlineLevel="1" x14ac:dyDescent="0.25">
      <c r="B275" s="5" t="s">
        <v>14</v>
      </c>
      <c r="C275" s="56"/>
      <c r="D275" s="57"/>
      <c r="E275" s="58"/>
      <c r="F275" s="57"/>
      <c r="G275" s="58"/>
      <c r="H275" s="57"/>
      <c r="I275" s="58"/>
      <c r="J275" s="46" t="str">
        <f>+$B$255</f>
        <v>Aforo e Ingreso - META</v>
      </c>
      <c r="K275" s="9" t="s">
        <v>85</v>
      </c>
      <c r="L275" s="26">
        <f>+L274/$L$316</f>
        <v>1.1461419603359092E-2</v>
      </c>
      <c r="M275" s="36">
        <f>+M274/$M$316</f>
        <v>1.4144564435143298E-2</v>
      </c>
      <c r="N275" s="18"/>
      <c r="O275" s="19"/>
      <c r="P275" s="19"/>
      <c r="Q275" s="19"/>
      <c r="R275" s="19"/>
      <c r="S275" s="19"/>
      <c r="T275" s="36">
        <f>+L274/T274</f>
        <v>3.1449006748407948E-2</v>
      </c>
      <c r="U275" s="62">
        <f>+M274/U274</f>
        <v>3.1552416325712075E-2</v>
      </c>
      <c r="Z275" s="58"/>
      <c r="AA275" s="58"/>
      <c r="AB275" s="58"/>
      <c r="AC275" s="59"/>
      <c r="AE275" s="56"/>
      <c r="AF275" s="56"/>
      <c r="AG275" s="57"/>
      <c r="AH275" s="58"/>
      <c r="AI275" s="57"/>
      <c r="AJ275" s="58"/>
      <c r="AK275" s="57"/>
      <c r="AL275" s="58"/>
      <c r="AM275" s="57"/>
      <c r="AN275" s="58"/>
      <c r="AO275" s="57"/>
      <c r="AP275" s="58"/>
      <c r="AQ275" s="57"/>
      <c r="AR275" s="58"/>
      <c r="AS275" s="57"/>
      <c r="AT275" s="58"/>
    </row>
    <row r="276" spans="1:49" outlineLevel="1" x14ac:dyDescent="0.25">
      <c r="B276" s="5" t="s">
        <v>89</v>
      </c>
      <c r="L276" s="26"/>
      <c r="M276" s="26"/>
    </row>
    <row r="277" spans="1:49" outlineLevel="1" x14ac:dyDescent="0.25">
      <c r="B277" s="5"/>
    </row>
    <row r="278" spans="1:49" outlineLevel="1" x14ac:dyDescent="0.25">
      <c r="D278" s="89" t="s">
        <v>15</v>
      </c>
      <c r="E278" s="90"/>
      <c r="F278" s="89" t="s">
        <v>71</v>
      </c>
      <c r="G278" s="90"/>
      <c r="H278" s="89" t="s">
        <v>16</v>
      </c>
      <c r="I278" s="90"/>
      <c r="J278" s="89" t="s">
        <v>17</v>
      </c>
      <c r="K278" s="93"/>
      <c r="L278" s="89" t="s">
        <v>18</v>
      </c>
      <c r="M278" s="93"/>
      <c r="N278" s="89" t="s">
        <v>13</v>
      </c>
      <c r="O278" s="93"/>
      <c r="P278" s="89" t="s">
        <v>34</v>
      </c>
      <c r="Q278" s="93"/>
      <c r="R278" s="89" t="s">
        <v>87</v>
      </c>
      <c r="S278" s="93"/>
      <c r="T278" s="89" t="s">
        <v>12</v>
      </c>
      <c r="U278" s="93"/>
      <c r="AG278" s="89" t="s">
        <v>69</v>
      </c>
      <c r="AH278" s="90"/>
      <c r="AI278" s="89" t="s">
        <v>17</v>
      </c>
      <c r="AJ278" s="93"/>
      <c r="AK278" s="89" t="s">
        <v>18</v>
      </c>
      <c r="AL278" s="93"/>
      <c r="AM278" s="89" t="s">
        <v>13</v>
      </c>
      <c r="AN278" s="93"/>
      <c r="AO278" s="89" t="s">
        <v>34</v>
      </c>
      <c r="AP278" s="93"/>
      <c r="AQ278" s="89" t="s">
        <v>87</v>
      </c>
      <c r="AR278" s="93"/>
      <c r="AS278" s="89" t="s">
        <v>12</v>
      </c>
      <c r="AT278" s="93"/>
    </row>
    <row r="279" spans="1:49" outlineLevel="1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Z279" s="33">
        <v>2021</v>
      </c>
      <c r="AA279" s="34">
        <v>0</v>
      </c>
      <c r="AB279" s="33">
        <f>+Z279</f>
        <v>2021</v>
      </c>
      <c r="AC279" s="35">
        <v>0</v>
      </c>
      <c r="AE279" s="7" t="s">
        <v>0</v>
      </c>
      <c r="AF279" s="7" t="s">
        <v>1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  <c r="AQ279" s="7" t="s">
        <v>2</v>
      </c>
      <c r="AR279" s="10" t="s">
        <v>3</v>
      </c>
      <c r="AS279" s="7" t="s">
        <v>2</v>
      </c>
      <c r="AT279" s="10" t="s">
        <v>3</v>
      </c>
    </row>
    <row r="280" spans="1:49" outlineLevel="1" x14ac:dyDescent="0.25">
      <c r="AH280" s="9"/>
      <c r="AJ280" s="9"/>
      <c r="AL280" s="9"/>
      <c r="AN280" s="9"/>
      <c r="AO280" s="9"/>
      <c r="AP280" s="9"/>
      <c r="AQ280" s="9"/>
      <c r="AR280" s="9"/>
      <c r="AT280" s="9"/>
    </row>
    <row r="281" spans="1:49" outlineLevel="1" x14ac:dyDescent="0.25">
      <c r="B281" s="2" t="s">
        <v>5</v>
      </c>
      <c r="C281" s="2">
        <v>2022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8"/>
      <c r="Q281" s="11"/>
      <c r="R281" s="8"/>
      <c r="S281" s="11"/>
      <c r="T281" s="53"/>
      <c r="U281" s="54"/>
      <c r="V281" s="2" t="s">
        <v>90</v>
      </c>
      <c r="Z281" s="30"/>
      <c r="AA281" s="30"/>
      <c r="AB281" s="31"/>
      <c r="AC281" s="32"/>
      <c r="AE281" s="2" t="s">
        <v>5</v>
      </c>
      <c r="AF281" s="2">
        <v>2021</v>
      </c>
      <c r="AG281" s="1">
        <f t="shared" ref="AG281:AG292" si="338">D281+H281+F281</f>
        <v>0</v>
      </c>
      <c r="AH281" s="11">
        <f t="shared" ref="AH281:AH292" si="339">E281+I281+G281</f>
        <v>0</v>
      </c>
      <c r="AI281" s="1">
        <f t="shared" ref="AI281:AI292" si="340">+J281</f>
        <v>0</v>
      </c>
      <c r="AJ281" s="11">
        <f t="shared" ref="AJ281:AJ292" si="341">+K281</f>
        <v>0</v>
      </c>
      <c r="AK281" s="8">
        <f t="shared" ref="AK281:AK292" si="342">+L281</f>
        <v>0</v>
      </c>
      <c r="AL281" s="11">
        <f t="shared" ref="AL281:AL292" si="343">+M281</f>
        <v>0</v>
      </c>
      <c r="AM281" s="8">
        <f t="shared" ref="AM281:AM292" si="344">+N281</f>
        <v>0</v>
      </c>
      <c r="AN281" s="11">
        <f t="shared" ref="AN281:AN292" si="345">+O281</f>
        <v>0</v>
      </c>
      <c r="AO281" s="8">
        <f t="shared" ref="AO281:AO292" si="346">+P281</f>
        <v>0</v>
      </c>
      <c r="AP281" s="11">
        <f t="shared" ref="AP281:AP292" si="347">+Q281</f>
        <v>0</v>
      </c>
      <c r="AQ281" s="11">
        <f t="shared" ref="AQ281:AQ292" si="348">+R281</f>
        <v>0</v>
      </c>
      <c r="AR281" s="11">
        <f t="shared" ref="AR281:AR292" si="349">+S281</f>
        <v>0</v>
      </c>
      <c r="AS281" s="8">
        <f>AO281+AM281+AK281+AI281+AG281+AQ281</f>
        <v>0</v>
      </c>
      <c r="AT281" s="11">
        <f t="shared" ref="AT281:AT292" si="350">AP281+AN281+AL281+AJ281+AH281+AR281</f>
        <v>0</v>
      </c>
      <c r="AU281" s="2" t="str">
        <f t="shared" ref="AU281:AU292" si="351">+V281</f>
        <v>COTESA</v>
      </c>
      <c r="AV281" s="37">
        <f t="shared" ref="AV281:AV292" si="352">+AS281-T281</f>
        <v>0</v>
      </c>
      <c r="AW281" s="37">
        <f t="shared" ref="AW281:AW292" si="353">+AT281-U281</f>
        <v>0</v>
      </c>
    </row>
    <row r="282" spans="1:49" outlineLevel="1" x14ac:dyDescent="0.25">
      <c r="B282" s="2" t="s">
        <v>6</v>
      </c>
      <c r="C282" s="2">
        <v>2022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/>
      <c r="U282" s="54"/>
      <c r="V282" s="2" t="s">
        <v>90</v>
      </c>
      <c r="Z282" s="30"/>
      <c r="AA282" s="30"/>
      <c r="AB282" s="31"/>
      <c r="AC282" s="32"/>
      <c r="AE282" s="2" t="s">
        <v>6</v>
      </c>
      <c r="AF282" s="2">
        <v>2021</v>
      </c>
      <c r="AG282" s="1">
        <f t="shared" si="338"/>
        <v>0</v>
      </c>
      <c r="AH282" s="11">
        <f t="shared" si="339"/>
        <v>0</v>
      </c>
      <c r="AI282" s="1">
        <f t="shared" si="340"/>
        <v>0</v>
      </c>
      <c r="AJ282" s="11">
        <f t="shared" si="341"/>
        <v>0</v>
      </c>
      <c r="AK282" s="8">
        <f t="shared" si="342"/>
        <v>0</v>
      </c>
      <c r="AL282" s="11">
        <f t="shared" si="343"/>
        <v>0</v>
      </c>
      <c r="AM282" s="8">
        <f t="shared" si="344"/>
        <v>0</v>
      </c>
      <c r="AN282" s="11">
        <f t="shared" si="345"/>
        <v>0</v>
      </c>
      <c r="AO282" s="8">
        <f t="shared" si="346"/>
        <v>0</v>
      </c>
      <c r="AP282" s="11">
        <f t="shared" si="347"/>
        <v>0</v>
      </c>
      <c r="AQ282" s="11">
        <f t="shared" si="348"/>
        <v>0</v>
      </c>
      <c r="AR282" s="11">
        <f t="shared" si="349"/>
        <v>0</v>
      </c>
      <c r="AS282" s="8">
        <f t="shared" ref="AS282:AS292" si="354">AO282+AM282+AK282+AI282+AG282+AQ282</f>
        <v>0</v>
      </c>
      <c r="AT282" s="11">
        <f t="shared" si="350"/>
        <v>0</v>
      </c>
      <c r="AU282" s="2" t="str">
        <f t="shared" si="351"/>
        <v>COTESA</v>
      </c>
      <c r="AV282" s="37">
        <f t="shared" si="352"/>
        <v>0</v>
      </c>
      <c r="AW282" s="37">
        <f t="shared" si="353"/>
        <v>0</v>
      </c>
    </row>
    <row r="283" spans="1:49" outlineLevel="1" x14ac:dyDescent="0.25">
      <c r="B283" s="2" t="s">
        <v>7</v>
      </c>
      <c r="C283" s="2">
        <v>2022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/>
      <c r="U283" s="54"/>
      <c r="V283" s="2" t="s">
        <v>90</v>
      </c>
      <c r="Z283" s="30"/>
      <c r="AA283" s="30"/>
      <c r="AB283" s="31"/>
      <c r="AC283" s="32"/>
      <c r="AE283" s="2" t="s">
        <v>7</v>
      </c>
      <c r="AF283" s="2">
        <v>2021</v>
      </c>
      <c r="AG283" s="1">
        <f t="shared" si="338"/>
        <v>0</v>
      </c>
      <c r="AH283" s="11">
        <f t="shared" si="339"/>
        <v>0</v>
      </c>
      <c r="AI283" s="1">
        <f t="shared" si="340"/>
        <v>0</v>
      </c>
      <c r="AJ283" s="11">
        <f t="shared" si="341"/>
        <v>0</v>
      </c>
      <c r="AK283" s="8">
        <f t="shared" si="342"/>
        <v>0</v>
      </c>
      <c r="AL283" s="11">
        <f t="shared" si="343"/>
        <v>0</v>
      </c>
      <c r="AM283" s="8">
        <f t="shared" si="344"/>
        <v>0</v>
      </c>
      <c r="AN283" s="11">
        <f t="shared" si="345"/>
        <v>0</v>
      </c>
      <c r="AO283" s="8">
        <f t="shared" si="346"/>
        <v>0</v>
      </c>
      <c r="AP283" s="11">
        <f t="shared" si="347"/>
        <v>0</v>
      </c>
      <c r="AQ283" s="11">
        <f t="shared" si="348"/>
        <v>0</v>
      </c>
      <c r="AR283" s="11">
        <f t="shared" si="349"/>
        <v>0</v>
      </c>
      <c r="AS283" s="8">
        <f t="shared" si="354"/>
        <v>0</v>
      </c>
      <c r="AT283" s="11">
        <f t="shared" si="350"/>
        <v>0</v>
      </c>
      <c r="AU283" s="2" t="str">
        <f t="shared" si="351"/>
        <v>COTESA</v>
      </c>
      <c r="AV283" s="37">
        <f t="shared" si="352"/>
        <v>0</v>
      </c>
      <c r="AW283" s="37">
        <f t="shared" si="353"/>
        <v>0</v>
      </c>
    </row>
    <row r="284" spans="1:49" outlineLevel="1" x14ac:dyDescent="0.25">
      <c r="B284" s="2" t="s">
        <v>8</v>
      </c>
      <c r="C284" s="2">
        <v>2022</v>
      </c>
      <c r="D284" s="1">
        <v>93</v>
      </c>
      <c r="E284" s="11">
        <v>8090</v>
      </c>
      <c r="F284" s="1">
        <v>1</v>
      </c>
      <c r="G284" s="11">
        <v>84</v>
      </c>
      <c r="H284" s="1">
        <v>0</v>
      </c>
      <c r="I284" s="11">
        <v>0</v>
      </c>
      <c r="J284" s="1">
        <v>751</v>
      </c>
      <c r="K284" s="11">
        <v>64528</v>
      </c>
      <c r="L284" s="1">
        <v>0</v>
      </c>
      <c r="M284" s="11">
        <v>0</v>
      </c>
      <c r="N284" s="1">
        <v>8</v>
      </c>
      <c r="O284" s="11">
        <v>892</v>
      </c>
      <c r="P284" s="8">
        <v>0</v>
      </c>
      <c r="Q284" s="11">
        <v>0</v>
      </c>
      <c r="R284" s="8">
        <v>0</v>
      </c>
      <c r="S284" s="11">
        <v>0</v>
      </c>
      <c r="T284" s="53">
        <f t="shared" ref="T284:T292" si="355">N284+L284+J284+H284+D284+P284+F284+R284</f>
        <v>853</v>
      </c>
      <c r="U284" s="54">
        <f t="shared" ref="U284:U292" si="356">O284+M284+K284+I284+E284+Q284+G284+S284</f>
        <v>73594</v>
      </c>
      <c r="V284" s="2" t="s">
        <v>90</v>
      </c>
      <c r="Z284" s="30"/>
      <c r="AA284" s="30">
        <f t="shared" ref="AA284:AA292" si="357">+Z284/J284</f>
        <v>0</v>
      </c>
      <c r="AB284" s="31"/>
      <c r="AC284" s="32">
        <f t="shared" ref="AC284:AC292" si="358">+AB284/K284</f>
        <v>0</v>
      </c>
      <c r="AD284" s="13"/>
      <c r="AE284" s="2" t="s">
        <v>8</v>
      </c>
      <c r="AF284" s="2">
        <v>2021</v>
      </c>
      <c r="AG284" s="1">
        <f t="shared" si="338"/>
        <v>94</v>
      </c>
      <c r="AH284" s="11">
        <f t="shared" si="339"/>
        <v>8174</v>
      </c>
      <c r="AI284" s="1">
        <f t="shared" si="340"/>
        <v>751</v>
      </c>
      <c r="AJ284" s="11">
        <f t="shared" si="341"/>
        <v>64528</v>
      </c>
      <c r="AK284" s="8">
        <f t="shared" si="342"/>
        <v>0</v>
      </c>
      <c r="AL284" s="11">
        <f t="shared" si="343"/>
        <v>0</v>
      </c>
      <c r="AM284" s="8">
        <f t="shared" si="344"/>
        <v>8</v>
      </c>
      <c r="AN284" s="11">
        <f t="shared" si="345"/>
        <v>892</v>
      </c>
      <c r="AO284" s="8">
        <f t="shared" si="346"/>
        <v>0</v>
      </c>
      <c r="AP284" s="11">
        <f t="shared" si="347"/>
        <v>0</v>
      </c>
      <c r="AQ284" s="11">
        <f t="shared" si="348"/>
        <v>0</v>
      </c>
      <c r="AR284" s="11">
        <f t="shared" si="349"/>
        <v>0</v>
      </c>
      <c r="AS284" s="8">
        <f t="shared" si="354"/>
        <v>853</v>
      </c>
      <c r="AT284" s="11">
        <f t="shared" si="350"/>
        <v>73594</v>
      </c>
      <c r="AU284" s="2" t="str">
        <f t="shared" si="351"/>
        <v>COTESA</v>
      </c>
      <c r="AV284" s="37">
        <f t="shared" si="352"/>
        <v>0</v>
      </c>
      <c r="AW284" s="37">
        <f t="shared" si="353"/>
        <v>0</v>
      </c>
    </row>
    <row r="285" spans="1:49" outlineLevel="1" x14ac:dyDescent="0.25">
      <c r="B285" s="2" t="s">
        <v>9</v>
      </c>
      <c r="C285" s="2">
        <v>2022</v>
      </c>
      <c r="D285" s="1">
        <v>37</v>
      </c>
      <c r="E285" s="11">
        <v>3226</v>
      </c>
      <c r="F285" s="1">
        <v>0</v>
      </c>
      <c r="G285" s="11">
        <v>0</v>
      </c>
      <c r="H285" s="1">
        <v>0</v>
      </c>
      <c r="I285" s="11">
        <v>0</v>
      </c>
      <c r="J285" s="1">
        <v>228</v>
      </c>
      <c r="K285" s="11">
        <v>22366</v>
      </c>
      <c r="L285" s="1">
        <v>1</v>
      </c>
      <c r="M285" s="11">
        <v>84</v>
      </c>
      <c r="N285" s="1">
        <v>5</v>
      </c>
      <c r="O285" s="11">
        <v>1080</v>
      </c>
      <c r="P285" s="8">
        <v>0</v>
      </c>
      <c r="Q285" s="11">
        <v>0</v>
      </c>
      <c r="R285" s="8">
        <v>0</v>
      </c>
      <c r="S285" s="11">
        <v>0</v>
      </c>
      <c r="T285" s="53">
        <f t="shared" si="355"/>
        <v>271</v>
      </c>
      <c r="U285" s="54">
        <f t="shared" si="356"/>
        <v>26756</v>
      </c>
      <c r="V285" s="2" t="s">
        <v>90</v>
      </c>
      <c r="Z285" s="30"/>
      <c r="AA285" s="30">
        <f t="shared" si="357"/>
        <v>0</v>
      </c>
      <c r="AB285" s="31"/>
      <c r="AC285" s="32">
        <f t="shared" si="358"/>
        <v>0</v>
      </c>
      <c r="AD285" s="13"/>
      <c r="AE285" s="2" t="s">
        <v>9</v>
      </c>
      <c r="AF285" s="2">
        <v>2021</v>
      </c>
      <c r="AG285" s="1">
        <f t="shared" si="338"/>
        <v>37</v>
      </c>
      <c r="AH285" s="11">
        <f t="shared" si="339"/>
        <v>3226</v>
      </c>
      <c r="AI285" s="1">
        <f t="shared" si="340"/>
        <v>228</v>
      </c>
      <c r="AJ285" s="11">
        <f t="shared" si="341"/>
        <v>22366</v>
      </c>
      <c r="AK285" s="8">
        <f t="shared" si="342"/>
        <v>1</v>
      </c>
      <c r="AL285" s="11">
        <f t="shared" si="343"/>
        <v>84</v>
      </c>
      <c r="AM285" s="8">
        <f t="shared" si="344"/>
        <v>5</v>
      </c>
      <c r="AN285" s="11">
        <f t="shared" si="345"/>
        <v>1080</v>
      </c>
      <c r="AO285" s="8">
        <f t="shared" si="346"/>
        <v>0</v>
      </c>
      <c r="AP285" s="11">
        <f t="shared" si="347"/>
        <v>0</v>
      </c>
      <c r="AQ285" s="11">
        <f t="shared" si="348"/>
        <v>0</v>
      </c>
      <c r="AR285" s="11">
        <f t="shared" si="349"/>
        <v>0</v>
      </c>
      <c r="AS285" s="8">
        <f t="shared" si="354"/>
        <v>271</v>
      </c>
      <c r="AT285" s="11">
        <f t="shared" si="350"/>
        <v>26756</v>
      </c>
      <c r="AU285" s="2" t="str">
        <f t="shared" si="351"/>
        <v>COTESA</v>
      </c>
      <c r="AV285" s="37">
        <f t="shared" si="352"/>
        <v>0</v>
      </c>
      <c r="AW285" s="37">
        <f t="shared" si="353"/>
        <v>0</v>
      </c>
    </row>
    <row r="286" spans="1:49" outlineLevel="1" x14ac:dyDescent="0.25">
      <c r="B286" s="2" t="s">
        <v>10</v>
      </c>
      <c r="C286" s="2">
        <v>2022</v>
      </c>
      <c r="D286" s="1">
        <v>69</v>
      </c>
      <c r="E286" s="11">
        <v>6134</v>
      </c>
      <c r="F286" s="1">
        <v>0</v>
      </c>
      <c r="G286" s="11">
        <v>0</v>
      </c>
      <c r="H286" s="1">
        <v>0</v>
      </c>
      <c r="I286" s="11">
        <v>0</v>
      </c>
      <c r="J286" s="1">
        <v>386</v>
      </c>
      <c r="K286" s="11">
        <v>38244</v>
      </c>
      <c r="L286" s="1">
        <v>0</v>
      </c>
      <c r="M286" s="11">
        <v>0</v>
      </c>
      <c r="N286" s="1">
        <v>24</v>
      </c>
      <c r="O286" s="11">
        <v>2794</v>
      </c>
      <c r="P286" s="8">
        <v>0</v>
      </c>
      <c r="Q286" s="11">
        <v>0</v>
      </c>
      <c r="R286" s="8">
        <v>0</v>
      </c>
      <c r="S286" s="11">
        <v>0</v>
      </c>
      <c r="T286" s="53">
        <f t="shared" si="355"/>
        <v>479</v>
      </c>
      <c r="U286" s="54">
        <f t="shared" si="356"/>
        <v>47172</v>
      </c>
      <c r="V286" s="2" t="s">
        <v>90</v>
      </c>
      <c r="Z286" s="30"/>
      <c r="AA286" s="30">
        <f t="shared" si="357"/>
        <v>0</v>
      </c>
      <c r="AB286" s="31"/>
      <c r="AC286" s="32">
        <f t="shared" si="358"/>
        <v>0</v>
      </c>
      <c r="AE286" s="2" t="s">
        <v>10</v>
      </c>
      <c r="AF286" s="2">
        <v>2021</v>
      </c>
      <c r="AG286" s="1">
        <f t="shared" si="338"/>
        <v>69</v>
      </c>
      <c r="AH286" s="11">
        <f t="shared" si="339"/>
        <v>6134</v>
      </c>
      <c r="AI286" s="1">
        <f t="shared" si="340"/>
        <v>386</v>
      </c>
      <c r="AJ286" s="11">
        <f t="shared" si="341"/>
        <v>38244</v>
      </c>
      <c r="AK286" s="8">
        <f t="shared" si="342"/>
        <v>0</v>
      </c>
      <c r="AL286" s="11">
        <f t="shared" si="343"/>
        <v>0</v>
      </c>
      <c r="AM286" s="8">
        <f t="shared" si="344"/>
        <v>24</v>
      </c>
      <c r="AN286" s="11">
        <f t="shared" si="345"/>
        <v>2794</v>
      </c>
      <c r="AO286" s="8">
        <f t="shared" si="346"/>
        <v>0</v>
      </c>
      <c r="AP286" s="11">
        <f t="shared" si="347"/>
        <v>0</v>
      </c>
      <c r="AQ286" s="11">
        <f t="shared" si="348"/>
        <v>0</v>
      </c>
      <c r="AR286" s="11">
        <f t="shared" si="349"/>
        <v>0</v>
      </c>
      <c r="AS286" s="8">
        <f t="shared" si="354"/>
        <v>479</v>
      </c>
      <c r="AT286" s="11">
        <f t="shared" si="350"/>
        <v>47172</v>
      </c>
      <c r="AU286" s="2" t="str">
        <f t="shared" si="351"/>
        <v>COTESA</v>
      </c>
      <c r="AV286" s="37">
        <f t="shared" si="352"/>
        <v>0</v>
      </c>
      <c r="AW286" s="37">
        <f t="shared" si="353"/>
        <v>0</v>
      </c>
    </row>
    <row r="287" spans="1:49" outlineLevel="1" x14ac:dyDescent="0.25">
      <c r="B287" s="2" t="s">
        <v>11</v>
      </c>
      <c r="C287" s="2">
        <v>2022</v>
      </c>
      <c r="D287" s="1">
        <v>92</v>
      </c>
      <c r="E287" s="11">
        <v>8168</v>
      </c>
      <c r="F287" s="1">
        <v>0</v>
      </c>
      <c r="G287" s="11">
        <v>0</v>
      </c>
      <c r="H287" s="1">
        <v>5</v>
      </c>
      <c r="I287" s="11">
        <v>774</v>
      </c>
      <c r="J287" s="1">
        <v>767</v>
      </c>
      <c r="K287" s="11">
        <v>77052</v>
      </c>
      <c r="L287" s="1">
        <v>0</v>
      </c>
      <c r="M287" s="11">
        <v>0</v>
      </c>
      <c r="N287" s="1">
        <v>18</v>
      </c>
      <c r="O287" s="11">
        <v>3406</v>
      </c>
      <c r="P287" s="8">
        <v>0</v>
      </c>
      <c r="Q287" s="11">
        <v>0</v>
      </c>
      <c r="R287" s="8">
        <v>0</v>
      </c>
      <c r="S287" s="11">
        <v>0</v>
      </c>
      <c r="T287" s="53">
        <f t="shared" si="355"/>
        <v>882</v>
      </c>
      <c r="U287" s="54">
        <f t="shared" si="356"/>
        <v>89400</v>
      </c>
      <c r="V287" s="2" t="s">
        <v>90</v>
      </c>
      <c r="Z287" s="30"/>
      <c r="AA287" s="30">
        <f t="shared" si="357"/>
        <v>0</v>
      </c>
      <c r="AB287" s="31"/>
      <c r="AC287" s="32">
        <f t="shared" si="358"/>
        <v>0</v>
      </c>
      <c r="AE287" s="2" t="s">
        <v>11</v>
      </c>
      <c r="AF287" s="2">
        <v>2021</v>
      </c>
      <c r="AG287" s="1">
        <f t="shared" si="338"/>
        <v>97</v>
      </c>
      <c r="AH287" s="11">
        <f t="shared" si="339"/>
        <v>8942</v>
      </c>
      <c r="AI287" s="1">
        <f t="shared" si="340"/>
        <v>767</v>
      </c>
      <c r="AJ287" s="11">
        <f t="shared" si="341"/>
        <v>77052</v>
      </c>
      <c r="AK287" s="8">
        <f t="shared" si="342"/>
        <v>0</v>
      </c>
      <c r="AL287" s="11">
        <f t="shared" si="343"/>
        <v>0</v>
      </c>
      <c r="AM287" s="8">
        <f t="shared" si="344"/>
        <v>18</v>
      </c>
      <c r="AN287" s="11">
        <f t="shared" si="345"/>
        <v>3406</v>
      </c>
      <c r="AO287" s="8">
        <f t="shared" si="346"/>
        <v>0</v>
      </c>
      <c r="AP287" s="11">
        <f t="shared" si="347"/>
        <v>0</v>
      </c>
      <c r="AQ287" s="11">
        <f t="shared" si="348"/>
        <v>0</v>
      </c>
      <c r="AR287" s="11">
        <f t="shared" si="349"/>
        <v>0</v>
      </c>
      <c r="AS287" s="8">
        <f t="shared" si="354"/>
        <v>882</v>
      </c>
      <c r="AT287" s="11">
        <f t="shared" si="350"/>
        <v>89400</v>
      </c>
      <c r="AU287" s="2" t="str">
        <f t="shared" si="351"/>
        <v>COTESA</v>
      </c>
      <c r="AV287" s="37">
        <f t="shared" si="352"/>
        <v>0</v>
      </c>
      <c r="AW287" s="37">
        <f t="shared" si="353"/>
        <v>0</v>
      </c>
    </row>
    <row r="288" spans="1:49" outlineLevel="1" x14ac:dyDescent="0.25">
      <c r="B288" s="2" t="s">
        <v>4</v>
      </c>
      <c r="C288" s="2">
        <v>2022</v>
      </c>
      <c r="D288" s="1">
        <v>25</v>
      </c>
      <c r="E288" s="11">
        <v>2100</v>
      </c>
      <c r="F288" s="1">
        <v>1</v>
      </c>
      <c r="G288" s="11">
        <v>84</v>
      </c>
      <c r="H288" s="1">
        <v>0</v>
      </c>
      <c r="I288" s="11">
        <v>0</v>
      </c>
      <c r="J288" s="1">
        <v>203</v>
      </c>
      <c r="K288" s="11">
        <v>21370</v>
      </c>
      <c r="L288" s="1">
        <v>0</v>
      </c>
      <c r="M288" s="11">
        <v>0</v>
      </c>
      <c r="N288" s="1">
        <v>7</v>
      </c>
      <c r="O288" s="11">
        <v>706</v>
      </c>
      <c r="P288" s="8">
        <v>0</v>
      </c>
      <c r="Q288" s="11">
        <v>0</v>
      </c>
      <c r="R288" s="8">
        <v>0</v>
      </c>
      <c r="S288" s="11">
        <v>0</v>
      </c>
      <c r="T288" s="53">
        <f t="shared" si="355"/>
        <v>236</v>
      </c>
      <c r="U288" s="54">
        <f t="shared" si="356"/>
        <v>24260</v>
      </c>
      <c r="V288" s="2" t="s">
        <v>90</v>
      </c>
      <c r="W288" s="38"/>
      <c r="Z288" s="30"/>
      <c r="AA288" s="30">
        <f t="shared" si="357"/>
        <v>0</v>
      </c>
      <c r="AB288" s="31"/>
      <c r="AC288" s="32">
        <f t="shared" si="358"/>
        <v>0</v>
      </c>
      <c r="AE288" s="2" t="s">
        <v>4</v>
      </c>
      <c r="AF288" s="2">
        <v>2021</v>
      </c>
      <c r="AG288" s="1">
        <f t="shared" si="338"/>
        <v>26</v>
      </c>
      <c r="AH288" s="11">
        <f t="shared" si="339"/>
        <v>2184</v>
      </c>
      <c r="AI288" s="1">
        <f t="shared" si="340"/>
        <v>203</v>
      </c>
      <c r="AJ288" s="11">
        <f t="shared" si="341"/>
        <v>21370</v>
      </c>
      <c r="AK288" s="8">
        <f t="shared" si="342"/>
        <v>0</v>
      </c>
      <c r="AL288" s="11">
        <f t="shared" si="343"/>
        <v>0</v>
      </c>
      <c r="AM288" s="8">
        <f t="shared" si="344"/>
        <v>7</v>
      </c>
      <c r="AN288" s="11">
        <f t="shared" si="345"/>
        <v>706</v>
      </c>
      <c r="AO288" s="8">
        <f t="shared" si="346"/>
        <v>0</v>
      </c>
      <c r="AP288" s="11">
        <f t="shared" si="347"/>
        <v>0</v>
      </c>
      <c r="AQ288" s="11">
        <f t="shared" si="348"/>
        <v>0</v>
      </c>
      <c r="AR288" s="11">
        <f t="shared" si="349"/>
        <v>0</v>
      </c>
      <c r="AS288" s="8">
        <f t="shared" si="354"/>
        <v>236</v>
      </c>
      <c r="AT288" s="11">
        <f t="shared" si="350"/>
        <v>24260</v>
      </c>
      <c r="AU288" s="2" t="str">
        <f t="shared" si="351"/>
        <v>COTESA</v>
      </c>
      <c r="AV288" s="37">
        <f t="shared" si="352"/>
        <v>0</v>
      </c>
      <c r="AW288" s="37">
        <f t="shared" si="353"/>
        <v>0</v>
      </c>
    </row>
    <row r="289" spans="1:61" outlineLevel="1" x14ac:dyDescent="0.25">
      <c r="B289" s="2" t="s">
        <v>28</v>
      </c>
      <c r="C289" s="2">
        <v>2022</v>
      </c>
      <c r="D289" s="1">
        <v>48</v>
      </c>
      <c r="E289" s="11">
        <v>4912</v>
      </c>
      <c r="F289" s="1">
        <v>0</v>
      </c>
      <c r="G289" s="11">
        <v>0</v>
      </c>
      <c r="H289" s="1">
        <v>1</v>
      </c>
      <c r="I289" s="11">
        <v>84</v>
      </c>
      <c r="J289" s="1">
        <v>437</v>
      </c>
      <c r="K289" s="11">
        <v>45539</v>
      </c>
      <c r="L289" s="1">
        <v>0</v>
      </c>
      <c r="M289" s="11">
        <v>0</v>
      </c>
      <c r="N289" s="1">
        <v>3</v>
      </c>
      <c r="O289" s="11">
        <v>590</v>
      </c>
      <c r="P289" s="8">
        <v>0</v>
      </c>
      <c r="Q289" s="11">
        <v>0</v>
      </c>
      <c r="R289" s="8">
        <v>0</v>
      </c>
      <c r="S289" s="11">
        <v>0</v>
      </c>
      <c r="T289" s="53">
        <f t="shared" si="355"/>
        <v>489</v>
      </c>
      <c r="U289" s="54">
        <f t="shared" si="356"/>
        <v>51125</v>
      </c>
      <c r="V289" s="2" t="s">
        <v>90</v>
      </c>
      <c r="Z289" s="30"/>
      <c r="AA289" s="30">
        <f t="shared" si="357"/>
        <v>0</v>
      </c>
      <c r="AB289" s="31"/>
      <c r="AC289" s="32">
        <f t="shared" si="358"/>
        <v>0</v>
      </c>
      <c r="AE289" s="2" t="s">
        <v>28</v>
      </c>
      <c r="AF289" s="2">
        <v>2021</v>
      </c>
      <c r="AG289" s="1">
        <f t="shared" si="338"/>
        <v>49</v>
      </c>
      <c r="AH289" s="11">
        <f t="shared" si="339"/>
        <v>4996</v>
      </c>
      <c r="AI289" s="1">
        <f t="shared" si="340"/>
        <v>437</v>
      </c>
      <c r="AJ289" s="11">
        <f t="shared" si="341"/>
        <v>45539</v>
      </c>
      <c r="AK289" s="8">
        <f t="shared" si="342"/>
        <v>0</v>
      </c>
      <c r="AL289" s="11">
        <f t="shared" si="343"/>
        <v>0</v>
      </c>
      <c r="AM289" s="8">
        <f t="shared" si="344"/>
        <v>3</v>
      </c>
      <c r="AN289" s="11">
        <f t="shared" si="345"/>
        <v>590</v>
      </c>
      <c r="AO289" s="8">
        <f t="shared" si="346"/>
        <v>0</v>
      </c>
      <c r="AP289" s="11">
        <f t="shared" si="347"/>
        <v>0</v>
      </c>
      <c r="AQ289" s="11">
        <f t="shared" si="348"/>
        <v>0</v>
      </c>
      <c r="AR289" s="11">
        <f t="shared" si="349"/>
        <v>0</v>
      </c>
      <c r="AS289" s="8">
        <f t="shared" si="354"/>
        <v>489</v>
      </c>
      <c r="AT289" s="11">
        <f t="shared" si="350"/>
        <v>51125</v>
      </c>
      <c r="AU289" s="2" t="str">
        <f t="shared" si="351"/>
        <v>COTESA</v>
      </c>
      <c r="AV289" s="37">
        <f t="shared" si="352"/>
        <v>0</v>
      </c>
      <c r="AW289" s="37">
        <f t="shared" si="353"/>
        <v>0</v>
      </c>
    </row>
    <row r="290" spans="1:61" outlineLevel="1" x14ac:dyDescent="0.25">
      <c r="B290" s="2" t="s">
        <v>29</v>
      </c>
      <c r="C290" s="2">
        <v>2022</v>
      </c>
      <c r="D290" s="1">
        <v>33</v>
      </c>
      <c r="E290" s="11">
        <v>3212</v>
      </c>
      <c r="F290" s="1">
        <v>5</v>
      </c>
      <c r="G290" s="11">
        <v>758</v>
      </c>
      <c r="H290" s="1">
        <v>3</v>
      </c>
      <c r="I290" s="11">
        <v>252</v>
      </c>
      <c r="J290" s="1">
        <v>311</v>
      </c>
      <c r="K290" s="11">
        <v>33610</v>
      </c>
      <c r="L290" s="1">
        <v>0</v>
      </c>
      <c r="M290" s="11">
        <v>0</v>
      </c>
      <c r="N290" s="1">
        <v>4</v>
      </c>
      <c r="O290" s="11">
        <v>651</v>
      </c>
      <c r="P290" s="8">
        <v>0</v>
      </c>
      <c r="Q290" s="11">
        <v>0</v>
      </c>
      <c r="R290" s="8">
        <v>0</v>
      </c>
      <c r="S290" s="11">
        <v>0</v>
      </c>
      <c r="T290" s="53">
        <f t="shared" si="355"/>
        <v>356</v>
      </c>
      <c r="U290" s="54">
        <f t="shared" si="356"/>
        <v>38483</v>
      </c>
      <c r="V290" s="2" t="s">
        <v>90</v>
      </c>
      <c r="Z290" s="30"/>
      <c r="AA290" s="30">
        <f t="shared" si="357"/>
        <v>0</v>
      </c>
      <c r="AB290" s="31"/>
      <c r="AC290" s="32">
        <f t="shared" si="358"/>
        <v>0</v>
      </c>
      <c r="AE290" s="2" t="s">
        <v>29</v>
      </c>
      <c r="AF290" s="2">
        <v>2021</v>
      </c>
      <c r="AG290" s="1">
        <f t="shared" si="338"/>
        <v>41</v>
      </c>
      <c r="AH290" s="11">
        <f t="shared" si="339"/>
        <v>4222</v>
      </c>
      <c r="AI290" s="1">
        <f t="shared" si="340"/>
        <v>311</v>
      </c>
      <c r="AJ290" s="11">
        <f t="shared" si="341"/>
        <v>33610</v>
      </c>
      <c r="AK290" s="8">
        <f t="shared" si="342"/>
        <v>0</v>
      </c>
      <c r="AL290" s="11">
        <f t="shared" si="343"/>
        <v>0</v>
      </c>
      <c r="AM290" s="8">
        <f t="shared" si="344"/>
        <v>4</v>
      </c>
      <c r="AN290" s="11">
        <f t="shared" si="345"/>
        <v>651</v>
      </c>
      <c r="AO290" s="8">
        <f t="shared" si="346"/>
        <v>0</v>
      </c>
      <c r="AP290" s="11">
        <f t="shared" si="347"/>
        <v>0</v>
      </c>
      <c r="AQ290" s="11">
        <f t="shared" si="348"/>
        <v>0</v>
      </c>
      <c r="AR290" s="11">
        <f t="shared" si="349"/>
        <v>0</v>
      </c>
      <c r="AS290" s="8">
        <f t="shared" si="354"/>
        <v>356</v>
      </c>
      <c r="AT290" s="11">
        <f t="shared" si="350"/>
        <v>38483</v>
      </c>
      <c r="AU290" s="2" t="str">
        <f t="shared" si="351"/>
        <v>COTESA</v>
      </c>
      <c r="AV290" s="37">
        <f t="shared" si="352"/>
        <v>0</v>
      </c>
      <c r="AW290" s="37">
        <f t="shared" si="353"/>
        <v>0</v>
      </c>
    </row>
    <row r="291" spans="1:61" outlineLevel="1" x14ac:dyDescent="0.25">
      <c r="B291" s="2" t="s">
        <v>30</v>
      </c>
      <c r="C291" s="2">
        <v>2022</v>
      </c>
      <c r="D291" s="1">
        <v>64</v>
      </c>
      <c r="E291" s="11">
        <v>7198</v>
      </c>
      <c r="F291" s="1">
        <v>2</v>
      </c>
      <c r="G291" s="11">
        <v>168</v>
      </c>
      <c r="H291" s="1">
        <v>22</v>
      </c>
      <c r="I291" s="11">
        <v>4444</v>
      </c>
      <c r="J291" s="1">
        <v>864</v>
      </c>
      <c r="K291" s="11">
        <v>90914</v>
      </c>
      <c r="L291" s="1">
        <v>0</v>
      </c>
      <c r="M291" s="11">
        <v>0</v>
      </c>
      <c r="N291" s="1">
        <v>25</v>
      </c>
      <c r="O291" s="11">
        <v>4159</v>
      </c>
      <c r="P291" s="8">
        <v>0</v>
      </c>
      <c r="Q291" s="11">
        <v>0</v>
      </c>
      <c r="R291" s="11">
        <v>0</v>
      </c>
      <c r="S291" s="11">
        <v>0</v>
      </c>
      <c r="T291" s="53">
        <f t="shared" si="355"/>
        <v>977</v>
      </c>
      <c r="U291" s="54">
        <f t="shared" si="356"/>
        <v>106883</v>
      </c>
      <c r="V291" s="2" t="s">
        <v>90</v>
      </c>
      <c r="Z291" s="30"/>
      <c r="AA291" s="30">
        <f t="shared" si="357"/>
        <v>0</v>
      </c>
      <c r="AB291" s="31"/>
      <c r="AC291" s="32">
        <f t="shared" si="358"/>
        <v>0</v>
      </c>
      <c r="AE291" s="2" t="s">
        <v>30</v>
      </c>
      <c r="AF291" s="2">
        <v>2021</v>
      </c>
      <c r="AG291" s="1">
        <f t="shared" si="338"/>
        <v>88</v>
      </c>
      <c r="AH291" s="11">
        <f t="shared" si="339"/>
        <v>11810</v>
      </c>
      <c r="AI291" s="1">
        <f t="shared" si="340"/>
        <v>864</v>
      </c>
      <c r="AJ291" s="11">
        <f t="shared" si="341"/>
        <v>90914</v>
      </c>
      <c r="AK291" s="8">
        <f t="shared" si="342"/>
        <v>0</v>
      </c>
      <c r="AL291" s="11">
        <f t="shared" si="343"/>
        <v>0</v>
      </c>
      <c r="AM291" s="8">
        <f t="shared" si="344"/>
        <v>25</v>
      </c>
      <c r="AN291" s="11">
        <f t="shared" si="345"/>
        <v>4159</v>
      </c>
      <c r="AO291" s="8">
        <f t="shared" si="346"/>
        <v>0</v>
      </c>
      <c r="AP291" s="11">
        <f t="shared" si="347"/>
        <v>0</v>
      </c>
      <c r="AQ291" s="11">
        <f t="shared" si="348"/>
        <v>0</v>
      </c>
      <c r="AR291" s="11">
        <f t="shared" si="349"/>
        <v>0</v>
      </c>
      <c r="AS291" s="8">
        <f t="shared" si="354"/>
        <v>977</v>
      </c>
      <c r="AT291" s="11">
        <f t="shared" si="350"/>
        <v>106883</v>
      </c>
      <c r="AU291" s="2" t="str">
        <f t="shared" si="351"/>
        <v>COTESA</v>
      </c>
      <c r="AV291" s="37">
        <f t="shared" si="352"/>
        <v>0</v>
      </c>
      <c r="AW291" s="37">
        <f t="shared" si="353"/>
        <v>0</v>
      </c>
    </row>
    <row r="292" spans="1:61" outlineLevel="1" x14ac:dyDescent="0.25">
      <c r="B292" s="2" t="s">
        <v>31</v>
      </c>
      <c r="C292" s="2">
        <v>2022</v>
      </c>
      <c r="D292" s="1">
        <v>107</v>
      </c>
      <c r="E292" s="11">
        <v>11064</v>
      </c>
      <c r="F292" s="1">
        <v>7</v>
      </c>
      <c r="G292" s="11">
        <v>759</v>
      </c>
      <c r="H292" s="1">
        <v>18</v>
      </c>
      <c r="I292" s="11">
        <v>3346</v>
      </c>
      <c r="J292" s="1">
        <v>1492</v>
      </c>
      <c r="K292" s="11">
        <v>154815</v>
      </c>
      <c r="L292" s="1">
        <v>1</v>
      </c>
      <c r="M292" s="11">
        <v>91</v>
      </c>
      <c r="N292" s="1">
        <v>35</v>
      </c>
      <c r="O292" s="11">
        <v>4803</v>
      </c>
      <c r="P292" s="8">
        <v>0</v>
      </c>
      <c r="Q292" s="11">
        <v>0</v>
      </c>
      <c r="R292" s="11">
        <v>0</v>
      </c>
      <c r="S292" s="11">
        <v>0</v>
      </c>
      <c r="T292" s="53">
        <f t="shared" si="355"/>
        <v>1660</v>
      </c>
      <c r="U292" s="54">
        <f t="shared" si="356"/>
        <v>174878</v>
      </c>
      <c r="V292" s="2" t="s">
        <v>90</v>
      </c>
      <c r="X292" s="13"/>
      <c r="Z292" s="30"/>
      <c r="AA292" s="30">
        <f t="shared" si="357"/>
        <v>0</v>
      </c>
      <c r="AB292" s="31"/>
      <c r="AC292" s="32">
        <f t="shared" si="358"/>
        <v>0</v>
      </c>
      <c r="AE292" s="2" t="s">
        <v>31</v>
      </c>
      <c r="AF292" s="2">
        <v>2021</v>
      </c>
      <c r="AG292" s="1">
        <f t="shared" si="338"/>
        <v>132</v>
      </c>
      <c r="AH292" s="11">
        <f t="shared" si="339"/>
        <v>15169</v>
      </c>
      <c r="AI292" s="1">
        <f t="shared" si="340"/>
        <v>1492</v>
      </c>
      <c r="AJ292" s="11">
        <f t="shared" si="341"/>
        <v>154815</v>
      </c>
      <c r="AK292" s="8">
        <f t="shared" si="342"/>
        <v>1</v>
      </c>
      <c r="AL292" s="11">
        <f t="shared" si="343"/>
        <v>91</v>
      </c>
      <c r="AM292" s="8">
        <f t="shared" si="344"/>
        <v>35</v>
      </c>
      <c r="AN292" s="11">
        <f t="shared" si="345"/>
        <v>4803</v>
      </c>
      <c r="AO292" s="8">
        <f t="shared" si="346"/>
        <v>0</v>
      </c>
      <c r="AP292" s="11">
        <f t="shared" si="347"/>
        <v>0</v>
      </c>
      <c r="AQ292" s="11">
        <f t="shared" si="348"/>
        <v>0</v>
      </c>
      <c r="AR292" s="11">
        <f t="shared" si="349"/>
        <v>0</v>
      </c>
      <c r="AS292" s="8">
        <f t="shared" si="354"/>
        <v>1660</v>
      </c>
      <c r="AT292" s="11">
        <f t="shared" si="350"/>
        <v>174878</v>
      </c>
      <c r="AU292" s="2" t="str">
        <f t="shared" si="351"/>
        <v>COTESA</v>
      </c>
      <c r="AV292" s="37">
        <f t="shared" si="352"/>
        <v>0</v>
      </c>
      <c r="AW292" s="37">
        <f t="shared" si="353"/>
        <v>0</v>
      </c>
    </row>
    <row r="293" spans="1:61" outlineLevel="1" x14ac:dyDescent="0.25">
      <c r="AH293" s="9"/>
      <c r="AJ293" s="9"/>
      <c r="AL293" s="9"/>
      <c r="AN293" s="9"/>
      <c r="AO293" s="9"/>
      <c r="AP293" s="9"/>
      <c r="AQ293" s="9"/>
      <c r="AR293" s="9"/>
      <c r="AT293" s="9"/>
    </row>
    <row r="294" spans="1:61" outlineLevel="1" x14ac:dyDescent="0.25">
      <c r="B294" s="3" t="s">
        <v>12</v>
      </c>
      <c r="C294" s="3"/>
      <c r="D294" s="4">
        <f t="shared" ref="D294:O294" si="359">SUM(D281:D293)</f>
        <v>568</v>
      </c>
      <c r="E294" s="12">
        <f t="shared" si="359"/>
        <v>54104</v>
      </c>
      <c r="F294" s="4">
        <f t="shared" si="359"/>
        <v>16</v>
      </c>
      <c r="G294" s="12">
        <f t="shared" si="359"/>
        <v>1853</v>
      </c>
      <c r="H294" s="4">
        <f t="shared" si="359"/>
        <v>49</v>
      </c>
      <c r="I294" s="12">
        <f t="shared" si="359"/>
        <v>8900</v>
      </c>
      <c r="J294" s="4">
        <f t="shared" si="359"/>
        <v>5439</v>
      </c>
      <c r="K294" s="12">
        <f t="shared" si="359"/>
        <v>548438</v>
      </c>
      <c r="L294" s="4">
        <f t="shared" si="359"/>
        <v>2</v>
      </c>
      <c r="M294" s="12">
        <f t="shared" si="359"/>
        <v>175</v>
      </c>
      <c r="N294" s="4">
        <f t="shared" si="359"/>
        <v>129</v>
      </c>
      <c r="O294" s="12">
        <f t="shared" si="359"/>
        <v>19081</v>
      </c>
      <c r="P294" s="4">
        <f>SUM(P281:P293)</f>
        <v>0</v>
      </c>
      <c r="Q294" s="12">
        <f>SUM(Q281:Q293)</f>
        <v>0</v>
      </c>
      <c r="R294" s="4">
        <f>SUM(R281:R293)</f>
        <v>0</v>
      </c>
      <c r="S294" s="12">
        <f>SUM(S281:S293)</f>
        <v>0</v>
      </c>
      <c r="T294" s="4">
        <f t="shared" ref="T294:U294" si="360">SUM(T281:T293)</f>
        <v>6203</v>
      </c>
      <c r="U294" s="12">
        <f t="shared" si="360"/>
        <v>632551</v>
      </c>
      <c r="Z294" s="12" t="e">
        <f>AVERAGE(Z281:Z293)</f>
        <v>#DIV/0!</v>
      </c>
      <c r="AA294" s="12">
        <f t="shared" ref="AA294:AC294" si="361">AVERAGE(AA281:AA293)</f>
        <v>0</v>
      </c>
      <c r="AB294" s="12" t="e">
        <f t="shared" si="361"/>
        <v>#DIV/0!</v>
      </c>
      <c r="AC294" s="16">
        <f t="shared" si="361"/>
        <v>0</v>
      </c>
      <c r="AE294" s="3" t="s">
        <v>12</v>
      </c>
      <c r="AF294" s="3"/>
      <c r="AG294" s="4">
        <f t="shared" ref="AG294:AT294" si="362">SUM(AG281:AG293)</f>
        <v>633</v>
      </c>
      <c r="AH294" s="12">
        <f t="shared" si="362"/>
        <v>64857</v>
      </c>
      <c r="AI294" s="4">
        <f t="shared" si="362"/>
        <v>5439</v>
      </c>
      <c r="AJ294" s="12">
        <f t="shared" si="362"/>
        <v>548438</v>
      </c>
      <c r="AK294" s="4">
        <f t="shared" si="362"/>
        <v>2</v>
      </c>
      <c r="AL294" s="12">
        <f t="shared" si="362"/>
        <v>175</v>
      </c>
      <c r="AM294" s="4">
        <f t="shared" si="362"/>
        <v>129</v>
      </c>
      <c r="AN294" s="12">
        <f t="shared" si="362"/>
        <v>19081</v>
      </c>
      <c r="AO294" s="4">
        <f t="shared" si="362"/>
        <v>0</v>
      </c>
      <c r="AP294" s="12">
        <f t="shared" si="362"/>
        <v>0</v>
      </c>
      <c r="AQ294" s="4">
        <f t="shared" si="362"/>
        <v>0</v>
      </c>
      <c r="AR294" s="12">
        <f t="shared" si="362"/>
        <v>0</v>
      </c>
      <c r="AS294" s="4">
        <f t="shared" si="362"/>
        <v>6203</v>
      </c>
      <c r="AT294" s="12">
        <f t="shared" si="362"/>
        <v>632551</v>
      </c>
    </row>
    <row r="295" spans="1:61" outlineLevel="1" x14ac:dyDescent="0.25">
      <c r="J295" s="46" t="str">
        <f>+$B$276</f>
        <v>Aforo e Ingreso - COTESA</v>
      </c>
      <c r="K295" s="9" t="s">
        <v>84</v>
      </c>
      <c r="L295" s="15">
        <f>AVERAGE(L284:L292)</f>
        <v>0.22222222222222221</v>
      </c>
      <c r="M295" s="60">
        <f>AVERAGE(M284:M292)</f>
        <v>19.444444444444443</v>
      </c>
      <c r="T295" s="15">
        <f>AVERAGE(T284:T292)</f>
        <v>689.22222222222217</v>
      </c>
      <c r="U295" s="28">
        <f>AVERAGE(U284:U292)</f>
        <v>70283.444444444438</v>
      </c>
      <c r="V295" s="29"/>
    </row>
    <row r="296" spans="1:61" x14ac:dyDescent="0.25">
      <c r="B296" s="5" t="s">
        <v>14</v>
      </c>
      <c r="J296" s="46" t="str">
        <f>+$B$276</f>
        <v>Aforo e Ingreso - COTESA</v>
      </c>
      <c r="K296" s="9" t="s">
        <v>85</v>
      </c>
      <c r="L296" s="26">
        <f>+L295/$L$316</f>
        <v>1.0691273702219695E-6</v>
      </c>
      <c r="M296" s="36">
        <f>+M295/$M$316</f>
        <v>6.5269823102160945E-7</v>
      </c>
      <c r="N296" s="18"/>
      <c r="O296" s="19"/>
      <c r="P296" s="19"/>
      <c r="Q296" s="19"/>
      <c r="R296" s="19"/>
      <c r="S296" s="19"/>
      <c r="T296" s="36">
        <f>+L295/T295</f>
        <v>3.2242463324197971E-4</v>
      </c>
      <c r="U296" s="62">
        <f>+M295/U295</f>
        <v>2.7665753433320001E-4</v>
      </c>
    </row>
    <row r="297" spans="1:61" x14ac:dyDescent="0.25">
      <c r="B297" s="5" t="s">
        <v>33</v>
      </c>
      <c r="M297" s="26"/>
    </row>
    <row r="298" spans="1:61" x14ac:dyDescent="0.25">
      <c r="B298" s="5"/>
    </row>
    <row r="299" spans="1:61" x14ac:dyDescent="0.25">
      <c r="D299" s="89" t="s">
        <v>15</v>
      </c>
      <c r="E299" s="90"/>
      <c r="F299" s="89" t="s">
        <v>71</v>
      </c>
      <c r="G299" s="90"/>
      <c r="H299" s="89" t="s">
        <v>16</v>
      </c>
      <c r="I299" s="90"/>
      <c r="J299" s="89" t="s">
        <v>17</v>
      </c>
      <c r="K299" s="93"/>
      <c r="L299" s="89" t="s">
        <v>18</v>
      </c>
      <c r="M299" s="93"/>
      <c r="N299" s="89" t="s">
        <v>13</v>
      </c>
      <c r="O299" s="93"/>
      <c r="P299" s="89" t="s">
        <v>34</v>
      </c>
      <c r="Q299" s="93"/>
      <c r="R299" s="89" t="s">
        <v>87</v>
      </c>
      <c r="S299" s="93"/>
      <c r="T299" s="89" t="s">
        <v>46</v>
      </c>
      <c r="U299" s="93"/>
      <c r="V299" s="89" t="s">
        <v>44</v>
      </c>
      <c r="W299" s="93"/>
      <c r="AG299" s="89" t="s">
        <v>69</v>
      </c>
      <c r="AH299" s="90"/>
      <c r="AI299" s="89" t="s">
        <v>17</v>
      </c>
      <c r="AJ299" s="93"/>
      <c r="AK299" s="89" t="s">
        <v>18</v>
      </c>
      <c r="AL299" s="93"/>
      <c r="AM299" s="89" t="s">
        <v>13</v>
      </c>
      <c r="AN299" s="93"/>
      <c r="AO299" s="89" t="s">
        <v>34</v>
      </c>
      <c r="AP299" s="93"/>
      <c r="AQ299" s="89" t="s">
        <v>87</v>
      </c>
      <c r="AR299" s="93"/>
      <c r="AS299" s="89" t="s">
        <v>12</v>
      </c>
      <c r="AT299" s="93"/>
    </row>
    <row r="300" spans="1:61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R300" s="7" t="s">
        <v>2</v>
      </c>
      <c r="S300" s="10" t="s">
        <v>3</v>
      </c>
      <c r="T300" s="7" t="s">
        <v>2</v>
      </c>
      <c r="U300" s="10" t="s">
        <v>3</v>
      </c>
      <c r="V300" s="7" t="s">
        <v>2</v>
      </c>
      <c r="W300" s="10" t="s">
        <v>3</v>
      </c>
      <c r="Z300" s="33">
        <v>2021</v>
      </c>
      <c r="AA300" s="34">
        <v>0.63373109825736784</v>
      </c>
      <c r="AB300" s="33">
        <f>+Z300</f>
        <v>2021</v>
      </c>
      <c r="AC300" s="35">
        <v>6.1148709932188107E-3</v>
      </c>
      <c r="AE300" s="7" t="s">
        <v>0</v>
      </c>
      <c r="AF300" s="7" t="s">
        <v>1</v>
      </c>
      <c r="AG300" s="7" t="s">
        <v>2</v>
      </c>
      <c r="AH300" s="10" t="s">
        <v>3</v>
      </c>
      <c r="AI300" s="7" t="s">
        <v>2</v>
      </c>
      <c r="AJ300" s="10" t="s">
        <v>3</v>
      </c>
      <c r="AK300" s="7" t="s">
        <v>2</v>
      </c>
      <c r="AL300" s="10" t="s">
        <v>3</v>
      </c>
      <c r="AM300" s="7" t="s">
        <v>2</v>
      </c>
      <c r="AN300" s="10" t="s">
        <v>3</v>
      </c>
      <c r="AO300" s="7" t="s">
        <v>2</v>
      </c>
      <c r="AP300" s="10" t="s">
        <v>3</v>
      </c>
      <c r="AQ300" s="7" t="s">
        <v>2</v>
      </c>
      <c r="AR300" s="10" t="s">
        <v>3</v>
      </c>
      <c r="AS300" s="7" t="s">
        <v>2</v>
      </c>
      <c r="AT300" s="10" t="s">
        <v>3</v>
      </c>
    </row>
    <row r="301" spans="1:61" x14ac:dyDescent="0.25">
      <c r="T301" s="9"/>
      <c r="W301" s="9"/>
      <c r="AH301" s="9"/>
      <c r="AJ301" s="9"/>
      <c r="AL301" s="9"/>
      <c r="AN301" s="9"/>
      <c r="AO301" s="9"/>
      <c r="AP301" s="9"/>
      <c r="AQ301" s="9"/>
      <c r="AR301" s="9"/>
      <c r="AT301" s="9"/>
    </row>
    <row r="302" spans="1:61" x14ac:dyDescent="0.25">
      <c r="B302" s="2" t="s">
        <v>5</v>
      </c>
      <c r="C302" s="2">
        <v>2022</v>
      </c>
      <c r="D302" s="1">
        <f>+D92+D71+D50+D29+D8+D113+D134+D155+D176+D197+D218+D239+D260+D281</f>
        <v>1238571</v>
      </c>
      <c r="E302" s="1">
        <f t="shared" ref="E302:S302" si="363">+E92+E71+E50+E29+E8+E113+E134+E155+E176+E197+E218+E239+E260+E281</f>
        <v>61503847.609999999</v>
      </c>
      <c r="F302" s="1">
        <f t="shared" si="363"/>
        <v>629420</v>
      </c>
      <c r="G302" s="1">
        <f t="shared" si="363"/>
        <v>30844031.18</v>
      </c>
      <c r="H302" s="1">
        <f t="shared" si="363"/>
        <v>117385</v>
      </c>
      <c r="I302" s="1">
        <f t="shared" si="363"/>
        <v>9650052.1500000004</v>
      </c>
      <c r="J302" s="1">
        <f t="shared" si="363"/>
        <v>6548058</v>
      </c>
      <c r="K302" s="1">
        <f t="shared" si="363"/>
        <v>512224724.38</v>
      </c>
      <c r="L302" s="1">
        <f t="shared" si="363"/>
        <v>231211</v>
      </c>
      <c r="M302" s="1">
        <f t="shared" si="363"/>
        <v>30594998.960000001</v>
      </c>
      <c r="N302" s="1">
        <f t="shared" si="363"/>
        <v>217788</v>
      </c>
      <c r="O302" s="1">
        <f t="shared" si="363"/>
        <v>24249235.390000001</v>
      </c>
      <c r="P302" s="1">
        <f t="shared" si="363"/>
        <v>0</v>
      </c>
      <c r="Q302" s="1">
        <f t="shared" si="363"/>
        <v>0</v>
      </c>
      <c r="R302" s="1">
        <f t="shared" si="363"/>
        <v>0</v>
      </c>
      <c r="S302" s="1">
        <f t="shared" si="363"/>
        <v>0</v>
      </c>
      <c r="T302" s="8">
        <f>+T113</f>
        <v>48</v>
      </c>
      <c r="U302" s="11">
        <f t="shared" ref="U302:U313" si="364">+U113</f>
        <v>2694</v>
      </c>
      <c r="V302" s="8">
        <f>N302+L302+J302+H302+D302+P302+T302+F302+R302</f>
        <v>8982481</v>
      </c>
      <c r="W302" s="8">
        <f t="shared" ref="W302:W313" si="365">O302+M302+K302+I302+E302+Q302+U302+G302+S302</f>
        <v>669069583.66999996</v>
      </c>
      <c r="X302" s="2" t="s">
        <v>80</v>
      </c>
      <c r="Z302" s="30">
        <f t="shared" ref="Z302:Z307" si="366">+Z260+Z239+Z218+Z197+Z176+Z71+Z113+Z92+Z155</f>
        <v>0</v>
      </c>
      <c r="AA302" s="30">
        <f t="shared" ref="AA302:AA307" si="367">+Z302/J302</f>
        <v>0</v>
      </c>
      <c r="AB302" s="30">
        <f t="shared" ref="AB302:AB307" si="368">+AB260+AB239+AB218+AB197+AB176+AB71+AB113+AB92+AB155</f>
        <v>0</v>
      </c>
      <c r="AC302" s="32">
        <f t="shared" ref="AC302:AC307" si="369">+AB302/K302</f>
        <v>0</v>
      </c>
      <c r="AD302" s="13"/>
      <c r="AE302" s="2" t="s">
        <v>5</v>
      </c>
      <c r="AF302" s="2">
        <v>2021</v>
      </c>
      <c r="AG302" s="1">
        <f t="shared" ref="AG302:AG313" si="370">D302+H302+F302</f>
        <v>1985376</v>
      </c>
      <c r="AH302" s="11">
        <f t="shared" ref="AH302:AH313" si="371">E302+I302+G302</f>
        <v>101997930.94</v>
      </c>
      <c r="AI302" s="1">
        <f t="shared" ref="AI302:AI313" si="372">+J302</f>
        <v>6548058</v>
      </c>
      <c r="AJ302" s="11">
        <f t="shared" ref="AJ302:AJ313" si="373">+K302</f>
        <v>512224724.38</v>
      </c>
      <c r="AK302" s="8">
        <f t="shared" ref="AK302:AK313" si="374">+L302</f>
        <v>231211</v>
      </c>
      <c r="AL302" s="11">
        <f t="shared" ref="AL302:AL313" si="375">+M302</f>
        <v>30594998.960000001</v>
      </c>
      <c r="AM302" s="8">
        <f t="shared" ref="AM302:AM313" si="376">+N302</f>
        <v>217788</v>
      </c>
      <c r="AN302" s="11">
        <f t="shared" ref="AN302:AN313" si="377">+O302</f>
        <v>24249235.390000001</v>
      </c>
      <c r="AO302" s="8">
        <f t="shared" ref="AO302:AO313" si="378">+P302</f>
        <v>0</v>
      </c>
      <c r="AP302" s="11">
        <f t="shared" ref="AP302:AP313" si="379">+Q302</f>
        <v>0</v>
      </c>
      <c r="AQ302" s="11">
        <f t="shared" ref="AQ302:AQ313" si="380">+R302</f>
        <v>0</v>
      </c>
      <c r="AR302" s="11">
        <f t="shared" ref="AR302:AR313" si="381">+S302</f>
        <v>0</v>
      </c>
      <c r="AS302" s="8">
        <f>AO302+AM302+AK302+AI302+AG302+AQ302</f>
        <v>8982433</v>
      </c>
      <c r="AT302" s="11">
        <f t="shared" ref="AT302:AT313" si="382">AP302+AN302+AL302+AJ302+AH302+AR302</f>
        <v>669066889.67000008</v>
      </c>
      <c r="AU302" s="2" t="s">
        <v>70</v>
      </c>
      <c r="AV302" s="37">
        <f t="shared" ref="AV302:AV313" si="383">+AS302-V302</f>
        <v>-48</v>
      </c>
      <c r="AW302" s="37">
        <f t="shared" ref="AW302:AW313" si="384">+AT302-W302</f>
        <v>-2693.9999998807907</v>
      </c>
      <c r="AX302" s="13"/>
      <c r="AY302" s="40"/>
      <c r="AZ302" s="40"/>
      <c r="BA302" s="13"/>
      <c r="BB302" s="40"/>
      <c r="BC302" s="40"/>
      <c r="BD302" s="13"/>
      <c r="BE302" s="40"/>
      <c r="BF302" s="40"/>
      <c r="BH302" s="41"/>
      <c r="BI302" s="43"/>
    </row>
    <row r="303" spans="1:61" x14ac:dyDescent="0.25">
      <c r="B303" s="2" t="s">
        <v>6</v>
      </c>
      <c r="C303" s="2">
        <v>2022</v>
      </c>
      <c r="D303" s="1">
        <f t="shared" ref="D303:S303" si="385">+D93+D72+D51+D30+D9+D114+D135+D156+D177+D198+D219+D240+D261+D282</f>
        <v>1435293</v>
      </c>
      <c r="E303" s="1">
        <f t="shared" si="385"/>
        <v>73572662.150000006</v>
      </c>
      <c r="F303" s="1">
        <f t="shared" si="385"/>
        <v>772713</v>
      </c>
      <c r="G303" s="1">
        <f t="shared" si="385"/>
        <v>39247392.57</v>
      </c>
      <c r="H303" s="1">
        <f t="shared" si="385"/>
        <v>112330</v>
      </c>
      <c r="I303" s="1">
        <f t="shared" si="385"/>
        <v>9418946.5899999999</v>
      </c>
      <c r="J303" s="1">
        <f t="shared" si="385"/>
        <v>7237785</v>
      </c>
      <c r="K303" s="1">
        <f t="shared" si="385"/>
        <v>562471201.25999999</v>
      </c>
      <c r="L303" s="1">
        <f t="shared" si="385"/>
        <v>214928</v>
      </c>
      <c r="M303" s="1">
        <f t="shared" si="385"/>
        <v>28847135.5</v>
      </c>
      <c r="N303" s="1">
        <f t="shared" si="385"/>
        <v>223225</v>
      </c>
      <c r="O303" s="1">
        <f t="shared" si="385"/>
        <v>25726279.440000001</v>
      </c>
      <c r="P303" s="1">
        <f t="shared" si="385"/>
        <v>13</v>
      </c>
      <c r="Q303" s="1">
        <f t="shared" si="385"/>
        <v>1456</v>
      </c>
      <c r="R303" s="1">
        <f t="shared" si="385"/>
        <v>0</v>
      </c>
      <c r="S303" s="1">
        <f t="shared" si="385"/>
        <v>0</v>
      </c>
      <c r="T303" s="8">
        <f t="shared" ref="T303" si="386">+T114</f>
        <v>0</v>
      </c>
      <c r="U303" s="11">
        <f t="shared" si="364"/>
        <v>0</v>
      </c>
      <c r="V303" s="8">
        <f t="shared" ref="V303:V313" si="387">N303+L303+J303+H303+D303+P303+T303+F303+R303</f>
        <v>9996287</v>
      </c>
      <c r="W303" s="8">
        <f t="shared" si="365"/>
        <v>739285073.51000011</v>
      </c>
      <c r="X303" s="2" t="s">
        <v>80</v>
      </c>
      <c r="Z303" s="30">
        <f t="shared" si="366"/>
        <v>0</v>
      </c>
      <c r="AA303" s="30">
        <f t="shared" si="367"/>
        <v>0</v>
      </c>
      <c r="AB303" s="30">
        <f t="shared" si="368"/>
        <v>0</v>
      </c>
      <c r="AC303" s="32">
        <f t="shared" si="369"/>
        <v>0</v>
      </c>
      <c r="AD303" s="13"/>
      <c r="AE303" s="2" t="s">
        <v>6</v>
      </c>
      <c r="AF303" s="2">
        <v>2021</v>
      </c>
      <c r="AG303" s="1">
        <f t="shared" si="370"/>
        <v>2320336</v>
      </c>
      <c r="AH303" s="11">
        <f t="shared" si="371"/>
        <v>122239001.31</v>
      </c>
      <c r="AI303" s="1">
        <f t="shared" si="372"/>
        <v>7237785</v>
      </c>
      <c r="AJ303" s="11">
        <f t="shared" si="373"/>
        <v>562471201.25999999</v>
      </c>
      <c r="AK303" s="8">
        <f t="shared" si="374"/>
        <v>214928</v>
      </c>
      <c r="AL303" s="11">
        <f t="shared" si="375"/>
        <v>28847135.5</v>
      </c>
      <c r="AM303" s="8">
        <f t="shared" si="376"/>
        <v>223225</v>
      </c>
      <c r="AN303" s="11">
        <f t="shared" si="377"/>
        <v>25726279.440000001</v>
      </c>
      <c r="AO303" s="8">
        <f t="shared" si="378"/>
        <v>13</v>
      </c>
      <c r="AP303" s="11">
        <f t="shared" si="379"/>
        <v>1456</v>
      </c>
      <c r="AQ303" s="11">
        <f t="shared" si="380"/>
        <v>0</v>
      </c>
      <c r="AR303" s="11">
        <f t="shared" si="381"/>
        <v>0</v>
      </c>
      <c r="AS303" s="8">
        <f t="shared" ref="AS303:AS313" si="388">AO303+AM303+AK303+AI303+AG303+AQ303</f>
        <v>9996287</v>
      </c>
      <c r="AT303" s="11">
        <f t="shared" si="382"/>
        <v>739285073.50999999</v>
      </c>
      <c r="AU303" s="2" t="s">
        <v>70</v>
      </c>
      <c r="AV303" s="37">
        <f t="shared" si="383"/>
        <v>0</v>
      </c>
      <c r="AW303" s="37">
        <f t="shared" si="384"/>
        <v>0</v>
      </c>
      <c r="AX303" s="13"/>
      <c r="AY303" s="40"/>
      <c r="AZ303" s="40"/>
      <c r="BA303" s="13"/>
      <c r="BB303" s="40"/>
      <c r="BC303" s="40"/>
      <c r="BD303" s="13"/>
      <c r="BE303" s="40"/>
      <c r="BF303" s="40"/>
      <c r="BH303" s="41"/>
      <c r="BI303" s="43"/>
    </row>
    <row r="304" spans="1:61" x14ac:dyDescent="0.25">
      <c r="B304" s="2" t="s">
        <v>7</v>
      </c>
      <c r="C304" s="2">
        <v>2022</v>
      </c>
      <c r="D304" s="1">
        <f t="shared" ref="D304:S304" si="389">+D94+D73+D52+D31+D10+D115+D136+D157+D178+D199+D220+D241+D262+D283</f>
        <v>1778445</v>
      </c>
      <c r="E304" s="1">
        <f t="shared" si="389"/>
        <v>93603740.739999995</v>
      </c>
      <c r="F304" s="1">
        <f t="shared" si="389"/>
        <v>1007542</v>
      </c>
      <c r="G304" s="1">
        <f t="shared" si="389"/>
        <v>52215538.039999999</v>
      </c>
      <c r="H304" s="1">
        <f t="shared" si="389"/>
        <v>129957</v>
      </c>
      <c r="I304" s="1">
        <f t="shared" si="389"/>
        <v>11731094.43</v>
      </c>
      <c r="J304" s="1">
        <f t="shared" si="389"/>
        <v>8900440</v>
      </c>
      <c r="K304" s="1">
        <f t="shared" si="389"/>
        <v>711767724.63</v>
      </c>
      <c r="L304" s="1">
        <f t="shared" si="389"/>
        <v>260315</v>
      </c>
      <c r="M304" s="1">
        <f t="shared" si="389"/>
        <v>37320727.579999998</v>
      </c>
      <c r="N304" s="1">
        <f t="shared" si="389"/>
        <v>268253</v>
      </c>
      <c r="O304" s="1">
        <f t="shared" si="389"/>
        <v>32023145.559999999</v>
      </c>
      <c r="P304" s="1">
        <f t="shared" si="389"/>
        <v>18</v>
      </c>
      <c r="Q304" s="1">
        <f t="shared" si="389"/>
        <v>2773</v>
      </c>
      <c r="R304" s="1">
        <f t="shared" si="389"/>
        <v>6</v>
      </c>
      <c r="S304" s="1">
        <f t="shared" si="389"/>
        <v>212</v>
      </c>
      <c r="T304" s="8">
        <f t="shared" ref="T304" si="390">+T115</f>
        <v>0</v>
      </c>
      <c r="U304" s="11">
        <f t="shared" si="364"/>
        <v>0</v>
      </c>
      <c r="V304" s="8">
        <f t="shared" si="387"/>
        <v>12344976</v>
      </c>
      <c r="W304" s="8">
        <f t="shared" si="365"/>
        <v>938664955.9799999</v>
      </c>
      <c r="X304" s="2" t="s">
        <v>80</v>
      </c>
      <c r="Z304" s="30">
        <f t="shared" si="366"/>
        <v>0</v>
      </c>
      <c r="AA304" s="30">
        <f t="shared" si="367"/>
        <v>0</v>
      </c>
      <c r="AB304" s="30">
        <f t="shared" si="368"/>
        <v>0</v>
      </c>
      <c r="AC304" s="32">
        <f t="shared" si="369"/>
        <v>0</v>
      </c>
      <c r="AD304" s="13"/>
      <c r="AE304" s="2" t="s">
        <v>7</v>
      </c>
      <c r="AF304" s="2">
        <v>2021</v>
      </c>
      <c r="AG304" s="1">
        <f t="shared" si="370"/>
        <v>2915944</v>
      </c>
      <c r="AH304" s="11">
        <f t="shared" si="371"/>
        <v>157550373.20999998</v>
      </c>
      <c r="AI304" s="1">
        <f t="shared" si="372"/>
        <v>8900440</v>
      </c>
      <c r="AJ304" s="11">
        <f t="shared" si="373"/>
        <v>711767724.63</v>
      </c>
      <c r="AK304" s="8">
        <f t="shared" si="374"/>
        <v>260315</v>
      </c>
      <c r="AL304" s="11">
        <f t="shared" si="375"/>
        <v>37320727.579999998</v>
      </c>
      <c r="AM304" s="8">
        <f t="shared" si="376"/>
        <v>268253</v>
      </c>
      <c r="AN304" s="11">
        <f t="shared" si="377"/>
        <v>32023145.559999999</v>
      </c>
      <c r="AO304" s="8">
        <f t="shared" si="378"/>
        <v>18</v>
      </c>
      <c r="AP304" s="11">
        <f t="shared" si="379"/>
        <v>2773</v>
      </c>
      <c r="AQ304" s="11">
        <f t="shared" si="380"/>
        <v>6</v>
      </c>
      <c r="AR304" s="11">
        <f t="shared" si="381"/>
        <v>212</v>
      </c>
      <c r="AS304" s="8">
        <f t="shared" si="388"/>
        <v>12344976</v>
      </c>
      <c r="AT304" s="11">
        <f t="shared" si="382"/>
        <v>938664955.98000002</v>
      </c>
      <c r="AU304" s="2" t="s">
        <v>70</v>
      </c>
      <c r="AV304" s="37">
        <f t="shared" si="383"/>
        <v>0</v>
      </c>
      <c r="AW304" s="37">
        <f t="shared" si="384"/>
        <v>0</v>
      </c>
      <c r="AX304" s="13"/>
      <c r="AY304" s="40"/>
      <c r="AZ304" s="40"/>
      <c r="BA304" s="13"/>
      <c r="BB304" s="40"/>
      <c r="BC304" s="40"/>
      <c r="BD304" s="13"/>
      <c r="BE304" s="40"/>
      <c r="BF304" s="40"/>
      <c r="BH304" s="41"/>
      <c r="BI304" s="43"/>
    </row>
    <row r="305" spans="2:61" x14ac:dyDescent="0.25">
      <c r="B305" s="2" t="s">
        <v>8</v>
      </c>
      <c r="C305" s="2">
        <v>2022</v>
      </c>
      <c r="D305" s="1">
        <f t="shared" ref="D305:S305" si="391">+D95+D74+D53+D32+D11+D116+D137+D158+D179+D200+D221+D242+D263+D284</f>
        <v>1598793</v>
      </c>
      <c r="E305" s="1">
        <f t="shared" si="391"/>
        <v>85414872.409999996</v>
      </c>
      <c r="F305" s="1">
        <f t="shared" si="391"/>
        <v>889596</v>
      </c>
      <c r="G305" s="1">
        <f t="shared" si="391"/>
        <v>47104443.579999998</v>
      </c>
      <c r="H305" s="1">
        <f t="shared" si="391"/>
        <v>124425</v>
      </c>
      <c r="I305" s="1">
        <f t="shared" si="391"/>
        <v>12169367.309999999</v>
      </c>
      <c r="J305" s="1">
        <f t="shared" si="391"/>
        <v>8102041</v>
      </c>
      <c r="K305" s="1">
        <f t="shared" si="391"/>
        <v>661845455.1400001</v>
      </c>
      <c r="L305" s="1">
        <f t="shared" si="391"/>
        <v>249811</v>
      </c>
      <c r="M305" s="1">
        <f t="shared" si="391"/>
        <v>37046611.480000004</v>
      </c>
      <c r="N305" s="1">
        <f t="shared" si="391"/>
        <v>250462</v>
      </c>
      <c r="O305" s="1">
        <f t="shared" si="391"/>
        <v>30158031.93</v>
      </c>
      <c r="P305" s="1">
        <f t="shared" si="391"/>
        <v>18</v>
      </c>
      <c r="Q305" s="1">
        <f t="shared" si="391"/>
        <v>2201.36</v>
      </c>
      <c r="R305" s="1">
        <f t="shared" si="391"/>
        <v>43</v>
      </c>
      <c r="S305" s="1">
        <f t="shared" si="391"/>
        <v>2111</v>
      </c>
      <c r="T305" s="8">
        <f t="shared" ref="T305" si="392">+T116</f>
        <v>0</v>
      </c>
      <c r="U305" s="11">
        <f t="shared" si="364"/>
        <v>0</v>
      </c>
      <c r="V305" s="8">
        <f t="shared" si="387"/>
        <v>11215189</v>
      </c>
      <c r="W305" s="8">
        <f t="shared" si="365"/>
        <v>873743094.21000004</v>
      </c>
      <c r="X305" s="2" t="s">
        <v>80</v>
      </c>
      <c r="Z305" s="30">
        <f t="shared" si="366"/>
        <v>0</v>
      </c>
      <c r="AA305" s="30">
        <f t="shared" si="367"/>
        <v>0</v>
      </c>
      <c r="AB305" s="30">
        <f t="shared" si="368"/>
        <v>0</v>
      </c>
      <c r="AC305" s="32">
        <f t="shared" si="369"/>
        <v>0</v>
      </c>
      <c r="AD305" s="13"/>
      <c r="AE305" s="2" t="s">
        <v>8</v>
      </c>
      <c r="AF305" s="2">
        <v>2021</v>
      </c>
      <c r="AG305" s="1">
        <f t="shared" si="370"/>
        <v>2612814</v>
      </c>
      <c r="AH305" s="11">
        <f t="shared" si="371"/>
        <v>144688683.30000001</v>
      </c>
      <c r="AI305" s="1">
        <f t="shared" si="372"/>
        <v>8102041</v>
      </c>
      <c r="AJ305" s="11">
        <f t="shared" si="373"/>
        <v>661845455.1400001</v>
      </c>
      <c r="AK305" s="8">
        <f t="shared" si="374"/>
        <v>249811</v>
      </c>
      <c r="AL305" s="11">
        <f t="shared" si="375"/>
        <v>37046611.480000004</v>
      </c>
      <c r="AM305" s="8">
        <f t="shared" si="376"/>
        <v>250462</v>
      </c>
      <c r="AN305" s="11">
        <f t="shared" si="377"/>
        <v>30158031.93</v>
      </c>
      <c r="AO305" s="8">
        <f t="shared" si="378"/>
        <v>18</v>
      </c>
      <c r="AP305" s="11">
        <f t="shared" si="379"/>
        <v>2201.36</v>
      </c>
      <c r="AQ305" s="11">
        <f t="shared" si="380"/>
        <v>43</v>
      </c>
      <c r="AR305" s="11">
        <f t="shared" si="381"/>
        <v>2111</v>
      </c>
      <c r="AS305" s="8">
        <f t="shared" si="388"/>
        <v>11215189</v>
      </c>
      <c r="AT305" s="11">
        <f t="shared" si="382"/>
        <v>873743094.21000004</v>
      </c>
      <c r="AU305" s="2" t="s">
        <v>70</v>
      </c>
      <c r="AV305" s="37">
        <f t="shared" si="383"/>
        <v>0</v>
      </c>
      <c r="AW305" s="37">
        <f t="shared" si="384"/>
        <v>0</v>
      </c>
      <c r="AX305" s="13"/>
      <c r="AY305" s="40"/>
      <c r="AZ305" s="40"/>
      <c r="BA305" s="13"/>
      <c r="BB305" s="40"/>
      <c r="BC305" s="40"/>
      <c r="BD305" s="13"/>
      <c r="BE305" s="40"/>
      <c r="BF305" s="40"/>
      <c r="BH305" s="41"/>
      <c r="BI305" s="43"/>
    </row>
    <row r="306" spans="2:61" x14ac:dyDescent="0.25">
      <c r="B306" s="2" t="s">
        <v>9</v>
      </c>
      <c r="C306" s="2">
        <v>2022</v>
      </c>
      <c r="D306" s="1">
        <f t="shared" ref="D306:S306" si="393">+D96+D75+D54+D33+D12+D117+D138+D159+D180+D201+D222+D243+D264+D285</f>
        <v>1750359</v>
      </c>
      <c r="E306" s="1">
        <f t="shared" si="393"/>
        <v>92538743.969999999</v>
      </c>
      <c r="F306" s="1">
        <f t="shared" si="393"/>
        <v>990378</v>
      </c>
      <c r="G306" s="1">
        <f t="shared" si="393"/>
        <v>52526147.030000001</v>
      </c>
      <c r="H306" s="1">
        <f t="shared" si="393"/>
        <v>125139</v>
      </c>
      <c r="I306" s="1">
        <f t="shared" si="393"/>
        <v>12690826.43</v>
      </c>
      <c r="J306" s="1">
        <f t="shared" si="393"/>
        <v>8906677</v>
      </c>
      <c r="K306" s="1">
        <f t="shared" si="393"/>
        <v>717151593.02999997</v>
      </c>
      <c r="L306" s="1">
        <f t="shared" si="393"/>
        <v>258821</v>
      </c>
      <c r="M306" s="1">
        <f t="shared" si="393"/>
        <v>38586511.519999996</v>
      </c>
      <c r="N306" s="1">
        <f t="shared" si="393"/>
        <v>266943</v>
      </c>
      <c r="O306" s="1">
        <f t="shared" si="393"/>
        <v>32113888.699999999</v>
      </c>
      <c r="P306" s="1">
        <f t="shared" si="393"/>
        <v>69</v>
      </c>
      <c r="Q306" s="1">
        <f t="shared" si="393"/>
        <v>4248.32</v>
      </c>
      <c r="R306" s="1">
        <f t="shared" si="393"/>
        <v>119</v>
      </c>
      <c r="S306" s="1">
        <f t="shared" si="393"/>
        <v>5949.2999999999993</v>
      </c>
      <c r="T306" s="8">
        <f t="shared" ref="T306" si="394">+T117</f>
        <v>0</v>
      </c>
      <c r="U306" s="11">
        <f t="shared" si="364"/>
        <v>0</v>
      </c>
      <c r="V306" s="8">
        <f t="shared" si="387"/>
        <v>12298505</v>
      </c>
      <c r="W306" s="8">
        <f t="shared" si="365"/>
        <v>945617908.29999995</v>
      </c>
      <c r="X306" s="2" t="s">
        <v>80</v>
      </c>
      <c r="Z306" s="30">
        <f t="shared" si="366"/>
        <v>0</v>
      </c>
      <c r="AA306" s="30">
        <f t="shared" si="367"/>
        <v>0</v>
      </c>
      <c r="AB306" s="30">
        <f t="shared" si="368"/>
        <v>0</v>
      </c>
      <c r="AC306" s="32">
        <f t="shared" si="369"/>
        <v>0</v>
      </c>
      <c r="AD306" s="13"/>
      <c r="AE306" s="2" t="s">
        <v>9</v>
      </c>
      <c r="AF306" s="2">
        <v>2021</v>
      </c>
      <c r="AG306" s="1">
        <f t="shared" si="370"/>
        <v>2865876</v>
      </c>
      <c r="AH306" s="11">
        <f t="shared" si="371"/>
        <v>157755717.43000001</v>
      </c>
      <c r="AI306" s="1">
        <f t="shared" si="372"/>
        <v>8906677</v>
      </c>
      <c r="AJ306" s="11">
        <f t="shared" si="373"/>
        <v>717151593.02999997</v>
      </c>
      <c r="AK306" s="8">
        <f t="shared" si="374"/>
        <v>258821</v>
      </c>
      <c r="AL306" s="11">
        <f t="shared" si="375"/>
        <v>38586511.519999996</v>
      </c>
      <c r="AM306" s="8">
        <f t="shared" si="376"/>
        <v>266943</v>
      </c>
      <c r="AN306" s="11">
        <f t="shared" si="377"/>
        <v>32113888.699999999</v>
      </c>
      <c r="AO306" s="8">
        <f t="shared" si="378"/>
        <v>69</v>
      </c>
      <c r="AP306" s="11">
        <f t="shared" si="379"/>
        <v>4248.32</v>
      </c>
      <c r="AQ306" s="11">
        <f t="shared" si="380"/>
        <v>119</v>
      </c>
      <c r="AR306" s="11">
        <f t="shared" si="381"/>
        <v>5949.2999999999993</v>
      </c>
      <c r="AS306" s="8">
        <f t="shared" si="388"/>
        <v>12298505</v>
      </c>
      <c r="AT306" s="11">
        <f t="shared" si="382"/>
        <v>945617908.29999995</v>
      </c>
      <c r="AU306" s="2" t="s">
        <v>70</v>
      </c>
      <c r="AV306" s="37">
        <f t="shared" si="383"/>
        <v>0</v>
      </c>
      <c r="AW306" s="37">
        <f t="shared" si="384"/>
        <v>0</v>
      </c>
      <c r="AX306" s="13"/>
      <c r="AY306" s="40"/>
      <c r="AZ306" s="40"/>
      <c r="BA306" s="13"/>
      <c r="BB306" s="40"/>
      <c r="BC306" s="40"/>
      <c r="BD306" s="13"/>
      <c r="BE306" s="40"/>
      <c r="BF306" s="40"/>
      <c r="BH306" s="41"/>
      <c r="BI306" s="43"/>
    </row>
    <row r="307" spans="2:61" x14ac:dyDescent="0.25">
      <c r="B307" s="2" t="s">
        <v>10</v>
      </c>
      <c r="C307" s="2">
        <v>2022</v>
      </c>
      <c r="D307" s="1">
        <f t="shared" ref="D307:S307" si="395">+D97+D76+D55+D34+D13+D118+D139+D160+D181+D202+D223+D244+D265+D286</f>
        <v>1697321</v>
      </c>
      <c r="E307" s="1">
        <f t="shared" si="395"/>
        <v>90994083.679999992</v>
      </c>
      <c r="F307" s="1">
        <f t="shared" si="395"/>
        <v>919728</v>
      </c>
      <c r="G307" s="1">
        <f t="shared" si="395"/>
        <v>49377445.410000004</v>
      </c>
      <c r="H307" s="1">
        <f t="shared" si="395"/>
        <v>130961</v>
      </c>
      <c r="I307" s="1">
        <f t="shared" si="395"/>
        <v>13775794.41</v>
      </c>
      <c r="J307" s="1">
        <f t="shared" si="395"/>
        <v>8576559</v>
      </c>
      <c r="K307" s="1">
        <f t="shared" si="395"/>
        <v>698301848.02999997</v>
      </c>
      <c r="L307" s="1">
        <f t="shared" si="395"/>
        <v>229954</v>
      </c>
      <c r="M307" s="1">
        <f t="shared" si="395"/>
        <v>35353439.200000003</v>
      </c>
      <c r="N307" s="1">
        <f t="shared" si="395"/>
        <v>263818</v>
      </c>
      <c r="O307" s="1">
        <f t="shared" si="395"/>
        <v>32130263.02</v>
      </c>
      <c r="P307" s="1">
        <f t="shared" si="395"/>
        <v>42</v>
      </c>
      <c r="Q307" s="1">
        <f t="shared" si="395"/>
        <v>2708.16</v>
      </c>
      <c r="R307" s="1">
        <f t="shared" si="395"/>
        <v>204</v>
      </c>
      <c r="S307" s="1">
        <f t="shared" si="395"/>
        <v>10043.290000000001</v>
      </c>
      <c r="T307" s="8">
        <f t="shared" ref="T307" si="396">+T118</f>
        <v>0</v>
      </c>
      <c r="U307" s="11">
        <f t="shared" si="364"/>
        <v>0</v>
      </c>
      <c r="V307" s="8">
        <f t="shared" si="387"/>
        <v>11818587</v>
      </c>
      <c r="W307" s="8">
        <f t="shared" si="365"/>
        <v>919945625.19999981</v>
      </c>
      <c r="X307" s="2" t="s">
        <v>80</v>
      </c>
      <c r="Z307" s="30">
        <f t="shared" si="366"/>
        <v>0</v>
      </c>
      <c r="AA307" s="30">
        <f t="shared" si="367"/>
        <v>0</v>
      </c>
      <c r="AB307" s="30">
        <f t="shared" si="368"/>
        <v>0</v>
      </c>
      <c r="AC307" s="32">
        <f t="shared" si="369"/>
        <v>0</v>
      </c>
      <c r="AD307" s="13"/>
      <c r="AE307" s="2" t="s">
        <v>10</v>
      </c>
      <c r="AF307" s="2">
        <v>2021</v>
      </c>
      <c r="AG307" s="1">
        <f t="shared" si="370"/>
        <v>2748010</v>
      </c>
      <c r="AH307" s="11">
        <f t="shared" si="371"/>
        <v>154147323.5</v>
      </c>
      <c r="AI307" s="1">
        <f t="shared" si="372"/>
        <v>8576559</v>
      </c>
      <c r="AJ307" s="11">
        <f t="shared" si="373"/>
        <v>698301848.02999997</v>
      </c>
      <c r="AK307" s="8">
        <f t="shared" si="374"/>
        <v>229954</v>
      </c>
      <c r="AL307" s="11">
        <f t="shared" si="375"/>
        <v>35353439.200000003</v>
      </c>
      <c r="AM307" s="8">
        <f t="shared" si="376"/>
        <v>263818</v>
      </c>
      <c r="AN307" s="11">
        <f t="shared" si="377"/>
        <v>32130263.02</v>
      </c>
      <c r="AO307" s="8">
        <f t="shared" si="378"/>
        <v>42</v>
      </c>
      <c r="AP307" s="11">
        <f t="shared" si="379"/>
        <v>2708.16</v>
      </c>
      <c r="AQ307" s="11">
        <f t="shared" si="380"/>
        <v>204</v>
      </c>
      <c r="AR307" s="11">
        <f t="shared" si="381"/>
        <v>10043.290000000001</v>
      </c>
      <c r="AS307" s="8">
        <f t="shared" si="388"/>
        <v>11818587</v>
      </c>
      <c r="AT307" s="11">
        <f t="shared" si="382"/>
        <v>919945625.19999993</v>
      </c>
      <c r="AU307" s="2" t="s">
        <v>70</v>
      </c>
      <c r="AV307" s="37">
        <f t="shared" si="383"/>
        <v>0</v>
      </c>
      <c r="AW307" s="37">
        <f t="shared" si="384"/>
        <v>0</v>
      </c>
      <c r="AX307" s="13"/>
      <c r="AY307" s="40"/>
      <c r="AZ307" s="40"/>
      <c r="BA307" s="13"/>
      <c r="BB307" s="40"/>
      <c r="BC307" s="40"/>
      <c r="BD307" s="13"/>
      <c r="BE307" s="40"/>
      <c r="BF307" s="40"/>
      <c r="BH307" s="41"/>
      <c r="BI307" s="43"/>
    </row>
    <row r="308" spans="2:61" x14ac:dyDescent="0.25">
      <c r="B308" s="2" t="s">
        <v>11</v>
      </c>
      <c r="C308" s="2">
        <v>2022</v>
      </c>
      <c r="D308" s="1">
        <f t="shared" ref="D308:S308" si="397">+D98+D77+D56+D35+D14+D119+D140+D161+D182+D203+D224+D245+D266+D287</f>
        <v>1585908</v>
      </c>
      <c r="E308" s="1">
        <f t="shared" si="397"/>
        <v>86045340.849999994</v>
      </c>
      <c r="F308" s="1">
        <f t="shared" si="397"/>
        <v>841938</v>
      </c>
      <c r="G308" s="1">
        <f t="shared" si="397"/>
        <v>45809886.979999997</v>
      </c>
      <c r="H308" s="1">
        <f t="shared" si="397"/>
        <v>136988</v>
      </c>
      <c r="I308" s="1">
        <f t="shared" si="397"/>
        <v>14550190.16</v>
      </c>
      <c r="J308" s="1">
        <f t="shared" si="397"/>
        <v>8110329</v>
      </c>
      <c r="K308" s="1">
        <f t="shared" si="397"/>
        <v>673392782.62</v>
      </c>
      <c r="L308" s="1">
        <f t="shared" si="397"/>
        <v>212425</v>
      </c>
      <c r="M308" s="1">
        <f t="shared" si="397"/>
        <v>33263703.030000001</v>
      </c>
      <c r="N308" s="1">
        <f t="shared" si="397"/>
        <v>256708</v>
      </c>
      <c r="O308" s="1">
        <f t="shared" si="397"/>
        <v>31344487.259999998</v>
      </c>
      <c r="P308" s="1">
        <f t="shared" si="397"/>
        <v>58</v>
      </c>
      <c r="Q308" s="1">
        <f t="shared" si="397"/>
        <v>4162.82</v>
      </c>
      <c r="R308" s="1">
        <f t="shared" si="397"/>
        <v>991</v>
      </c>
      <c r="S308" s="1">
        <f t="shared" si="397"/>
        <v>53596.289999999994</v>
      </c>
      <c r="T308" s="8">
        <f t="shared" ref="T308" si="398">+T119</f>
        <v>0</v>
      </c>
      <c r="U308" s="11">
        <f t="shared" si="364"/>
        <v>0</v>
      </c>
      <c r="V308" s="8">
        <f t="shared" si="387"/>
        <v>11145345</v>
      </c>
      <c r="W308" s="8">
        <f t="shared" si="365"/>
        <v>884464150.00999999</v>
      </c>
      <c r="X308" s="2" t="s">
        <v>80</v>
      </c>
      <c r="Z308" s="30"/>
      <c r="AA308" s="30"/>
      <c r="AB308" s="31"/>
      <c r="AC308" s="32"/>
      <c r="AE308" s="2" t="s">
        <v>11</v>
      </c>
      <c r="AF308" s="2">
        <v>2021</v>
      </c>
      <c r="AG308" s="1">
        <f t="shared" si="370"/>
        <v>2564834</v>
      </c>
      <c r="AH308" s="11">
        <f t="shared" si="371"/>
        <v>146405417.98999998</v>
      </c>
      <c r="AI308" s="1">
        <f t="shared" si="372"/>
        <v>8110329</v>
      </c>
      <c r="AJ308" s="11">
        <f t="shared" si="373"/>
        <v>673392782.62</v>
      </c>
      <c r="AK308" s="8">
        <f t="shared" si="374"/>
        <v>212425</v>
      </c>
      <c r="AL308" s="11">
        <f t="shared" si="375"/>
        <v>33263703.030000001</v>
      </c>
      <c r="AM308" s="8">
        <f t="shared" si="376"/>
        <v>256708</v>
      </c>
      <c r="AN308" s="11">
        <f t="shared" si="377"/>
        <v>31344487.259999998</v>
      </c>
      <c r="AO308" s="8">
        <f t="shared" si="378"/>
        <v>58</v>
      </c>
      <c r="AP308" s="11">
        <f t="shared" si="379"/>
        <v>4162.82</v>
      </c>
      <c r="AQ308" s="11">
        <f t="shared" si="380"/>
        <v>991</v>
      </c>
      <c r="AR308" s="11">
        <f t="shared" si="381"/>
        <v>53596.289999999994</v>
      </c>
      <c r="AS308" s="8">
        <f t="shared" si="388"/>
        <v>11145345</v>
      </c>
      <c r="AT308" s="11">
        <f t="shared" si="382"/>
        <v>884464150.00999999</v>
      </c>
      <c r="AU308" s="2" t="s">
        <v>70</v>
      </c>
      <c r="AV308" s="37">
        <f t="shared" si="383"/>
        <v>0</v>
      </c>
      <c r="AW308" s="37">
        <f t="shared" si="384"/>
        <v>0</v>
      </c>
      <c r="AX308" s="13"/>
      <c r="AY308" s="40"/>
      <c r="AZ308" s="40"/>
      <c r="BA308" s="13"/>
      <c r="BB308" s="40"/>
      <c r="BC308" s="40"/>
      <c r="BD308" s="13"/>
      <c r="BE308" s="40"/>
      <c r="BF308" s="40"/>
      <c r="BH308" s="41"/>
      <c r="BI308" s="43"/>
    </row>
    <row r="309" spans="2:61" x14ac:dyDescent="0.25">
      <c r="B309" s="2" t="s">
        <v>4</v>
      </c>
      <c r="C309" s="2">
        <v>2022</v>
      </c>
      <c r="D309" s="1">
        <f t="shared" ref="D309:S309" si="399">+D99+D78+D57+D36+D15+D120+D141+D162+D183+D204+D225+D246+D267+D288</f>
        <v>1834371</v>
      </c>
      <c r="E309" s="1">
        <f t="shared" si="399"/>
        <v>97515580.099999994</v>
      </c>
      <c r="F309" s="1">
        <f t="shared" si="399"/>
        <v>985683</v>
      </c>
      <c r="G309" s="1">
        <f t="shared" si="399"/>
        <v>52619701.370000005</v>
      </c>
      <c r="H309" s="1">
        <f t="shared" si="399"/>
        <v>164853</v>
      </c>
      <c r="I309" s="1">
        <f t="shared" si="399"/>
        <v>18432845.289999999</v>
      </c>
      <c r="J309" s="1">
        <f t="shared" si="399"/>
        <v>9371658</v>
      </c>
      <c r="K309" s="1">
        <f t="shared" si="399"/>
        <v>740370864.27999997</v>
      </c>
      <c r="L309" s="1">
        <f t="shared" si="399"/>
        <v>213343</v>
      </c>
      <c r="M309" s="1">
        <f t="shared" si="399"/>
        <v>30958607.440000001</v>
      </c>
      <c r="N309" s="1">
        <f t="shared" si="399"/>
        <v>282029</v>
      </c>
      <c r="O309" s="1">
        <f t="shared" si="399"/>
        <v>33687037.799999997</v>
      </c>
      <c r="P309" s="1">
        <f t="shared" si="399"/>
        <v>80</v>
      </c>
      <c r="Q309" s="1">
        <f t="shared" si="399"/>
        <v>6779.61</v>
      </c>
      <c r="R309" s="1">
        <f t="shared" si="399"/>
        <v>3220</v>
      </c>
      <c r="S309" s="1">
        <f t="shared" si="399"/>
        <v>229261.75</v>
      </c>
      <c r="T309" s="8">
        <f t="shared" ref="T309" si="400">+T120</f>
        <v>0</v>
      </c>
      <c r="U309" s="11">
        <f t="shared" si="364"/>
        <v>0</v>
      </c>
      <c r="V309" s="8">
        <f t="shared" si="387"/>
        <v>12855237</v>
      </c>
      <c r="W309" s="8">
        <f t="shared" si="365"/>
        <v>973820677.63999999</v>
      </c>
      <c r="X309" s="2" t="s">
        <v>80</v>
      </c>
      <c r="Z309" s="30"/>
      <c r="AA309" s="30"/>
      <c r="AB309" s="31"/>
      <c r="AC309" s="32"/>
      <c r="AE309" s="2" t="s">
        <v>4</v>
      </c>
      <c r="AF309" s="2">
        <v>2021</v>
      </c>
      <c r="AG309" s="1">
        <f t="shared" si="370"/>
        <v>2984907</v>
      </c>
      <c r="AH309" s="11">
        <f t="shared" si="371"/>
        <v>168568126.75999999</v>
      </c>
      <c r="AI309" s="1">
        <f t="shared" si="372"/>
        <v>9371658</v>
      </c>
      <c r="AJ309" s="11">
        <f t="shared" si="373"/>
        <v>740370864.27999997</v>
      </c>
      <c r="AK309" s="8">
        <f t="shared" si="374"/>
        <v>213343</v>
      </c>
      <c r="AL309" s="11">
        <f t="shared" si="375"/>
        <v>30958607.440000001</v>
      </c>
      <c r="AM309" s="8">
        <f t="shared" si="376"/>
        <v>282029</v>
      </c>
      <c r="AN309" s="11">
        <f t="shared" si="377"/>
        <v>33687037.799999997</v>
      </c>
      <c r="AO309" s="8">
        <f t="shared" si="378"/>
        <v>80</v>
      </c>
      <c r="AP309" s="11">
        <f t="shared" si="379"/>
        <v>6779.61</v>
      </c>
      <c r="AQ309" s="11">
        <f t="shared" si="380"/>
        <v>3220</v>
      </c>
      <c r="AR309" s="11">
        <f t="shared" si="381"/>
        <v>229261.75</v>
      </c>
      <c r="AS309" s="8">
        <f t="shared" si="388"/>
        <v>12855237</v>
      </c>
      <c r="AT309" s="11">
        <f t="shared" si="382"/>
        <v>973820677.63999999</v>
      </c>
      <c r="AU309" s="2" t="s">
        <v>70</v>
      </c>
      <c r="AV309" s="37">
        <f t="shared" si="383"/>
        <v>0</v>
      </c>
      <c r="AW309" s="37">
        <f t="shared" si="384"/>
        <v>0</v>
      </c>
      <c r="AX309" s="13"/>
      <c r="AY309" s="40"/>
      <c r="AZ309" s="40"/>
      <c r="BA309" s="13"/>
      <c r="BB309" s="40"/>
      <c r="BC309" s="40"/>
      <c r="BD309" s="13"/>
      <c r="BE309" s="40"/>
      <c r="BF309" s="40"/>
      <c r="BH309" s="41"/>
      <c r="BI309" s="43"/>
    </row>
    <row r="310" spans="2:61" x14ac:dyDescent="0.25">
      <c r="B310" s="2" t="s">
        <v>28</v>
      </c>
      <c r="C310" s="2">
        <v>2022</v>
      </c>
      <c r="D310" s="1">
        <f t="shared" ref="D310:S310" si="401">+D100+D79+D58+D37+D16+D121+D142+D163+D184+D205+D226+D247+D268+D289</f>
        <v>1788520</v>
      </c>
      <c r="E310" s="1">
        <f t="shared" si="401"/>
        <v>94570232.370000005</v>
      </c>
      <c r="F310" s="1">
        <f t="shared" si="401"/>
        <v>939770</v>
      </c>
      <c r="G310" s="1">
        <f t="shared" si="401"/>
        <v>49859967.769999996</v>
      </c>
      <c r="H310" s="1">
        <f t="shared" si="401"/>
        <v>173134</v>
      </c>
      <c r="I310" s="1">
        <f t="shared" si="401"/>
        <v>21395429.490000002</v>
      </c>
      <c r="J310" s="1">
        <f t="shared" si="401"/>
        <v>9047181</v>
      </c>
      <c r="K310" s="1">
        <f t="shared" si="401"/>
        <v>708151107.60000002</v>
      </c>
      <c r="L310" s="1">
        <f t="shared" si="401"/>
        <v>169465</v>
      </c>
      <c r="M310" s="1">
        <f t="shared" si="401"/>
        <v>23370015.079999998</v>
      </c>
      <c r="N310" s="1">
        <f t="shared" si="401"/>
        <v>267378</v>
      </c>
      <c r="O310" s="1">
        <f t="shared" si="401"/>
        <v>31897288.420000002</v>
      </c>
      <c r="P310" s="1">
        <f t="shared" si="401"/>
        <v>93</v>
      </c>
      <c r="Q310" s="1">
        <f t="shared" si="401"/>
        <v>8312.1700000000019</v>
      </c>
      <c r="R310" s="1">
        <f t="shared" si="401"/>
        <v>3450</v>
      </c>
      <c r="S310" s="1">
        <f t="shared" si="401"/>
        <v>199830.87</v>
      </c>
      <c r="T310" s="8">
        <f t="shared" ref="T310" si="402">+T121</f>
        <v>0</v>
      </c>
      <c r="U310" s="11">
        <f t="shared" si="364"/>
        <v>0</v>
      </c>
      <c r="V310" s="8">
        <f t="shared" si="387"/>
        <v>12388991</v>
      </c>
      <c r="W310" s="8">
        <f t="shared" si="365"/>
        <v>929452183.76999998</v>
      </c>
      <c r="X310" s="2" t="s">
        <v>80</v>
      </c>
      <c r="Z310" s="30"/>
      <c r="AA310" s="30"/>
      <c r="AB310" s="31"/>
      <c r="AC310" s="32"/>
      <c r="AE310" s="2" t="s">
        <v>28</v>
      </c>
      <c r="AF310" s="2">
        <v>2021</v>
      </c>
      <c r="AG310" s="1">
        <f t="shared" si="370"/>
        <v>2901424</v>
      </c>
      <c r="AH310" s="11">
        <f t="shared" si="371"/>
        <v>165825629.63</v>
      </c>
      <c r="AI310" s="1">
        <f t="shared" si="372"/>
        <v>9047181</v>
      </c>
      <c r="AJ310" s="11">
        <f t="shared" si="373"/>
        <v>708151107.60000002</v>
      </c>
      <c r="AK310" s="8">
        <f t="shared" si="374"/>
        <v>169465</v>
      </c>
      <c r="AL310" s="11">
        <f t="shared" si="375"/>
        <v>23370015.079999998</v>
      </c>
      <c r="AM310" s="8">
        <f t="shared" si="376"/>
        <v>267378</v>
      </c>
      <c r="AN310" s="11">
        <f t="shared" si="377"/>
        <v>31897288.420000002</v>
      </c>
      <c r="AO310" s="8">
        <f t="shared" si="378"/>
        <v>93</v>
      </c>
      <c r="AP310" s="11">
        <f t="shared" si="379"/>
        <v>8312.1700000000019</v>
      </c>
      <c r="AQ310" s="11">
        <f t="shared" si="380"/>
        <v>3450</v>
      </c>
      <c r="AR310" s="11">
        <f t="shared" si="381"/>
        <v>199830.87</v>
      </c>
      <c r="AS310" s="8">
        <f t="shared" si="388"/>
        <v>12388991</v>
      </c>
      <c r="AT310" s="11">
        <f t="shared" si="382"/>
        <v>929452183.76999998</v>
      </c>
      <c r="AU310" s="2" t="s">
        <v>70</v>
      </c>
      <c r="AV310" s="37">
        <f t="shared" si="383"/>
        <v>0</v>
      </c>
      <c r="AW310" s="37">
        <f t="shared" si="384"/>
        <v>0</v>
      </c>
      <c r="AX310" s="13"/>
      <c r="AY310" s="40"/>
      <c r="AZ310" s="40"/>
      <c r="BA310" s="13"/>
      <c r="BB310" s="40"/>
      <c r="BC310" s="40"/>
      <c r="BD310" s="13"/>
      <c r="BE310" s="40"/>
      <c r="BF310" s="40"/>
      <c r="BH310" s="41"/>
      <c r="BI310" s="43"/>
    </row>
    <row r="311" spans="2:61" x14ac:dyDescent="0.25">
      <c r="B311" s="2" t="s">
        <v>29</v>
      </c>
      <c r="C311" s="2">
        <v>2022</v>
      </c>
      <c r="D311" s="1">
        <f t="shared" ref="D311:S311" si="403">+D101+D80+D59+D38+D17+D122+D143+D164+D185+D206+D227+D248+D269+D290</f>
        <v>1913483</v>
      </c>
      <c r="E311" s="1">
        <f t="shared" si="403"/>
        <v>101814523.72</v>
      </c>
      <c r="F311" s="1">
        <f t="shared" si="403"/>
        <v>1058960</v>
      </c>
      <c r="G311" s="1">
        <f t="shared" si="403"/>
        <v>55723423.589999996</v>
      </c>
      <c r="H311" s="1">
        <f t="shared" si="403"/>
        <v>199809</v>
      </c>
      <c r="I311" s="1">
        <f t="shared" si="403"/>
        <v>26177859.079999998</v>
      </c>
      <c r="J311" s="1">
        <f t="shared" si="403"/>
        <v>9842157</v>
      </c>
      <c r="K311" s="1">
        <f t="shared" si="403"/>
        <v>766243113.78999996</v>
      </c>
      <c r="L311" s="1">
        <f t="shared" si="403"/>
        <v>165913</v>
      </c>
      <c r="M311" s="1">
        <f t="shared" si="403"/>
        <v>22337070.25</v>
      </c>
      <c r="N311" s="1">
        <f t="shared" si="403"/>
        <v>291274</v>
      </c>
      <c r="O311" s="1">
        <f t="shared" si="403"/>
        <v>34944863.620000005</v>
      </c>
      <c r="P311" s="1">
        <f t="shared" si="403"/>
        <v>101</v>
      </c>
      <c r="Q311" s="1">
        <f t="shared" si="403"/>
        <v>10196.39</v>
      </c>
      <c r="R311" s="1">
        <f t="shared" si="403"/>
        <v>4626</v>
      </c>
      <c r="S311" s="1">
        <f t="shared" si="403"/>
        <v>281987.81</v>
      </c>
      <c r="T311" s="8">
        <f t="shared" ref="T311" si="404">+T122</f>
        <v>0</v>
      </c>
      <c r="U311" s="11">
        <f t="shared" si="364"/>
        <v>0</v>
      </c>
      <c r="V311" s="8">
        <f t="shared" si="387"/>
        <v>13476323</v>
      </c>
      <c r="W311" s="8">
        <f t="shared" si="365"/>
        <v>1007533038.25</v>
      </c>
      <c r="X311" s="2" t="s">
        <v>80</v>
      </c>
      <c r="Z311" s="30"/>
      <c r="AA311" s="30"/>
      <c r="AB311" s="31"/>
      <c r="AC311" s="32"/>
      <c r="AE311" s="2" t="s">
        <v>29</v>
      </c>
      <c r="AF311" s="2">
        <v>2021</v>
      </c>
      <c r="AG311" s="1">
        <f t="shared" si="370"/>
        <v>3172252</v>
      </c>
      <c r="AH311" s="11">
        <f t="shared" si="371"/>
        <v>183715806.38999999</v>
      </c>
      <c r="AI311" s="1">
        <f t="shared" si="372"/>
        <v>9842157</v>
      </c>
      <c r="AJ311" s="11">
        <f t="shared" si="373"/>
        <v>766243113.78999996</v>
      </c>
      <c r="AK311" s="8">
        <f t="shared" si="374"/>
        <v>165913</v>
      </c>
      <c r="AL311" s="11">
        <f t="shared" si="375"/>
        <v>22337070.25</v>
      </c>
      <c r="AM311" s="8">
        <f t="shared" si="376"/>
        <v>291274</v>
      </c>
      <c r="AN311" s="11">
        <f t="shared" si="377"/>
        <v>34944863.620000005</v>
      </c>
      <c r="AO311" s="8">
        <f t="shared" si="378"/>
        <v>101</v>
      </c>
      <c r="AP311" s="11">
        <f t="shared" si="379"/>
        <v>10196.39</v>
      </c>
      <c r="AQ311" s="11">
        <f t="shared" si="380"/>
        <v>4626</v>
      </c>
      <c r="AR311" s="11">
        <f t="shared" si="381"/>
        <v>281987.81</v>
      </c>
      <c r="AS311" s="8">
        <f t="shared" si="388"/>
        <v>13476323</v>
      </c>
      <c r="AT311" s="11">
        <f t="shared" si="382"/>
        <v>1007533038.2499999</v>
      </c>
      <c r="AU311" s="2" t="s">
        <v>70</v>
      </c>
      <c r="AV311" s="37">
        <f t="shared" si="383"/>
        <v>0</v>
      </c>
      <c r="AW311" s="37">
        <f t="shared" si="384"/>
        <v>0</v>
      </c>
      <c r="AX311" s="13"/>
      <c r="AY311" s="40"/>
      <c r="AZ311" s="40"/>
      <c r="BA311" s="13"/>
      <c r="BB311" s="40"/>
      <c r="BC311" s="40"/>
      <c r="BD311" s="13"/>
      <c r="BE311" s="40"/>
      <c r="BF311" s="40"/>
    </row>
    <row r="312" spans="2:61" x14ac:dyDescent="0.25">
      <c r="B312" s="2" t="s">
        <v>30</v>
      </c>
      <c r="C312" s="2">
        <v>2022</v>
      </c>
      <c r="D312" s="1">
        <f t="shared" ref="D312:S312" si="405">+D102+D81+D60+D39+D18+D123+D144+D165+D186+D207+D228+D249+D270+D291</f>
        <v>1826156</v>
      </c>
      <c r="E312" s="1">
        <f t="shared" si="405"/>
        <v>97978935.460000008</v>
      </c>
      <c r="F312" s="1">
        <f t="shared" si="405"/>
        <v>1018507</v>
      </c>
      <c r="G312" s="1">
        <f t="shared" si="405"/>
        <v>54073276.319999993</v>
      </c>
      <c r="H312" s="1">
        <f t="shared" si="405"/>
        <v>194015</v>
      </c>
      <c r="I312" s="1">
        <f t="shared" si="405"/>
        <v>26579076.289999999</v>
      </c>
      <c r="J312" s="1">
        <f t="shared" si="405"/>
        <v>9405662</v>
      </c>
      <c r="K312" s="1">
        <f t="shared" si="405"/>
        <v>736469676.45000005</v>
      </c>
      <c r="L312" s="1">
        <f t="shared" si="405"/>
        <v>149089</v>
      </c>
      <c r="M312" s="1">
        <f t="shared" si="405"/>
        <v>20320770.509999998</v>
      </c>
      <c r="N312" s="1">
        <f t="shared" si="405"/>
        <v>280175</v>
      </c>
      <c r="O312" s="1">
        <f t="shared" si="405"/>
        <v>33962881.219999999</v>
      </c>
      <c r="P312" s="1">
        <f t="shared" si="405"/>
        <v>159</v>
      </c>
      <c r="Q312" s="1">
        <f t="shared" si="405"/>
        <v>14036.95</v>
      </c>
      <c r="R312" s="1">
        <f t="shared" si="405"/>
        <v>5463</v>
      </c>
      <c r="S312" s="1">
        <f t="shared" si="405"/>
        <v>338053.01</v>
      </c>
      <c r="T312" s="8">
        <f t="shared" ref="T312" si="406">+T123</f>
        <v>0</v>
      </c>
      <c r="U312" s="11">
        <f t="shared" si="364"/>
        <v>0</v>
      </c>
      <c r="V312" s="8">
        <f t="shared" si="387"/>
        <v>12879226</v>
      </c>
      <c r="W312" s="8">
        <f t="shared" si="365"/>
        <v>969736706.21000004</v>
      </c>
      <c r="X312" s="2" t="s">
        <v>80</v>
      </c>
      <c r="Z312" s="30"/>
      <c r="AA312" s="30"/>
      <c r="AB312" s="31"/>
      <c r="AC312" s="32"/>
      <c r="AE312" s="2" t="s">
        <v>30</v>
      </c>
      <c r="AF312" s="2">
        <v>2021</v>
      </c>
      <c r="AG312" s="1">
        <f t="shared" si="370"/>
        <v>3038678</v>
      </c>
      <c r="AH312" s="11">
        <f t="shared" si="371"/>
        <v>178631288.06999999</v>
      </c>
      <c r="AI312" s="1">
        <f t="shared" si="372"/>
        <v>9405662</v>
      </c>
      <c r="AJ312" s="11">
        <f t="shared" si="373"/>
        <v>736469676.45000005</v>
      </c>
      <c r="AK312" s="8">
        <f t="shared" si="374"/>
        <v>149089</v>
      </c>
      <c r="AL312" s="11">
        <f t="shared" si="375"/>
        <v>20320770.509999998</v>
      </c>
      <c r="AM312" s="8">
        <f t="shared" si="376"/>
        <v>280175</v>
      </c>
      <c r="AN312" s="11">
        <f t="shared" si="377"/>
        <v>33962881.219999999</v>
      </c>
      <c r="AO312" s="8">
        <f t="shared" si="378"/>
        <v>159</v>
      </c>
      <c r="AP312" s="11">
        <f t="shared" si="379"/>
        <v>14036.95</v>
      </c>
      <c r="AQ312" s="11">
        <f t="shared" si="380"/>
        <v>5463</v>
      </c>
      <c r="AR312" s="11">
        <f t="shared" si="381"/>
        <v>338053.01</v>
      </c>
      <c r="AS312" s="8">
        <f t="shared" si="388"/>
        <v>12879226</v>
      </c>
      <c r="AT312" s="11">
        <f t="shared" si="382"/>
        <v>969736706.21000004</v>
      </c>
      <c r="AU312" s="2" t="s">
        <v>70</v>
      </c>
      <c r="AV312" s="37">
        <f t="shared" si="383"/>
        <v>0</v>
      </c>
      <c r="AW312" s="37">
        <f t="shared" si="384"/>
        <v>0</v>
      </c>
      <c r="AX312" s="13"/>
      <c r="AY312" s="40"/>
      <c r="AZ312" s="40"/>
      <c r="BA312" s="13"/>
      <c r="BB312" s="40"/>
      <c r="BC312" s="40"/>
      <c r="BD312" s="13"/>
      <c r="BE312" s="40"/>
      <c r="BF312" s="40"/>
    </row>
    <row r="313" spans="2:61" x14ac:dyDescent="0.25">
      <c r="B313" s="2" t="s">
        <v>31</v>
      </c>
      <c r="C313" s="2">
        <v>2022</v>
      </c>
      <c r="D313" s="1">
        <f t="shared" ref="D313:S313" si="407">+D103+D82+D61+D40+D19+D124+D145+D166+D187+D208+D229+D250+D271+D292</f>
        <v>1781074</v>
      </c>
      <c r="E313" s="1">
        <f t="shared" si="407"/>
        <v>97156549.849999994</v>
      </c>
      <c r="F313" s="1">
        <f t="shared" si="407"/>
        <v>999935</v>
      </c>
      <c r="G313" s="1">
        <f t="shared" si="407"/>
        <v>54189391.07</v>
      </c>
      <c r="H313" s="1">
        <f t="shared" si="407"/>
        <v>206226</v>
      </c>
      <c r="I313" s="1">
        <f t="shared" si="407"/>
        <v>29478121.280000001</v>
      </c>
      <c r="J313" s="1">
        <f t="shared" si="407"/>
        <v>9171339</v>
      </c>
      <c r="K313" s="1">
        <f t="shared" si="407"/>
        <v>732997626.97000003</v>
      </c>
      <c r="L313" s="1">
        <f t="shared" si="407"/>
        <v>138971</v>
      </c>
      <c r="M313" s="1">
        <f t="shared" si="407"/>
        <v>19490781.329999998</v>
      </c>
      <c r="N313" s="1">
        <f t="shared" si="407"/>
        <v>283080</v>
      </c>
      <c r="O313" s="1">
        <f t="shared" si="407"/>
        <v>35181063.060000002</v>
      </c>
      <c r="P313" s="1">
        <f t="shared" si="407"/>
        <v>189</v>
      </c>
      <c r="Q313" s="1">
        <f t="shared" si="407"/>
        <v>17576.54</v>
      </c>
      <c r="R313" s="1">
        <f t="shared" si="407"/>
        <v>5624</v>
      </c>
      <c r="S313" s="1">
        <f t="shared" si="407"/>
        <v>328849.34999999998</v>
      </c>
      <c r="T313" s="8">
        <f t="shared" ref="T313" si="408">+T124</f>
        <v>0</v>
      </c>
      <c r="U313" s="11">
        <f t="shared" si="364"/>
        <v>0</v>
      </c>
      <c r="V313" s="8">
        <f t="shared" si="387"/>
        <v>12586438</v>
      </c>
      <c r="W313" s="8">
        <f t="shared" si="365"/>
        <v>968839959.45000005</v>
      </c>
      <c r="X313" s="2" t="s">
        <v>80</v>
      </c>
      <c r="Z313" s="30"/>
      <c r="AA313" s="30"/>
      <c r="AB313" s="31"/>
      <c r="AC313" s="32"/>
      <c r="AE313" s="2" t="s">
        <v>31</v>
      </c>
      <c r="AF313" s="2">
        <v>2021</v>
      </c>
      <c r="AG313" s="1">
        <f t="shared" si="370"/>
        <v>2987235</v>
      </c>
      <c r="AH313" s="11">
        <f t="shared" si="371"/>
        <v>180824062.19999999</v>
      </c>
      <c r="AI313" s="1">
        <f t="shared" si="372"/>
        <v>9171339</v>
      </c>
      <c r="AJ313" s="11">
        <f t="shared" si="373"/>
        <v>732997626.97000003</v>
      </c>
      <c r="AK313" s="8">
        <f t="shared" si="374"/>
        <v>138971</v>
      </c>
      <c r="AL313" s="11">
        <f t="shared" si="375"/>
        <v>19490781.329999998</v>
      </c>
      <c r="AM313" s="8">
        <f t="shared" si="376"/>
        <v>283080</v>
      </c>
      <c r="AN313" s="11">
        <f t="shared" si="377"/>
        <v>35181063.060000002</v>
      </c>
      <c r="AO313" s="8">
        <f t="shared" si="378"/>
        <v>189</v>
      </c>
      <c r="AP313" s="11">
        <f t="shared" si="379"/>
        <v>17576.54</v>
      </c>
      <c r="AQ313" s="11">
        <f t="shared" si="380"/>
        <v>5624</v>
      </c>
      <c r="AR313" s="11">
        <f t="shared" si="381"/>
        <v>328849.34999999998</v>
      </c>
      <c r="AS313" s="8">
        <f t="shared" si="388"/>
        <v>12586438</v>
      </c>
      <c r="AT313" s="11">
        <f t="shared" si="382"/>
        <v>968839959.44999993</v>
      </c>
      <c r="AU313" s="2" t="s">
        <v>70</v>
      </c>
      <c r="AV313" s="37">
        <f t="shared" si="383"/>
        <v>0</v>
      </c>
      <c r="AW313" s="37">
        <f t="shared" si="384"/>
        <v>0</v>
      </c>
      <c r="AX313" s="13"/>
      <c r="AY313" s="40"/>
      <c r="AZ313" s="40"/>
      <c r="BA313" s="13"/>
      <c r="BB313" s="40"/>
      <c r="BC313" s="40"/>
      <c r="BD313" s="13"/>
      <c r="BE313" s="40"/>
      <c r="BF313" s="40"/>
    </row>
    <row r="314" spans="2:61" x14ac:dyDescent="0.25">
      <c r="T314" s="9"/>
      <c r="W314" s="9"/>
      <c r="AH314" s="9"/>
      <c r="AJ314" s="9"/>
      <c r="AL314" s="9"/>
      <c r="AN314" s="9"/>
      <c r="AO314" s="9"/>
      <c r="AP314" s="9"/>
      <c r="AQ314" s="9"/>
      <c r="AR314" s="9"/>
      <c r="AT314" s="9"/>
    </row>
    <row r="315" spans="2:61" x14ac:dyDescent="0.25">
      <c r="B315" s="3" t="s">
        <v>12</v>
      </c>
      <c r="C315" s="3"/>
      <c r="D315" s="4">
        <f t="shared" ref="D315:O315" si="409">SUM(D302:D314)</f>
        <v>20228294</v>
      </c>
      <c r="E315" s="12">
        <f t="shared" si="409"/>
        <v>1072709112.9100001</v>
      </c>
      <c r="F315" s="4">
        <f t="shared" si="409"/>
        <v>11054170</v>
      </c>
      <c r="G315" s="12">
        <f t="shared" si="409"/>
        <v>583590644.90999997</v>
      </c>
      <c r="H315" s="4">
        <f t="shared" si="409"/>
        <v>1815222</v>
      </c>
      <c r="I315" s="12">
        <f t="shared" si="409"/>
        <v>206049602.91000003</v>
      </c>
      <c r="J315" s="4">
        <f t="shared" si="409"/>
        <v>103219886</v>
      </c>
      <c r="K315" s="12">
        <f t="shared" si="409"/>
        <v>8221387718.1799994</v>
      </c>
      <c r="L315" s="4">
        <f t="shared" si="409"/>
        <v>2494246</v>
      </c>
      <c r="M315" s="12">
        <f t="shared" si="409"/>
        <v>357490371.88</v>
      </c>
      <c r="N315" s="4">
        <f t="shared" si="409"/>
        <v>3151133</v>
      </c>
      <c r="O315" s="12">
        <f t="shared" si="409"/>
        <v>377418465.42000002</v>
      </c>
      <c r="P315" s="4">
        <f t="shared" ref="P315:W315" si="410">SUM(P302:P314)</f>
        <v>840</v>
      </c>
      <c r="Q315" s="12">
        <f t="shared" si="410"/>
        <v>74451.320000000007</v>
      </c>
      <c r="R315" s="4">
        <f t="shared" si="410"/>
        <v>23746</v>
      </c>
      <c r="S315" s="12">
        <f t="shared" si="410"/>
        <v>1449894.67</v>
      </c>
      <c r="T315" s="4">
        <f t="shared" si="410"/>
        <v>48</v>
      </c>
      <c r="U315" s="12">
        <f t="shared" si="410"/>
        <v>2694</v>
      </c>
      <c r="V315" s="4">
        <f t="shared" si="410"/>
        <v>141987585</v>
      </c>
      <c r="W315" s="12">
        <f t="shared" si="410"/>
        <v>10820172956.200001</v>
      </c>
      <c r="Z315" s="12">
        <f>AVERAGE(Z302:Z314)</f>
        <v>0</v>
      </c>
      <c r="AA315" s="12">
        <f t="shared" ref="AA315:AC315" si="411">AVERAGE(AA302:AA314)</f>
        <v>0</v>
      </c>
      <c r="AB315" s="12">
        <f t="shared" si="411"/>
        <v>0</v>
      </c>
      <c r="AC315" s="16">
        <f t="shared" si="411"/>
        <v>0</v>
      </c>
      <c r="AE315" s="3" t="s">
        <v>12</v>
      </c>
      <c r="AF315" s="3"/>
      <c r="AG315" s="4">
        <f t="shared" ref="AG315:AT315" si="412">SUM(AG302:AG314)</f>
        <v>33097686</v>
      </c>
      <c r="AH315" s="12">
        <f t="shared" si="412"/>
        <v>1862349360.73</v>
      </c>
      <c r="AI315" s="4">
        <f t="shared" si="412"/>
        <v>103219886</v>
      </c>
      <c r="AJ315" s="12">
        <f t="shared" si="412"/>
        <v>8221387718.1799994</v>
      </c>
      <c r="AK315" s="4">
        <f t="shared" si="412"/>
        <v>2494246</v>
      </c>
      <c r="AL315" s="12">
        <f t="shared" si="412"/>
        <v>357490371.88</v>
      </c>
      <c r="AM315" s="4">
        <f t="shared" si="412"/>
        <v>3151133</v>
      </c>
      <c r="AN315" s="12">
        <f t="shared" si="412"/>
        <v>377418465.42000002</v>
      </c>
      <c r="AO315" s="4">
        <f t="shared" si="412"/>
        <v>840</v>
      </c>
      <c r="AP315" s="12">
        <f t="shared" si="412"/>
        <v>74451.320000000007</v>
      </c>
      <c r="AQ315" s="4">
        <f t="shared" si="412"/>
        <v>23746</v>
      </c>
      <c r="AR315" s="12">
        <f t="shared" si="412"/>
        <v>1449894.67</v>
      </c>
      <c r="AS315" s="4">
        <f t="shared" si="412"/>
        <v>141987537</v>
      </c>
      <c r="AT315" s="12">
        <f t="shared" si="412"/>
        <v>10820170262.200001</v>
      </c>
    </row>
    <row r="316" spans="2:61" x14ac:dyDescent="0.25">
      <c r="D316" s="9">
        <f>+D315+D526</f>
        <v>41217594</v>
      </c>
      <c r="E316" s="9">
        <f>+E315+E526</f>
        <v>3273695984.29</v>
      </c>
      <c r="F316" s="9">
        <f>+F315+F526</f>
        <v>22703494</v>
      </c>
      <c r="G316" s="9">
        <f>+G315+G526</f>
        <v>1831364010.3599997</v>
      </c>
      <c r="H316" s="15"/>
      <c r="J316" s="46" t="str">
        <f>+$B$297</f>
        <v>Aforo e Ingreso - ACUMULADO</v>
      </c>
      <c r="K316" s="9" t="s">
        <v>84</v>
      </c>
      <c r="L316" s="15">
        <f>AVERAGE(L302:L313)</f>
        <v>207853.83333333334</v>
      </c>
      <c r="M316" s="28">
        <f>AVERAGE(M302:M313)</f>
        <v>29790864.323333334</v>
      </c>
    </row>
    <row r="317" spans="2:61" x14ac:dyDescent="0.25">
      <c r="B317" s="5" t="s">
        <v>14</v>
      </c>
      <c r="J317" s="46" t="str">
        <f>+$B$297</f>
        <v>Aforo e Ingreso - ACUMULADO</v>
      </c>
      <c r="K317" s="9" t="s">
        <v>85</v>
      </c>
      <c r="L317" s="26">
        <f>+L316/$L$316</f>
        <v>1</v>
      </c>
      <c r="M317" s="26">
        <f>+M316/$M$316</f>
        <v>1</v>
      </c>
      <c r="R317" s="9">
        <f>+R315+P315+N315+L315+J315</f>
        <v>108889851</v>
      </c>
      <c r="S317" s="9">
        <f>+S315+Q315+O315+M315+K315</f>
        <v>8957820901.4699993</v>
      </c>
    </row>
    <row r="318" spans="2:61" x14ac:dyDescent="0.25">
      <c r="B318" s="5" t="s">
        <v>47</v>
      </c>
      <c r="F318" s="9">
        <f>+D315+F315+H315+T315</f>
        <v>33097734</v>
      </c>
      <c r="G318" s="9">
        <f>+E315+G315+I315+U315</f>
        <v>1862352054.7300003</v>
      </c>
      <c r="J318" s="39">
        <f>+J315++L315+N315+P315+R315</f>
        <v>108889851</v>
      </c>
      <c r="K318" s="9">
        <f>+K315++M315+O315+Q315+S315</f>
        <v>8957820901.4699993</v>
      </c>
      <c r="R318" s="9">
        <f>+R317/1000</f>
        <v>108889.851</v>
      </c>
    </row>
    <row r="319" spans="2:61" x14ac:dyDescent="0.25">
      <c r="B319" s="5"/>
      <c r="F319" s="39"/>
      <c r="G319" s="39"/>
      <c r="J319" s="9"/>
    </row>
    <row r="320" spans="2:61" ht="15" customHeight="1" x14ac:dyDescent="0.25">
      <c r="D320" s="89" t="s">
        <v>53</v>
      </c>
      <c r="E320" s="90"/>
      <c r="F320" s="89" t="s">
        <v>54</v>
      </c>
      <c r="G320" s="90"/>
      <c r="H320" s="89" t="s">
        <v>18</v>
      </c>
      <c r="I320" s="90"/>
      <c r="J320" s="89" t="s">
        <v>91</v>
      </c>
      <c r="K320" s="90"/>
      <c r="L320" s="89" t="s">
        <v>52</v>
      </c>
      <c r="M320" s="90"/>
      <c r="N320" s="89" t="s">
        <v>13</v>
      </c>
      <c r="O320" s="90"/>
      <c r="P320" s="89" t="s">
        <v>34</v>
      </c>
      <c r="Q320" s="90"/>
      <c r="R320" s="89" t="s">
        <v>87</v>
      </c>
      <c r="S320" s="90"/>
      <c r="T320" s="89" t="s">
        <v>43</v>
      </c>
      <c r="U320" s="93"/>
      <c r="W320" s="64" t="s">
        <v>45</v>
      </c>
      <c r="X320" s="65"/>
      <c r="AD320" s="25"/>
    </row>
    <row r="321" spans="1:55" x14ac:dyDescent="0.25">
      <c r="A321" s="6"/>
      <c r="B321" s="7" t="s">
        <v>0</v>
      </c>
      <c r="C321" s="7" t="s">
        <v>1</v>
      </c>
      <c r="D321" s="7" t="s">
        <v>2</v>
      </c>
      <c r="E321" s="10" t="s">
        <v>3</v>
      </c>
      <c r="F321" s="7" t="s">
        <v>2</v>
      </c>
      <c r="G321" s="10" t="s">
        <v>3</v>
      </c>
      <c r="H321" s="7" t="s">
        <v>2</v>
      </c>
      <c r="I321" s="10" t="s">
        <v>3</v>
      </c>
      <c r="J321" s="7" t="s">
        <v>2</v>
      </c>
      <c r="K321" s="10" t="s">
        <v>3</v>
      </c>
      <c r="L321" s="7" t="s">
        <v>2</v>
      </c>
      <c r="M321" s="10" t="s">
        <v>3</v>
      </c>
      <c r="N321" s="7" t="s">
        <v>2</v>
      </c>
      <c r="O321" s="10" t="s">
        <v>3</v>
      </c>
      <c r="P321" s="7" t="s">
        <v>2</v>
      </c>
      <c r="Q321" s="10" t="s">
        <v>3</v>
      </c>
      <c r="R321" s="7" t="s">
        <v>2</v>
      </c>
      <c r="S321" s="10" t="s">
        <v>3</v>
      </c>
      <c r="T321" s="7" t="s">
        <v>2</v>
      </c>
      <c r="U321" s="10" t="s">
        <v>3</v>
      </c>
      <c r="W321" s="7" t="s">
        <v>2</v>
      </c>
      <c r="X321" s="10" t="s">
        <v>3</v>
      </c>
      <c r="AD321" s="25"/>
    </row>
    <row r="322" spans="1:55" x14ac:dyDescent="0.25">
      <c r="F322"/>
      <c r="J322" s="9"/>
      <c r="P322"/>
      <c r="R322"/>
      <c r="X322" s="9"/>
      <c r="AD322" s="25"/>
    </row>
    <row r="323" spans="1:55" x14ac:dyDescent="0.25">
      <c r="B323" s="2" t="s">
        <v>5</v>
      </c>
      <c r="C323" s="2">
        <v>2022</v>
      </c>
      <c r="D323" s="1">
        <v>280776</v>
      </c>
      <c r="E323" s="11">
        <v>12112404.689999999</v>
      </c>
      <c r="F323" s="1">
        <v>1220414</v>
      </c>
      <c r="G323" s="11">
        <v>148261234</v>
      </c>
      <c r="H323" s="1">
        <v>48173</v>
      </c>
      <c r="I323" s="11">
        <v>2590895</v>
      </c>
      <c r="J323" s="1"/>
      <c r="K323" s="11"/>
      <c r="L323" s="1">
        <v>852528</v>
      </c>
      <c r="M323" s="11">
        <v>116049746</v>
      </c>
      <c r="N323" s="8">
        <v>329872</v>
      </c>
      <c r="O323" s="11">
        <v>29044053</v>
      </c>
      <c r="P323" s="8">
        <v>0</v>
      </c>
      <c r="Q323" s="11">
        <v>0</v>
      </c>
      <c r="R323" s="8">
        <v>0</v>
      </c>
      <c r="S323" s="11">
        <v>0</v>
      </c>
      <c r="T323" s="8">
        <f>+N323+H323+F323+D323+P323+L323+R323+J323</f>
        <v>2731763</v>
      </c>
      <c r="U323" s="11">
        <f t="shared" ref="U323:U334" si="413">+O323+I323+G323+E323+Q323+M323+S323+K323</f>
        <v>308058332.69</v>
      </c>
      <c r="W323" s="20">
        <f t="shared" ref="W323:W334" si="414">+T323+V302</f>
        <v>11714244</v>
      </c>
      <c r="X323" s="21">
        <f t="shared" ref="X323:X334" si="415">+U323+W302</f>
        <v>977127916.3599999</v>
      </c>
      <c r="AX323" s="13"/>
      <c r="AY323" s="40"/>
      <c r="AZ323" s="40"/>
      <c r="BA323" s="13"/>
      <c r="BB323" s="41"/>
      <c r="BC323" s="42"/>
    </row>
    <row r="324" spans="1:55" x14ac:dyDescent="0.25">
      <c r="B324" s="2" t="s">
        <v>6</v>
      </c>
      <c r="C324" s="2">
        <v>2022</v>
      </c>
      <c r="D324" s="1">
        <v>331996</v>
      </c>
      <c r="E324" s="11">
        <v>13411760.17</v>
      </c>
      <c r="F324" s="1">
        <v>1107857</v>
      </c>
      <c r="G324" s="11">
        <v>134575618</v>
      </c>
      <c r="H324" s="1">
        <v>40538</v>
      </c>
      <c r="I324" s="11">
        <v>2239353</v>
      </c>
      <c r="J324" s="1"/>
      <c r="K324" s="11"/>
      <c r="L324" s="1">
        <v>806237</v>
      </c>
      <c r="M324" s="11">
        <v>110425171</v>
      </c>
      <c r="N324" s="8">
        <v>332729</v>
      </c>
      <c r="O324" s="11">
        <v>28689922</v>
      </c>
      <c r="P324" s="8">
        <v>4388</v>
      </c>
      <c r="Q324" s="11">
        <v>481206</v>
      </c>
      <c r="R324" s="8">
        <v>0</v>
      </c>
      <c r="S324" s="11">
        <v>0</v>
      </c>
      <c r="T324" s="8">
        <f t="shared" ref="T324:T334" si="416">+N324+H324+F324+D324+P324+L324+R324+J324</f>
        <v>2623745</v>
      </c>
      <c r="U324" s="11">
        <f t="shared" si="413"/>
        <v>289823030.16999996</v>
      </c>
      <c r="W324" s="20">
        <f t="shared" si="414"/>
        <v>12620032</v>
      </c>
      <c r="X324" s="21">
        <f t="shared" si="415"/>
        <v>1029108103.6800001</v>
      </c>
      <c r="AX324" s="13"/>
      <c r="AY324" s="40"/>
      <c r="AZ324" s="40"/>
      <c r="BA324" s="13"/>
      <c r="BB324" s="41"/>
      <c r="BC324" s="42"/>
    </row>
    <row r="325" spans="1:55" x14ac:dyDescent="0.25">
      <c r="B325" s="2" t="s">
        <v>7</v>
      </c>
      <c r="C325" s="2">
        <v>2022</v>
      </c>
      <c r="D325" s="1">
        <v>433084</v>
      </c>
      <c r="E325" s="11">
        <v>16568905.880000003</v>
      </c>
      <c r="F325" s="1">
        <v>1320129</v>
      </c>
      <c r="G325" s="11">
        <v>166849592</v>
      </c>
      <c r="H325" s="1">
        <v>41865</v>
      </c>
      <c r="I325" s="11">
        <v>2361563</v>
      </c>
      <c r="J325" s="1"/>
      <c r="K325" s="11"/>
      <c r="L325" s="1">
        <v>969074</v>
      </c>
      <c r="M325" s="11">
        <v>134693724</v>
      </c>
      <c r="N325" s="8">
        <v>403888</v>
      </c>
      <c r="O325" s="11">
        <v>35379062</v>
      </c>
      <c r="P325" s="8">
        <v>9947</v>
      </c>
      <c r="Q325" s="11">
        <v>1191818</v>
      </c>
      <c r="R325" s="8">
        <v>11952</v>
      </c>
      <c r="S325" s="11">
        <v>748241</v>
      </c>
      <c r="T325" s="8">
        <f t="shared" si="416"/>
        <v>3189939</v>
      </c>
      <c r="U325" s="11">
        <f t="shared" si="413"/>
        <v>357792905.88</v>
      </c>
      <c r="W325" s="20">
        <f t="shared" si="414"/>
        <v>15534915</v>
      </c>
      <c r="X325" s="21">
        <f t="shared" si="415"/>
        <v>1296457861.8599999</v>
      </c>
      <c r="AX325" s="13"/>
      <c r="AY325" s="40"/>
      <c r="AZ325" s="40"/>
      <c r="BA325" s="13"/>
      <c r="BB325" s="41"/>
      <c r="BC325" s="42"/>
    </row>
    <row r="326" spans="1:55" x14ac:dyDescent="0.25">
      <c r="B326" s="2" t="s">
        <v>8</v>
      </c>
      <c r="C326" s="2">
        <v>2022</v>
      </c>
      <c r="D326" s="1">
        <v>392687</v>
      </c>
      <c r="E326" s="11">
        <v>16757233.130000003</v>
      </c>
      <c r="F326" s="1">
        <v>1334593</v>
      </c>
      <c r="G326" s="11">
        <v>179314473</v>
      </c>
      <c r="H326" s="1">
        <v>62511</v>
      </c>
      <c r="I326" s="11">
        <v>3360366</v>
      </c>
      <c r="J326" s="1"/>
      <c r="K326" s="11"/>
      <c r="L326" s="1">
        <v>1085275</v>
      </c>
      <c r="M326" s="11">
        <v>149103568</v>
      </c>
      <c r="N326" s="8">
        <v>387925</v>
      </c>
      <c r="O326" s="11">
        <v>36807188</v>
      </c>
      <c r="P326" s="8">
        <v>10839</v>
      </c>
      <c r="Q326" s="11">
        <v>1206982</v>
      </c>
      <c r="R326" s="8">
        <v>81300</v>
      </c>
      <c r="S326" s="11">
        <v>5091818</v>
      </c>
      <c r="T326" s="8">
        <f t="shared" si="416"/>
        <v>3355130</v>
      </c>
      <c r="U326" s="11">
        <f t="shared" si="413"/>
        <v>391641628.13</v>
      </c>
      <c r="W326" s="20">
        <f t="shared" si="414"/>
        <v>14570319</v>
      </c>
      <c r="X326" s="21">
        <f t="shared" si="415"/>
        <v>1265384722.3400002</v>
      </c>
      <c r="AX326" s="13"/>
      <c r="AY326" s="40"/>
      <c r="AZ326" s="40"/>
      <c r="BA326" s="13"/>
      <c r="BB326" s="41"/>
      <c r="BC326" s="42"/>
    </row>
    <row r="327" spans="1:55" x14ac:dyDescent="0.25">
      <c r="B327" s="2" t="s">
        <v>9</v>
      </c>
      <c r="C327" s="2">
        <v>2022</v>
      </c>
      <c r="D327" s="1">
        <v>398255</v>
      </c>
      <c r="E327" s="11">
        <v>15189297.629999999</v>
      </c>
      <c r="F327" s="1">
        <v>1423022</v>
      </c>
      <c r="G327" s="11">
        <v>197844392</v>
      </c>
      <c r="H327" s="1">
        <v>60841</v>
      </c>
      <c r="I327" s="11">
        <v>3407216</v>
      </c>
      <c r="J327" s="1"/>
      <c r="K327" s="11"/>
      <c r="L327" s="1">
        <v>1067157</v>
      </c>
      <c r="M327" s="11">
        <v>153363367</v>
      </c>
      <c r="N327" s="8">
        <v>408842</v>
      </c>
      <c r="O327" s="11">
        <v>38070665</v>
      </c>
      <c r="P327" s="8">
        <v>12655</v>
      </c>
      <c r="Q327" s="11">
        <v>1327035</v>
      </c>
      <c r="R327" s="8">
        <v>85773</v>
      </c>
      <c r="S327" s="11">
        <v>5316321</v>
      </c>
      <c r="T327" s="8">
        <f t="shared" si="416"/>
        <v>3456545</v>
      </c>
      <c r="U327" s="11">
        <f t="shared" si="413"/>
        <v>414518293.63</v>
      </c>
      <c r="W327" s="20">
        <f t="shared" si="414"/>
        <v>15755050</v>
      </c>
      <c r="X327" s="21">
        <f t="shared" si="415"/>
        <v>1360136201.9299998</v>
      </c>
      <c r="AX327" s="13"/>
      <c r="AY327" s="40"/>
      <c r="AZ327" s="40"/>
      <c r="BA327" s="13"/>
      <c r="BB327" s="41"/>
      <c r="BC327" s="42"/>
    </row>
    <row r="328" spans="1:55" x14ac:dyDescent="0.25">
      <c r="B328" s="2" t="s">
        <v>10</v>
      </c>
      <c r="C328" s="2">
        <v>2022</v>
      </c>
      <c r="D328" s="1">
        <v>378047</v>
      </c>
      <c r="E328" s="11">
        <v>13939807.950000001</v>
      </c>
      <c r="F328" s="1">
        <v>1373839</v>
      </c>
      <c r="G328" s="11">
        <v>198881535</v>
      </c>
      <c r="H328" s="1">
        <v>67543</v>
      </c>
      <c r="I328" s="11">
        <v>3650218</v>
      </c>
      <c r="J328" s="1"/>
      <c r="K328" s="11"/>
      <c r="L328" s="1">
        <v>1010527</v>
      </c>
      <c r="M328" s="11">
        <v>148250014</v>
      </c>
      <c r="N328" s="8">
        <v>405814</v>
      </c>
      <c r="O328" s="11">
        <v>37615750</v>
      </c>
      <c r="P328" s="8">
        <v>13872</v>
      </c>
      <c r="Q328" s="11">
        <v>1494550</v>
      </c>
      <c r="R328" s="8">
        <v>83083</v>
      </c>
      <c r="S328" s="11">
        <v>5349575</v>
      </c>
      <c r="T328" s="8">
        <f t="shared" si="416"/>
        <v>3332725</v>
      </c>
      <c r="U328" s="11">
        <f t="shared" si="413"/>
        <v>409181449.94999999</v>
      </c>
      <c r="W328" s="20">
        <f t="shared" si="414"/>
        <v>15151312</v>
      </c>
      <c r="X328" s="21">
        <f t="shared" si="415"/>
        <v>1329127075.1499999</v>
      </c>
      <c r="AX328" s="13"/>
      <c r="AY328" s="40"/>
      <c r="AZ328" s="40"/>
      <c r="BA328" s="13"/>
      <c r="BB328" s="41"/>
      <c r="BC328" s="42"/>
    </row>
    <row r="329" spans="1:55" x14ac:dyDescent="0.25">
      <c r="B329" s="2" t="s">
        <v>11</v>
      </c>
      <c r="C329" s="2">
        <v>2022</v>
      </c>
      <c r="D329" s="1">
        <v>330373</v>
      </c>
      <c r="E329" s="11">
        <v>13707484.740000002</v>
      </c>
      <c r="F329" s="1">
        <v>1394753</v>
      </c>
      <c r="G329" s="11">
        <v>205627282</v>
      </c>
      <c r="H329" s="1">
        <v>83176</v>
      </c>
      <c r="I329" s="11">
        <v>4294021</v>
      </c>
      <c r="J329" s="1"/>
      <c r="K329" s="11"/>
      <c r="L329" s="1">
        <v>1150813</v>
      </c>
      <c r="M329" s="11">
        <v>166907867</v>
      </c>
      <c r="N329" s="8">
        <v>410391</v>
      </c>
      <c r="O329" s="11">
        <v>39510262</v>
      </c>
      <c r="P329" s="8">
        <v>15655</v>
      </c>
      <c r="Q329" s="11">
        <v>1678209</v>
      </c>
      <c r="R329" s="8">
        <v>84007</v>
      </c>
      <c r="S329" s="11">
        <v>5750527.5</v>
      </c>
      <c r="T329" s="8">
        <f t="shared" si="416"/>
        <v>3469168</v>
      </c>
      <c r="U329" s="11">
        <f t="shared" si="413"/>
        <v>437475653.24000001</v>
      </c>
      <c r="W329" s="20">
        <f t="shared" si="414"/>
        <v>14614513</v>
      </c>
      <c r="X329" s="21">
        <f t="shared" si="415"/>
        <v>1321939803.25</v>
      </c>
      <c r="AX329" s="13"/>
      <c r="AY329" s="40"/>
      <c r="AZ329" s="40"/>
      <c r="BA329" s="13"/>
      <c r="BB329" s="41"/>
      <c r="BC329" s="42"/>
    </row>
    <row r="330" spans="1:55" x14ac:dyDescent="0.25">
      <c r="B330" s="2" t="s">
        <v>4</v>
      </c>
      <c r="C330" s="2">
        <v>2022</v>
      </c>
      <c r="D330" s="1">
        <v>422198</v>
      </c>
      <c r="E330" s="11">
        <v>16051259.34</v>
      </c>
      <c r="F330" s="1">
        <v>1449114</v>
      </c>
      <c r="G330" s="11">
        <v>216839470</v>
      </c>
      <c r="H330" s="1">
        <v>91350</v>
      </c>
      <c r="I330" s="11">
        <v>4670855</v>
      </c>
      <c r="J330" s="1"/>
      <c r="K330" s="11"/>
      <c r="L330" s="1">
        <v>1229596</v>
      </c>
      <c r="M330" s="11">
        <v>181208588</v>
      </c>
      <c r="N330" s="8">
        <v>441788</v>
      </c>
      <c r="O330" s="11">
        <v>42237737</v>
      </c>
      <c r="P330" s="8">
        <v>17464</v>
      </c>
      <c r="Q330" s="11">
        <v>1909137</v>
      </c>
      <c r="R330" s="8">
        <v>120166</v>
      </c>
      <c r="S330" s="11">
        <v>8896080.75</v>
      </c>
      <c r="T330" s="8">
        <f t="shared" si="416"/>
        <v>3771676</v>
      </c>
      <c r="U330" s="11">
        <f t="shared" si="413"/>
        <v>471813127.08999997</v>
      </c>
      <c r="W330" s="20">
        <f t="shared" si="414"/>
        <v>16626913</v>
      </c>
      <c r="X330" s="21">
        <f t="shared" si="415"/>
        <v>1445633804.73</v>
      </c>
      <c r="AX330" s="13"/>
      <c r="AY330" s="40"/>
      <c r="AZ330" s="40"/>
      <c r="BA330" s="13"/>
      <c r="BB330" s="41"/>
      <c r="BC330" s="42"/>
    </row>
    <row r="331" spans="1:55" x14ac:dyDescent="0.25">
      <c r="B331" s="2" t="s">
        <v>28</v>
      </c>
      <c r="C331" s="2">
        <v>2022</v>
      </c>
      <c r="D331" s="1">
        <v>378758</v>
      </c>
      <c r="E331" s="11">
        <v>13751251.340000002</v>
      </c>
      <c r="F331" s="1">
        <v>1250723</v>
      </c>
      <c r="G331" s="11">
        <v>201188740</v>
      </c>
      <c r="H331" s="1">
        <v>85712</v>
      </c>
      <c r="I331" s="11">
        <v>4427364</v>
      </c>
      <c r="J331" s="1"/>
      <c r="K331" s="11"/>
      <c r="L331" s="1">
        <v>1147503</v>
      </c>
      <c r="M331" s="11">
        <v>169944931</v>
      </c>
      <c r="N331" s="8">
        <v>418882</v>
      </c>
      <c r="O331" s="11">
        <v>39918932</v>
      </c>
      <c r="P331" s="8">
        <v>17268</v>
      </c>
      <c r="Q331" s="11">
        <v>1893743</v>
      </c>
      <c r="R331" s="8">
        <v>316022</v>
      </c>
      <c r="S331" s="11">
        <v>19695247</v>
      </c>
      <c r="T331" s="8">
        <f t="shared" si="416"/>
        <v>3614868</v>
      </c>
      <c r="U331" s="11">
        <f t="shared" si="413"/>
        <v>450820208.34000003</v>
      </c>
      <c r="W331" s="20">
        <f t="shared" si="414"/>
        <v>16003859</v>
      </c>
      <c r="X331" s="21">
        <f t="shared" si="415"/>
        <v>1380272392.1100001</v>
      </c>
      <c r="AX331" s="13"/>
      <c r="AY331" s="40"/>
      <c r="AZ331" s="40"/>
      <c r="BA331" s="13"/>
      <c r="BB331" s="41"/>
      <c r="BC331" s="42"/>
    </row>
    <row r="332" spans="1:55" x14ac:dyDescent="0.25">
      <c r="B332" s="2" t="s">
        <v>29</v>
      </c>
      <c r="C332" s="2">
        <v>2022</v>
      </c>
      <c r="D332" s="1">
        <v>438194</v>
      </c>
      <c r="E332" s="11">
        <v>15220553.040000003</v>
      </c>
      <c r="F332" s="1">
        <v>1276161</v>
      </c>
      <c r="G332" s="11">
        <v>229851234</v>
      </c>
      <c r="H332" s="1">
        <v>95027</v>
      </c>
      <c r="I332" s="11">
        <v>4920341</v>
      </c>
      <c r="J332" s="1">
        <v>118705</v>
      </c>
      <c r="K332" s="11">
        <v>4615691</v>
      </c>
      <c r="L332" s="1">
        <v>1287860</v>
      </c>
      <c r="M332" s="11">
        <v>193790723</v>
      </c>
      <c r="N332" s="8">
        <v>458434</v>
      </c>
      <c r="O332" s="11">
        <v>43375329</v>
      </c>
      <c r="P332" s="8">
        <v>17932</v>
      </c>
      <c r="Q332" s="11">
        <v>1941842</v>
      </c>
      <c r="R332" s="8">
        <v>401560</v>
      </c>
      <c r="S332" s="11">
        <v>24443562</v>
      </c>
      <c r="T332" s="8">
        <f t="shared" si="416"/>
        <v>4093873</v>
      </c>
      <c r="U332" s="11">
        <f t="shared" si="413"/>
        <v>518159275.04000002</v>
      </c>
      <c r="W332" s="20">
        <f t="shared" si="414"/>
        <v>17570196</v>
      </c>
      <c r="X332" s="21">
        <f t="shared" si="415"/>
        <v>1525692313.29</v>
      </c>
      <c r="AX332" s="13"/>
      <c r="AY332" s="40"/>
      <c r="AZ332" s="40"/>
      <c r="BA332" s="13"/>
      <c r="BB332" s="40"/>
      <c r="BC332" s="40"/>
    </row>
    <row r="333" spans="1:55" x14ac:dyDescent="0.25">
      <c r="B333" s="2" t="s">
        <v>30</v>
      </c>
      <c r="C333" s="2">
        <v>2022</v>
      </c>
      <c r="D333" s="1">
        <v>413122</v>
      </c>
      <c r="E333" s="11">
        <v>15044329.239999998</v>
      </c>
      <c r="F333" s="1">
        <v>1251998</v>
      </c>
      <c r="G333" s="11">
        <v>233219030</v>
      </c>
      <c r="H333" s="1">
        <v>98399</v>
      </c>
      <c r="I333" s="11">
        <v>5096488</v>
      </c>
      <c r="J333" s="1">
        <v>158205</v>
      </c>
      <c r="K333" s="11">
        <v>6827461</v>
      </c>
      <c r="L333" s="1">
        <v>1308274</v>
      </c>
      <c r="M333" s="11">
        <v>197535090</v>
      </c>
      <c r="N333" s="8">
        <v>445360</v>
      </c>
      <c r="O333" s="11">
        <v>42969384</v>
      </c>
      <c r="P333" s="8">
        <v>18198</v>
      </c>
      <c r="Q333" s="11">
        <v>1976629</v>
      </c>
      <c r="R333" s="8">
        <v>391983</v>
      </c>
      <c r="S333" s="11">
        <v>24206456</v>
      </c>
      <c r="T333" s="8">
        <f t="shared" si="416"/>
        <v>4085539</v>
      </c>
      <c r="U333" s="11">
        <f t="shared" si="413"/>
        <v>526874867.24000001</v>
      </c>
      <c r="W333" s="20">
        <f t="shared" si="414"/>
        <v>16964765</v>
      </c>
      <c r="X333" s="21">
        <f t="shared" si="415"/>
        <v>1496611573.45</v>
      </c>
      <c r="AX333" s="13"/>
      <c r="AY333" s="40"/>
      <c r="AZ333" s="40"/>
      <c r="BA333" s="13"/>
      <c r="BB333" s="40"/>
      <c r="BC333" s="40"/>
    </row>
    <row r="334" spans="1:55" x14ac:dyDescent="0.25">
      <c r="B334" s="2" t="s">
        <v>31</v>
      </c>
      <c r="C334" s="2">
        <v>2022</v>
      </c>
      <c r="D334" s="1">
        <v>407063</v>
      </c>
      <c r="E334" s="11">
        <v>16043117.670000006</v>
      </c>
      <c r="F334" s="1">
        <v>1391517</v>
      </c>
      <c r="G334" s="11">
        <v>263966846.59999999</v>
      </c>
      <c r="H334" s="1">
        <v>111410</v>
      </c>
      <c r="I334" s="11">
        <v>5699686</v>
      </c>
      <c r="J334" s="1">
        <v>162083</v>
      </c>
      <c r="K334" s="11">
        <v>7286707</v>
      </c>
      <c r="L334" s="1">
        <v>1530503</v>
      </c>
      <c r="M334" s="11">
        <v>226818946</v>
      </c>
      <c r="N334" s="8">
        <v>475691</v>
      </c>
      <c r="O334" s="11">
        <v>46661860</v>
      </c>
      <c r="P334" s="8">
        <v>18809</v>
      </c>
      <c r="Q334" s="11">
        <v>2016616</v>
      </c>
      <c r="R334" s="8">
        <v>453066</v>
      </c>
      <c r="S334" s="11">
        <v>30409508</v>
      </c>
      <c r="T334" s="8">
        <f t="shared" si="416"/>
        <v>4550142</v>
      </c>
      <c r="U334" s="11">
        <f t="shared" si="413"/>
        <v>598903287.26999998</v>
      </c>
      <c r="W334" s="20">
        <f t="shared" si="414"/>
        <v>17136580</v>
      </c>
      <c r="X334" s="21">
        <f t="shared" si="415"/>
        <v>1567743246.72</v>
      </c>
      <c r="AX334" s="13"/>
      <c r="AY334" s="40"/>
      <c r="AZ334" s="40"/>
      <c r="BA334" s="13"/>
      <c r="BB334" s="40"/>
      <c r="BC334" s="40"/>
    </row>
    <row r="335" spans="1:55" x14ac:dyDescent="0.25">
      <c r="F335" s="39"/>
      <c r="J335" s="9"/>
      <c r="P335"/>
      <c r="R335"/>
      <c r="X335" s="9"/>
    </row>
    <row r="336" spans="1:55" x14ac:dyDescent="0.25">
      <c r="B336" s="3" t="s">
        <v>12</v>
      </c>
      <c r="C336" s="3"/>
      <c r="D336" s="4">
        <f>SUM(D323:D335)</f>
        <v>4604553</v>
      </c>
      <c r="E336" s="12">
        <f t="shared" ref="E336:Q336" si="417">SUM(E323:E335)</f>
        <v>177797404.82000002</v>
      </c>
      <c r="F336" s="4">
        <f t="shared" si="417"/>
        <v>15794120</v>
      </c>
      <c r="G336" s="12">
        <f t="shared" si="417"/>
        <v>2376419446.5999999</v>
      </c>
      <c r="H336" s="4">
        <f t="shared" si="417"/>
        <v>886545</v>
      </c>
      <c r="I336" s="12">
        <f t="shared" si="417"/>
        <v>46718366</v>
      </c>
      <c r="J336" s="4">
        <f t="shared" si="417"/>
        <v>438993</v>
      </c>
      <c r="K336" s="12">
        <f t="shared" si="417"/>
        <v>18729859</v>
      </c>
      <c r="L336" s="4">
        <f>SUM(L323:L335)</f>
        <v>13445347</v>
      </c>
      <c r="M336" s="12">
        <f>SUM(M323:M335)</f>
        <v>1948091735</v>
      </c>
      <c r="N336" s="4">
        <f t="shared" si="417"/>
        <v>4919616</v>
      </c>
      <c r="O336" s="12">
        <f t="shared" si="417"/>
        <v>460280144</v>
      </c>
      <c r="P336" s="4">
        <f t="shared" si="417"/>
        <v>157027</v>
      </c>
      <c r="Q336" s="12">
        <f t="shared" si="417"/>
        <v>17117767</v>
      </c>
      <c r="R336" s="4">
        <f t="shared" ref="R336:S336" si="418">SUM(R323:R335)</f>
        <v>2028912</v>
      </c>
      <c r="S336" s="12">
        <f t="shared" si="418"/>
        <v>129907336.25</v>
      </c>
      <c r="T336" s="4">
        <f>SUM(T323:T335)</f>
        <v>42275113</v>
      </c>
      <c r="U336" s="12">
        <f>SUM(U323:U335)</f>
        <v>5175062058.6700001</v>
      </c>
      <c r="V336" s="13"/>
      <c r="W336" s="22">
        <f>SUM(W323:W335)</f>
        <v>184262698</v>
      </c>
      <c r="X336" s="23">
        <f>SUM(X323:X335)</f>
        <v>15995235014.870001</v>
      </c>
    </row>
    <row r="337" spans="2:23" x14ac:dyDescent="0.25">
      <c r="F337" s="39">
        <f>+F334+D334</f>
        <v>1798580</v>
      </c>
      <c r="G337" s="9">
        <f>+G334+E334</f>
        <v>280009964.26999998</v>
      </c>
      <c r="H337" s="39"/>
      <c r="J337" s="9"/>
      <c r="L337" s="39"/>
      <c r="N337" s="39"/>
      <c r="P337" s="39"/>
      <c r="T337" s="9"/>
      <c r="V337" s="9"/>
      <c r="W337" s="9"/>
    </row>
    <row r="338" spans="2:23" x14ac:dyDescent="0.25">
      <c r="F338"/>
      <c r="J338" s="9"/>
      <c r="T338" s="29"/>
      <c r="U338" s="29"/>
      <c r="V338" s="9"/>
    </row>
    <row r="339" spans="2:23" outlineLevel="1" x14ac:dyDescent="0.25">
      <c r="B339" s="5" t="s">
        <v>14</v>
      </c>
      <c r="F339"/>
      <c r="N339" s="9"/>
      <c r="P339"/>
      <c r="T339" s="13"/>
      <c r="U339"/>
    </row>
    <row r="340" spans="2:23" outlineLevel="1" x14ac:dyDescent="0.25">
      <c r="B340" s="5" t="s">
        <v>74</v>
      </c>
      <c r="F340"/>
      <c r="N340" s="9"/>
      <c r="P340"/>
      <c r="U340"/>
    </row>
    <row r="341" spans="2:23" outlineLevel="1" x14ac:dyDescent="0.25">
      <c r="F341"/>
      <c r="N341" s="9"/>
      <c r="P341"/>
      <c r="Q341"/>
      <c r="R341"/>
      <c r="S341"/>
      <c r="U341"/>
    </row>
    <row r="342" spans="2:23" outlineLevel="1" x14ac:dyDescent="0.25">
      <c r="D342" s="89" t="s">
        <v>15</v>
      </c>
      <c r="E342" s="90"/>
      <c r="F342" s="89" t="s">
        <v>72</v>
      </c>
      <c r="G342" s="90"/>
      <c r="H342" s="89" t="s">
        <v>16</v>
      </c>
      <c r="I342" s="90"/>
      <c r="J342" s="89" t="s">
        <v>73</v>
      </c>
      <c r="K342" s="90"/>
      <c r="L342" s="89" t="s">
        <v>70</v>
      </c>
      <c r="M342" s="90"/>
      <c r="N342" s="9"/>
      <c r="P342"/>
      <c r="Q342"/>
      <c r="R342"/>
      <c r="S342"/>
      <c r="U342"/>
    </row>
    <row r="343" spans="2:23" outlineLevel="1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  <c r="P343"/>
      <c r="Q343"/>
      <c r="R343"/>
      <c r="S343"/>
      <c r="U343"/>
    </row>
    <row r="344" spans="2:23" outlineLevel="1" x14ac:dyDescent="0.25">
      <c r="N344" s="9"/>
      <c r="P344" s="13"/>
      <c r="Q344" s="13"/>
      <c r="R344" s="13"/>
      <c r="S344" s="13"/>
      <c r="U344"/>
    </row>
    <row r="345" spans="2:23" outlineLevel="1" x14ac:dyDescent="0.25">
      <c r="B345" s="2" t="s">
        <v>5</v>
      </c>
      <c r="C345" s="2">
        <v>2022</v>
      </c>
      <c r="D345" s="1">
        <v>180636</v>
      </c>
      <c r="E345" s="11">
        <v>8362091.2800000021</v>
      </c>
      <c r="F345" s="1">
        <v>93212</v>
      </c>
      <c r="G345" s="11">
        <v>3564332.3600000003</v>
      </c>
      <c r="H345" s="1">
        <v>6925</v>
      </c>
      <c r="I345" s="11">
        <v>185938.37999999998</v>
      </c>
      <c r="J345" s="45">
        <v>3</v>
      </c>
      <c r="K345" s="11">
        <v>42.669999999999995</v>
      </c>
      <c r="L345" s="1">
        <f>+D345+F345+H345+J345</f>
        <v>280776</v>
      </c>
      <c r="M345" s="11">
        <f>+E345+G345+I345+K345</f>
        <v>12112404.690000003</v>
      </c>
      <c r="N345" s="39">
        <f>+L345-D323</f>
        <v>0</v>
      </c>
      <c r="O345" s="13">
        <f>+M345-E323</f>
        <v>0</v>
      </c>
      <c r="P345" s="13"/>
      <c r="Q345" s="13"/>
      <c r="R345" s="13"/>
      <c r="S345" s="13"/>
    </row>
    <row r="346" spans="2:23" outlineLevel="1" x14ac:dyDescent="0.25">
      <c r="B346" s="2" t="s">
        <v>6</v>
      </c>
      <c r="C346" s="2">
        <v>2022</v>
      </c>
      <c r="D346" s="1">
        <v>206703</v>
      </c>
      <c r="E346" s="11">
        <v>9048918.4200000018</v>
      </c>
      <c r="F346" s="1">
        <v>117484</v>
      </c>
      <c r="G346" s="11">
        <v>4150492.0900000003</v>
      </c>
      <c r="H346" s="1">
        <v>7805</v>
      </c>
      <c r="I346" s="11">
        <v>212334.89</v>
      </c>
      <c r="J346" s="45">
        <v>4</v>
      </c>
      <c r="K346" s="11">
        <v>14.770000000000001</v>
      </c>
      <c r="L346" s="1">
        <f t="shared" ref="L346:M356" si="419">+D346+F346+H346+J346</f>
        <v>331996</v>
      </c>
      <c r="M346" s="11">
        <f t="shared" si="419"/>
        <v>13411760.170000002</v>
      </c>
      <c r="N346" s="39">
        <f>+L346-D324</f>
        <v>0</v>
      </c>
      <c r="O346" s="13">
        <f t="shared" ref="O346" si="420">+M346-E324</f>
        <v>0</v>
      </c>
      <c r="P346" s="13"/>
      <c r="Q346" s="13"/>
      <c r="R346" s="13"/>
      <c r="S346" s="13"/>
    </row>
    <row r="347" spans="2:23" outlineLevel="1" x14ac:dyDescent="0.25">
      <c r="B347" s="2" t="s">
        <v>7</v>
      </c>
      <c r="C347" s="2">
        <v>2022</v>
      </c>
      <c r="D347" s="1">
        <v>266258</v>
      </c>
      <c r="E347" s="11">
        <v>11132394.060000001</v>
      </c>
      <c r="F347" s="1">
        <v>158377</v>
      </c>
      <c r="G347" s="11">
        <v>5203799.9799999995</v>
      </c>
      <c r="H347" s="1">
        <v>8449</v>
      </c>
      <c r="I347" s="11">
        <v>232711.84</v>
      </c>
      <c r="J347" s="1">
        <v>0</v>
      </c>
      <c r="K347" s="11">
        <v>0</v>
      </c>
      <c r="L347" s="1">
        <f t="shared" si="419"/>
        <v>433084</v>
      </c>
      <c r="M347" s="11">
        <f t="shared" si="419"/>
        <v>16568905.879999999</v>
      </c>
      <c r="N347" s="39">
        <f t="shared" ref="N347:O355" si="421">+L347-D325</f>
        <v>0</v>
      </c>
      <c r="O347" s="13">
        <f t="shared" si="421"/>
        <v>0</v>
      </c>
      <c r="P347"/>
      <c r="Q347"/>
      <c r="R347"/>
      <c r="S347"/>
    </row>
    <row r="348" spans="2:23" outlineLevel="1" x14ac:dyDescent="0.25">
      <c r="B348" s="2" t="s">
        <v>8</v>
      </c>
      <c r="C348" s="2">
        <v>2022</v>
      </c>
      <c r="D348" s="1">
        <v>247688</v>
      </c>
      <c r="E348" s="11">
        <v>11524000.130000001</v>
      </c>
      <c r="F348" s="1">
        <v>137990</v>
      </c>
      <c r="G348" s="11">
        <v>5020592.209999999</v>
      </c>
      <c r="H348" s="1">
        <v>7009</v>
      </c>
      <c r="I348" s="11">
        <v>212640.79</v>
      </c>
      <c r="J348" s="1">
        <v>0</v>
      </c>
      <c r="K348" s="11">
        <v>0</v>
      </c>
      <c r="L348" s="1">
        <f t="shared" si="419"/>
        <v>392687</v>
      </c>
      <c r="M348" s="11">
        <f t="shared" si="419"/>
        <v>16757233.129999999</v>
      </c>
      <c r="N348" s="39">
        <f t="shared" si="421"/>
        <v>0</v>
      </c>
      <c r="O348" s="13">
        <f t="shared" si="421"/>
        <v>0</v>
      </c>
      <c r="P348"/>
      <c r="Q348"/>
      <c r="R348"/>
      <c r="S348"/>
    </row>
    <row r="349" spans="2:23" outlineLevel="1" x14ac:dyDescent="0.25">
      <c r="B349" s="2" t="s">
        <v>9</v>
      </c>
      <c r="C349" s="2">
        <v>2022</v>
      </c>
      <c r="D349" s="1">
        <v>250517</v>
      </c>
      <c r="E349" s="11">
        <v>10298564.66</v>
      </c>
      <c r="F349" s="1">
        <v>140663</v>
      </c>
      <c r="G349" s="11">
        <v>4679233.9899999993</v>
      </c>
      <c r="H349" s="1">
        <v>7075</v>
      </c>
      <c r="I349" s="11">
        <v>211498.98000000004</v>
      </c>
      <c r="J349" s="1">
        <v>0</v>
      </c>
      <c r="K349" s="11">
        <v>0</v>
      </c>
      <c r="L349" s="1">
        <f t="shared" si="419"/>
        <v>398255</v>
      </c>
      <c r="M349" s="11">
        <f t="shared" si="419"/>
        <v>15189297.629999999</v>
      </c>
      <c r="N349" s="39">
        <f t="shared" si="421"/>
        <v>0</v>
      </c>
      <c r="O349" s="13">
        <f t="shared" si="421"/>
        <v>0</v>
      </c>
      <c r="P349"/>
      <c r="Q349"/>
      <c r="R349"/>
      <c r="S349"/>
    </row>
    <row r="350" spans="2:23" outlineLevel="1" x14ac:dyDescent="0.25">
      <c r="B350" s="2" t="s">
        <v>10</v>
      </c>
      <c r="C350" s="2">
        <v>2022</v>
      </c>
      <c r="D350" s="1">
        <v>239395</v>
      </c>
      <c r="E350" s="11">
        <v>9547217.0500000007</v>
      </c>
      <c r="F350" s="1">
        <v>131787</v>
      </c>
      <c r="G350" s="11">
        <v>4204458.63</v>
      </c>
      <c r="H350" s="1">
        <v>6859</v>
      </c>
      <c r="I350" s="11">
        <v>187926.82</v>
      </c>
      <c r="J350" s="1">
        <v>6</v>
      </c>
      <c r="K350" s="11">
        <v>205.45000000000002</v>
      </c>
      <c r="L350" s="1">
        <f t="shared" si="419"/>
        <v>378047</v>
      </c>
      <c r="M350" s="11">
        <f t="shared" si="419"/>
        <v>13939807.949999999</v>
      </c>
      <c r="N350" s="39">
        <f t="shared" si="421"/>
        <v>0</v>
      </c>
      <c r="O350" s="13">
        <f t="shared" si="421"/>
        <v>0</v>
      </c>
      <c r="P350"/>
      <c r="Q350"/>
      <c r="R350"/>
      <c r="S350"/>
    </row>
    <row r="351" spans="2:23" outlineLevel="1" x14ac:dyDescent="0.25">
      <c r="B351" s="2" t="s">
        <v>11</v>
      </c>
      <c r="C351" s="2">
        <v>2022</v>
      </c>
      <c r="D351" s="1">
        <v>210597</v>
      </c>
      <c r="E351" s="11">
        <v>9401491.8099999987</v>
      </c>
      <c r="F351" s="1">
        <v>113560</v>
      </c>
      <c r="G351" s="11">
        <v>4120229.03</v>
      </c>
      <c r="H351" s="1">
        <v>6216</v>
      </c>
      <c r="I351" s="11">
        <v>185763.90000000002</v>
      </c>
      <c r="J351" s="1">
        <v>0</v>
      </c>
      <c r="K351" s="11">
        <v>0</v>
      </c>
      <c r="L351" s="1">
        <f t="shared" si="419"/>
        <v>330373</v>
      </c>
      <c r="M351" s="11">
        <f t="shared" si="419"/>
        <v>13707484.739999998</v>
      </c>
      <c r="N351" s="39">
        <f t="shared" si="421"/>
        <v>0</v>
      </c>
      <c r="O351" s="13">
        <f t="shared" si="421"/>
        <v>0</v>
      </c>
      <c r="P351"/>
      <c r="Q351"/>
      <c r="R351"/>
      <c r="S351"/>
    </row>
    <row r="352" spans="2:23" outlineLevel="1" x14ac:dyDescent="0.25">
      <c r="B352" s="2" t="s">
        <v>4</v>
      </c>
      <c r="C352" s="2">
        <v>2022</v>
      </c>
      <c r="D352" s="1">
        <v>268985</v>
      </c>
      <c r="E352" s="11">
        <v>10957834.869999997</v>
      </c>
      <c r="F352" s="1">
        <v>145131</v>
      </c>
      <c r="G352" s="11">
        <v>4857763.7499999991</v>
      </c>
      <c r="H352" s="1">
        <v>8082</v>
      </c>
      <c r="I352" s="11">
        <v>235660.72</v>
      </c>
      <c r="J352" s="1">
        <v>0</v>
      </c>
      <c r="K352" s="11">
        <v>0</v>
      </c>
      <c r="L352" s="1">
        <f t="shared" si="419"/>
        <v>422198</v>
      </c>
      <c r="M352" s="11">
        <f t="shared" si="419"/>
        <v>16051259.339999998</v>
      </c>
      <c r="N352" s="39">
        <f t="shared" si="421"/>
        <v>0</v>
      </c>
      <c r="O352" s="13">
        <f t="shared" si="421"/>
        <v>0</v>
      </c>
      <c r="P352"/>
      <c r="Q352"/>
      <c r="R352"/>
      <c r="S352"/>
    </row>
    <row r="353" spans="2:19" outlineLevel="1" x14ac:dyDescent="0.25">
      <c r="B353" s="2" t="s">
        <v>28</v>
      </c>
      <c r="C353" s="2">
        <v>2022</v>
      </c>
      <c r="D353" s="1">
        <v>244378</v>
      </c>
      <c r="E353" s="11">
        <v>9482440.0300000031</v>
      </c>
      <c r="F353" s="1">
        <v>127637</v>
      </c>
      <c r="G353" s="11">
        <v>4076625.6000000006</v>
      </c>
      <c r="H353" s="1">
        <v>6743</v>
      </c>
      <c r="I353" s="11">
        <v>192185.71</v>
      </c>
      <c r="J353" s="1">
        <v>0</v>
      </c>
      <c r="K353" s="11">
        <v>0</v>
      </c>
      <c r="L353" s="1">
        <f t="shared" si="419"/>
        <v>378758</v>
      </c>
      <c r="M353" s="11">
        <f t="shared" si="419"/>
        <v>13751251.340000004</v>
      </c>
      <c r="N353" s="39">
        <f t="shared" si="421"/>
        <v>0</v>
      </c>
      <c r="O353" s="13">
        <f t="shared" si="421"/>
        <v>0</v>
      </c>
      <c r="P353"/>
      <c r="Q353"/>
      <c r="R353"/>
      <c r="S353"/>
    </row>
    <row r="354" spans="2:19" outlineLevel="1" x14ac:dyDescent="0.25">
      <c r="B354" s="2" t="s">
        <v>29</v>
      </c>
      <c r="C354" s="2">
        <v>2022</v>
      </c>
      <c r="D354" s="1">
        <v>277860</v>
      </c>
      <c r="E354" s="11">
        <v>10383088.210000001</v>
      </c>
      <c r="F354" s="1">
        <v>153358</v>
      </c>
      <c r="G354" s="11">
        <v>4640628.9399999995</v>
      </c>
      <c r="H354" s="1">
        <v>6976</v>
      </c>
      <c r="I354" s="11">
        <v>196835.89</v>
      </c>
      <c r="J354" s="1">
        <v>0</v>
      </c>
      <c r="K354" s="11">
        <v>0</v>
      </c>
      <c r="L354" s="1">
        <f t="shared" si="419"/>
        <v>438194</v>
      </c>
      <c r="M354" s="11">
        <f t="shared" si="419"/>
        <v>15220553.040000001</v>
      </c>
      <c r="N354" s="39">
        <f t="shared" si="421"/>
        <v>0</v>
      </c>
      <c r="O354" s="13">
        <f t="shared" si="421"/>
        <v>0</v>
      </c>
      <c r="P354"/>
      <c r="Q354"/>
      <c r="R354"/>
      <c r="S354"/>
    </row>
    <row r="355" spans="2:19" outlineLevel="1" x14ac:dyDescent="0.25">
      <c r="B355" s="2" t="s">
        <v>30</v>
      </c>
      <c r="C355" s="2">
        <v>2022</v>
      </c>
      <c r="D355" s="1">
        <v>262954</v>
      </c>
      <c r="E355" s="11">
        <v>10398090.389999999</v>
      </c>
      <c r="F355" s="1">
        <v>143788</v>
      </c>
      <c r="G355" s="11">
        <v>4457435.83</v>
      </c>
      <c r="H355" s="1">
        <v>6380</v>
      </c>
      <c r="I355" s="11">
        <v>188803.02000000002</v>
      </c>
      <c r="J355" s="1">
        <v>0</v>
      </c>
      <c r="K355" s="11">
        <v>0</v>
      </c>
      <c r="L355" s="1">
        <f t="shared" si="419"/>
        <v>413122</v>
      </c>
      <c r="M355" s="11">
        <f t="shared" si="419"/>
        <v>15044329.239999998</v>
      </c>
      <c r="N355" s="39">
        <f t="shared" si="421"/>
        <v>0</v>
      </c>
      <c r="O355" s="13">
        <f t="shared" si="421"/>
        <v>0</v>
      </c>
      <c r="P355"/>
      <c r="Q355"/>
      <c r="R355"/>
      <c r="S355"/>
    </row>
    <row r="356" spans="2:19" outlineLevel="1" x14ac:dyDescent="0.25">
      <c r="B356" s="2" t="s">
        <v>31</v>
      </c>
      <c r="C356" s="2">
        <v>2022</v>
      </c>
      <c r="D356" s="1">
        <v>262194</v>
      </c>
      <c r="E356" s="11">
        <v>11259025.219999997</v>
      </c>
      <c r="F356" s="1">
        <v>138888</v>
      </c>
      <c r="G356" s="11">
        <v>4601677.4399999995</v>
      </c>
      <c r="H356" s="1">
        <v>5981</v>
      </c>
      <c r="I356" s="11">
        <v>182415.00999999995</v>
      </c>
      <c r="J356" s="1">
        <v>0</v>
      </c>
      <c r="K356" s="11">
        <v>0</v>
      </c>
      <c r="L356" s="1">
        <f t="shared" si="419"/>
        <v>407063</v>
      </c>
      <c r="M356" s="11">
        <f t="shared" si="419"/>
        <v>16043117.669999996</v>
      </c>
      <c r="N356" s="39">
        <f>+L356-D334</f>
        <v>0</v>
      </c>
      <c r="O356" s="13">
        <f>+M356-E334</f>
        <v>0</v>
      </c>
      <c r="P356"/>
      <c r="Q356"/>
      <c r="R356"/>
      <c r="S356"/>
    </row>
    <row r="357" spans="2:19" outlineLevel="1" x14ac:dyDescent="0.25">
      <c r="P357"/>
      <c r="Q357"/>
      <c r="R357"/>
      <c r="S357"/>
    </row>
    <row r="358" spans="2:19" outlineLevel="1" x14ac:dyDescent="0.25">
      <c r="B358" s="88" t="s">
        <v>12</v>
      </c>
      <c r="C358" s="88"/>
      <c r="D358" s="4">
        <f>SUM(D345:D357)</f>
        <v>2918165</v>
      </c>
      <c r="E358" s="12">
        <f>SUM(E345:E357)</f>
        <v>121795156.13000001</v>
      </c>
      <c r="F358" s="4">
        <f t="shared" ref="F358:M358" si="422">SUM(F345:F357)</f>
        <v>1601875</v>
      </c>
      <c r="G358" s="12">
        <f t="shared" si="422"/>
        <v>53577269.849999994</v>
      </c>
      <c r="H358" s="4">
        <f t="shared" si="422"/>
        <v>84500</v>
      </c>
      <c r="I358" s="12">
        <f t="shared" si="422"/>
        <v>2424715.9499999997</v>
      </c>
      <c r="J358" s="4">
        <f t="shared" si="422"/>
        <v>13</v>
      </c>
      <c r="K358" s="12">
        <f t="shared" si="422"/>
        <v>262.89</v>
      </c>
      <c r="L358" s="4">
        <f t="shared" si="422"/>
        <v>4604553</v>
      </c>
      <c r="M358" s="12">
        <f t="shared" si="422"/>
        <v>177797404.81999999</v>
      </c>
      <c r="P358"/>
      <c r="Q358"/>
      <c r="R358"/>
      <c r="S358"/>
    </row>
    <row r="359" spans="2:19" outlineLevel="1" x14ac:dyDescent="0.25"/>
    <row r="360" spans="2:19" outlineLevel="1" x14ac:dyDescent="0.25">
      <c r="B360" s="5" t="s">
        <v>14</v>
      </c>
    </row>
    <row r="361" spans="2:19" outlineLevel="1" x14ac:dyDescent="0.25">
      <c r="B361" s="5" t="s">
        <v>75</v>
      </c>
    </row>
    <row r="362" spans="2:19" outlineLevel="1" x14ac:dyDescent="0.25"/>
    <row r="363" spans="2:19" outlineLevel="1" x14ac:dyDescent="0.25">
      <c r="D363" s="89" t="s">
        <v>15</v>
      </c>
      <c r="E363" s="90"/>
      <c r="F363" s="89" t="s">
        <v>72</v>
      </c>
      <c r="G363" s="90"/>
      <c r="H363" s="89" t="s">
        <v>16</v>
      </c>
      <c r="I363" s="90"/>
      <c r="J363" s="89" t="s">
        <v>73</v>
      </c>
      <c r="K363" s="90"/>
      <c r="L363" s="89" t="s">
        <v>70</v>
      </c>
      <c r="M363" s="90"/>
      <c r="N363" s="9"/>
    </row>
    <row r="364" spans="2:19" outlineLevel="1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9" outlineLevel="1" x14ac:dyDescent="0.25">
      <c r="N365" s="9"/>
    </row>
    <row r="366" spans="2:19" outlineLevel="1" x14ac:dyDescent="0.25">
      <c r="B366" s="2" t="s">
        <v>5</v>
      </c>
      <c r="C366" s="2">
        <v>2022</v>
      </c>
      <c r="D366" s="1">
        <v>626889</v>
      </c>
      <c r="E366" s="11">
        <v>71756427</v>
      </c>
      <c r="F366" s="1">
        <v>363604</v>
      </c>
      <c r="G366" s="11">
        <v>37178767</v>
      </c>
      <c r="H366" s="1">
        <v>229904</v>
      </c>
      <c r="I366" s="11">
        <v>39324283</v>
      </c>
      <c r="J366" s="1">
        <v>17</v>
      </c>
      <c r="K366" s="11">
        <v>1757</v>
      </c>
      <c r="L366" s="1">
        <f>+D366+F366+H366+J366</f>
        <v>1220414</v>
      </c>
      <c r="M366" s="11">
        <f>+E366+G366+I366+K366</f>
        <v>148261234</v>
      </c>
      <c r="N366" s="39">
        <f>+L366-F323</f>
        <v>0</v>
      </c>
      <c r="O366" s="13">
        <f>+M366-G323</f>
        <v>0</v>
      </c>
    </row>
    <row r="367" spans="2:19" outlineLevel="1" x14ac:dyDescent="0.25">
      <c r="B367" s="2" t="s">
        <v>6</v>
      </c>
      <c r="C367" s="2">
        <v>2022</v>
      </c>
      <c r="D367" s="1">
        <v>576852</v>
      </c>
      <c r="E367" s="11">
        <v>66804963</v>
      </c>
      <c r="F367" s="1">
        <v>358168</v>
      </c>
      <c r="G367" s="11">
        <v>37205072</v>
      </c>
      <c r="H367" s="1">
        <v>172820</v>
      </c>
      <c r="I367" s="11">
        <v>30563970</v>
      </c>
      <c r="J367" s="1">
        <v>17</v>
      </c>
      <c r="K367" s="11">
        <v>1613</v>
      </c>
      <c r="L367" s="1">
        <f t="shared" ref="L367:M377" si="423">+D367+F367+H367+J367</f>
        <v>1107857</v>
      </c>
      <c r="M367" s="11">
        <f t="shared" si="423"/>
        <v>134575618</v>
      </c>
      <c r="N367" s="39">
        <f t="shared" ref="N367:O376" si="424">+L367-F324</f>
        <v>0</v>
      </c>
      <c r="O367" s="13">
        <f t="shared" si="424"/>
        <v>0</v>
      </c>
    </row>
    <row r="368" spans="2:19" outlineLevel="1" x14ac:dyDescent="0.25">
      <c r="B368" s="2" t="s">
        <v>7</v>
      </c>
      <c r="C368" s="2">
        <v>2022</v>
      </c>
      <c r="D368" s="1">
        <v>680988</v>
      </c>
      <c r="E368" s="11">
        <v>81460497</v>
      </c>
      <c r="F368" s="1">
        <v>433743</v>
      </c>
      <c r="G368" s="11">
        <v>46908087</v>
      </c>
      <c r="H368" s="1">
        <v>205372</v>
      </c>
      <c r="I368" s="11">
        <v>38478758</v>
      </c>
      <c r="J368" s="1">
        <v>26</v>
      </c>
      <c r="K368" s="11">
        <v>2250</v>
      </c>
      <c r="L368" s="1">
        <f t="shared" si="423"/>
        <v>1320129</v>
      </c>
      <c r="M368" s="11">
        <f t="shared" si="423"/>
        <v>166849592</v>
      </c>
      <c r="N368" s="39">
        <f t="shared" si="424"/>
        <v>0</v>
      </c>
      <c r="O368" s="13">
        <f t="shared" si="424"/>
        <v>0</v>
      </c>
    </row>
    <row r="369" spans="2:15" outlineLevel="1" x14ac:dyDescent="0.25">
      <c r="B369" s="2" t="s">
        <v>8</v>
      </c>
      <c r="C369" s="2">
        <v>2022</v>
      </c>
      <c r="D369" s="1">
        <v>682045</v>
      </c>
      <c r="E369" s="11">
        <v>82690827</v>
      </c>
      <c r="F369" s="1">
        <v>387549</v>
      </c>
      <c r="G369" s="11">
        <v>43247414</v>
      </c>
      <c r="H369" s="1">
        <v>264993</v>
      </c>
      <c r="I369" s="11">
        <v>53375722</v>
      </c>
      <c r="J369" s="1">
        <v>6</v>
      </c>
      <c r="K369" s="11">
        <v>510</v>
      </c>
      <c r="L369" s="1">
        <f t="shared" si="423"/>
        <v>1334593</v>
      </c>
      <c r="M369" s="11">
        <f t="shared" si="423"/>
        <v>179314473</v>
      </c>
      <c r="N369" s="39">
        <f t="shared" si="424"/>
        <v>0</v>
      </c>
      <c r="O369" s="13">
        <f t="shared" si="424"/>
        <v>0</v>
      </c>
    </row>
    <row r="370" spans="2:15" outlineLevel="1" x14ac:dyDescent="0.25">
      <c r="B370" s="2" t="s">
        <v>9</v>
      </c>
      <c r="C370" s="2">
        <v>2022</v>
      </c>
      <c r="D370" s="1">
        <v>703927</v>
      </c>
      <c r="E370" s="11">
        <v>86924130</v>
      </c>
      <c r="F370" s="1">
        <v>421826</v>
      </c>
      <c r="G370" s="11">
        <v>47776246</v>
      </c>
      <c r="H370" s="1">
        <v>297251</v>
      </c>
      <c r="I370" s="11">
        <v>63142303</v>
      </c>
      <c r="J370" s="1">
        <v>18</v>
      </c>
      <c r="K370" s="11">
        <v>1713</v>
      </c>
      <c r="L370" s="1">
        <f t="shared" si="423"/>
        <v>1423022</v>
      </c>
      <c r="M370" s="11">
        <f t="shared" si="423"/>
        <v>197844392</v>
      </c>
      <c r="N370" s="39">
        <f t="shared" si="424"/>
        <v>0</v>
      </c>
      <c r="O370" s="13">
        <f t="shared" si="424"/>
        <v>0</v>
      </c>
    </row>
    <row r="371" spans="2:15" outlineLevel="1" x14ac:dyDescent="0.25">
      <c r="B371" s="2" t="s">
        <v>10</v>
      </c>
      <c r="C371" s="2">
        <v>2022</v>
      </c>
      <c r="D371" s="1">
        <v>668797</v>
      </c>
      <c r="E371" s="11">
        <v>85495455</v>
      </c>
      <c r="F371" s="1">
        <v>394499</v>
      </c>
      <c r="G371" s="11">
        <v>48104651</v>
      </c>
      <c r="H371" s="1">
        <v>310541</v>
      </c>
      <c r="I371" s="11">
        <v>65281366</v>
      </c>
      <c r="J371" s="1">
        <v>2</v>
      </c>
      <c r="K371" s="11">
        <v>63</v>
      </c>
      <c r="L371" s="1">
        <f t="shared" si="423"/>
        <v>1373839</v>
      </c>
      <c r="M371" s="11">
        <f t="shared" si="423"/>
        <v>198881535</v>
      </c>
      <c r="N371" s="39">
        <f t="shared" si="424"/>
        <v>0</v>
      </c>
      <c r="O371" s="13">
        <f t="shared" si="424"/>
        <v>0</v>
      </c>
    </row>
    <row r="372" spans="2:15" outlineLevel="1" x14ac:dyDescent="0.25">
      <c r="B372" s="2" t="s">
        <v>11</v>
      </c>
      <c r="C372" s="2">
        <v>2022</v>
      </c>
      <c r="D372" s="1">
        <v>671318</v>
      </c>
      <c r="E372" s="11">
        <v>86089564</v>
      </c>
      <c r="F372" s="1">
        <v>391340</v>
      </c>
      <c r="G372" s="11">
        <v>47674606</v>
      </c>
      <c r="H372" s="1">
        <v>332095</v>
      </c>
      <c r="I372" s="11">
        <v>71863112</v>
      </c>
      <c r="J372" s="1">
        <v>0</v>
      </c>
      <c r="K372" s="11">
        <v>0</v>
      </c>
      <c r="L372" s="1">
        <f t="shared" si="423"/>
        <v>1394753</v>
      </c>
      <c r="M372" s="11">
        <f t="shared" si="423"/>
        <v>205627282</v>
      </c>
      <c r="N372" s="39">
        <f t="shared" si="424"/>
        <v>0</v>
      </c>
      <c r="O372" s="13">
        <f t="shared" si="424"/>
        <v>0</v>
      </c>
    </row>
    <row r="373" spans="2:15" outlineLevel="1" x14ac:dyDescent="0.25">
      <c r="B373" s="2" t="s">
        <v>4</v>
      </c>
      <c r="C373" s="2">
        <v>2022</v>
      </c>
      <c r="D373" s="1">
        <v>677944</v>
      </c>
      <c r="E373" s="11">
        <v>86092582</v>
      </c>
      <c r="F373" s="1">
        <v>395639</v>
      </c>
      <c r="G373" s="11">
        <v>48607555</v>
      </c>
      <c r="H373" s="1">
        <v>375531</v>
      </c>
      <c r="I373" s="11">
        <v>82139333</v>
      </c>
      <c r="J373" s="1">
        <v>0</v>
      </c>
      <c r="K373" s="11">
        <v>0</v>
      </c>
      <c r="L373" s="1">
        <f t="shared" si="423"/>
        <v>1449114</v>
      </c>
      <c r="M373" s="11">
        <f t="shared" si="423"/>
        <v>216839470</v>
      </c>
      <c r="N373" s="39">
        <f t="shared" si="424"/>
        <v>0</v>
      </c>
      <c r="O373" s="13">
        <f t="shared" si="424"/>
        <v>0</v>
      </c>
    </row>
    <row r="374" spans="2:15" outlineLevel="1" x14ac:dyDescent="0.25">
      <c r="B374" s="2" t="s">
        <v>28</v>
      </c>
      <c r="C374" s="2">
        <v>2022</v>
      </c>
      <c r="D374" s="1">
        <v>573964</v>
      </c>
      <c r="E374" s="11">
        <v>77758163</v>
      </c>
      <c r="F374" s="1">
        <v>316503</v>
      </c>
      <c r="G374" s="11">
        <v>42354798</v>
      </c>
      <c r="H374" s="1">
        <v>360256</v>
      </c>
      <c r="I374" s="11">
        <v>81075779</v>
      </c>
      <c r="J374" s="1">
        <v>0</v>
      </c>
      <c r="K374" s="11">
        <v>0</v>
      </c>
      <c r="L374" s="1">
        <f t="shared" si="423"/>
        <v>1250723</v>
      </c>
      <c r="M374" s="11">
        <f t="shared" si="423"/>
        <v>201188740</v>
      </c>
      <c r="N374" s="39">
        <f t="shared" si="424"/>
        <v>0</v>
      </c>
      <c r="O374" s="13">
        <f t="shared" si="424"/>
        <v>0</v>
      </c>
    </row>
    <row r="375" spans="2:15" outlineLevel="1" x14ac:dyDescent="0.25">
      <c r="B375" s="2" t="s">
        <v>29</v>
      </c>
      <c r="C375" s="2">
        <v>2022</v>
      </c>
      <c r="D375" s="1">
        <v>551926</v>
      </c>
      <c r="E375" s="11">
        <v>83760945</v>
      </c>
      <c r="F375" s="1">
        <v>300517</v>
      </c>
      <c r="G375" s="11">
        <v>47381231</v>
      </c>
      <c r="H375" s="1">
        <v>423718</v>
      </c>
      <c r="I375" s="11">
        <v>98709058</v>
      </c>
      <c r="J375" s="1">
        <v>0</v>
      </c>
      <c r="K375" s="11">
        <v>0</v>
      </c>
      <c r="L375" s="1">
        <f t="shared" si="423"/>
        <v>1276161</v>
      </c>
      <c r="M375" s="11">
        <f t="shared" si="423"/>
        <v>229851234</v>
      </c>
      <c r="N375" s="39">
        <f t="shared" si="424"/>
        <v>0</v>
      </c>
      <c r="O375" s="13">
        <f t="shared" si="424"/>
        <v>0</v>
      </c>
    </row>
    <row r="376" spans="2:15" outlineLevel="1" x14ac:dyDescent="0.25">
      <c r="B376" s="2" t="s">
        <v>30</v>
      </c>
      <c r="C376" s="2">
        <v>2022</v>
      </c>
      <c r="D376" s="1">
        <v>527116</v>
      </c>
      <c r="E376" s="11">
        <v>83607344</v>
      </c>
      <c r="F376" s="1">
        <v>276419</v>
      </c>
      <c r="G376" s="11">
        <v>46053012</v>
      </c>
      <c r="H376" s="1">
        <v>448463</v>
      </c>
      <c r="I376" s="11">
        <v>103558674</v>
      </c>
      <c r="J376" s="1">
        <v>0</v>
      </c>
      <c r="K376" s="11">
        <v>0</v>
      </c>
      <c r="L376" s="1">
        <f t="shared" si="423"/>
        <v>1251998</v>
      </c>
      <c r="M376" s="11">
        <f t="shared" si="423"/>
        <v>233219030</v>
      </c>
      <c r="N376" s="39">
        <f t="shared" si="424"/>
        <v>0</v>
      </c>
      <c r="O376" s="13">
        <f t="shared" si="424"/>
        <v>0</v>
      </c>
    </row>
    <row r="377" spans="2:15" outlineLevel="1" x14ac:dyDescent="0.25">
      <c r="B377" s="2" t="s">
        <v>31</v>
      </c>
      <c r="C377" s="2">
        <v>2022</v>
      </c>
      <c r="D377" s="1">
        <v>611238</v>
      </c>
      <c r="E377" s="11">
        <v>97094773</v>
      </c>
      <c r="F377" s="1">
        <v>289339</v>
      </c>
      <c r="G377" s="11">
        <v>48589507.600000001</v>
      </c>
      <c r="H377" s="1">
        <v>490940</v>
      </c>
      <c r="I377" s="11">
        <v>118282566</v>
      </c>
      <c r="J377" s="1">
        <v>0</v>
      </c>
      <c r="K377" s="11">
        <v>0</v>
      </c>
      <c r="L377" s="1">
        <f t="shared" si="423"/>
        <v>1391517</v>
      </c>
      <c r="M377" s="11">
        <f t="shared" si="423"/>
        <v>263966846.59999999</v>
      </c>
      <c r="N377" s="39">
        <f>+L377-F334</f>
        <v>0</v>
      </c>
      <c r="O377" s="13">
        <f>+M377-G334</f>
        <v>0</v>
      </c>
    </row>
    <row r="378" spans="2:15" outlineLevel="1" x14ac:dyDescent="0.25"/>
    <row r="379" spans="2:15" outlineLevel="1" x14ac:dyDescent="0.25">
      <c r="B379" s="88" t="s">
        <v>12</v>
      </c>
      <c r="C379" s="88"/>
      <c r="D379" s="4">
        <f>SUM(D366:D378)</f>
        <v>7553004</v>
      </c>
      <c r="E379" s="12">
        <f>SUM(E366:E378)</f>
        <v>989535670</v>
      </c>
      <c r="F379" s="4">
        <f t="shared" ref="F379:M379" si="425">SUM(F366:F378)</f>
        <v>4329146</v>
      </c>
      <c r="G379" s="12">
        <f t="shared" si="425"/>
        <v>541080946.60000002</v>
      </c>
      <c r="H379" s="4">
        <f t="shared" si="425"/>
        <v>3911884</v>
      </c>
      <c r="I379" s="12">
        <f t="shared" si="425"/>
        <v>845794924</v>
      </c>
      <c r="J379" s="4">
        <f t="shared" si="425"/>
        <v>86</v>
      </c>
      <c r="K379" s="12">
        <f t="shared" si="425"/>
        <v>7906</v>
      </c>
      <c r="L379" s="4">
        <f t="shared" si="425"/>
        <v>15794120</v>
      </c>
      <c r="M379" s="12">
        <f t="shared" si="425"/>
        <v>2376419446.5999999</v>
      </c>
    </row>
    <row r="380" spans="2:15" outlineLevel="1" x14ac:dyDescent="0.25"/>
    <row r="381" spans="2:15" outlineLevel="1" x14ac:dyDescent="0.25">
      <c r="B381" s="5" t="s">
        <v>14</v>
      </c>
    </row>
    <row r="382" spans="2:15" outlineLevel="1" x14ac:dyDescent="0.25">
      <c r="B382" s="5" t="s">
        <v>76</v>
      </c>
    </row>
    <row r="383" spans="2:15" outlineLevel="1" x14ac:dyDescent="0.25"/>
    <row r="384" spans="2:15" outlineLevel="1" x14ac:dyDescent="0.25">
      <c r="D384" s="89" t="s">
        <v>15</v>
      </c>
      <c r="E384" s="90"/>
      <c r="F384" s="89" t="s">
        <v>72</v>
      </c>
      <c r="G384" s="90"/>
      <c r="H384" s="89" t="s">
        <v>16</v>
      </c>
      <c r="I384" s="90"/>
      <c r="J384" s="89" t="s">
        <v>73</v>
      </c>
      <c r="K384" s="90"/>
      <c r="L384" s="89" t="s">
        <v>70</v>
      </c>
      <c r="M384" s="90"/>
      <c r="N384" s="9"/>
    </row>
    <row r="385" spans="2:15" outlineLevel="1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outlineLevel="1" x14ac:dyDescent="0.25">
      <c r="N386" s="9"/>
    </row>
    <row r="387" spans="2:15" outlineLevel="1" x14ac:dyDescent="0.25">
      <c r="B387" s="2" t="s">
        <v>5</v>
      </c>
      <c r="C387" s="2">
        <v>2022</v>
      </c>
      <c r="D387" s="1">
        <v>25711</v>
      </c>
      <c r="E387" s="11">
        <v>1226406</v>
      </c>
      <c r="F387" s="1">
        <v>8613</v>
      </c>
      <c r="G387" s="11">
        <v>540023</v>
      </c>
      <c r="H387" s="1">
        <v>13849</v>
      </c>
      <c r="I387" s="11">
        <v>824466</v>
      </c>
      <c r="J387" s="1">
        <v>0</v>
      </c>
      <c r="K387" s="11">
        <v>0</v>
      </c>
      <c r="L387" s="1">
        <f>+D387+F387+H387+J387</f>
        <v>48173</v>
      </c>
      <c r="M387" s="11">
        <f>+E387+G387+I387+K387</f>
        <v>2590895</v>
      </c>
      <c r="N387" s="39">
        <f>+L387-H323</f>
        <v>0</v>
      </c>
      <c r="O387" s="13">
        <f>+M387-I323</f>
        <v>0</v>
      </c>
    </row>
    <row r="388" spans="2:15" outlineLevel="1" x14ac:dyDescent="0.25">
      <c r="B388" s="2" t="s">
        <v>6</v>
      </c>
      <c r="C388" s="2">
        <v>2022</v>
      </c>
      <c r="D388" s="1">
        <v>21793</v>
      </c>
      <c r="E388" s="11">
        <v>1100167</v>
      </c>
      <c r="F388" s="1">
        <v>8006</v>
      </c>
      <c r="G388" s="11">
        <v>508526</v>
      </c>
      <c r="H388" s="1">
        <v>10739</v>
      </c>
      <c r="I388" s="11">
        <v>630660</v>
      </c>
      <c r="J388" s="1">
        <v>0</v>
      </c>
      <c r="K388" s="11">
        <v>0</v>
      </c>
      <c r="L388" s="1">
        <f t="shared" ref="L388:M398" si="426">+D388+F388+H388+J388</f>
        <v>40538</v>
      </c>
      <c r="M388" s="11">
        <f t="shared" si="426"/>
        <v>2239353</v>
      </c>
      <c r="N388" s="39">
        <f t="shared" ref="N388:O398" si="427">+L388-H324</f>
        <v>0</v>
      </c>
      <c r="O388" s="13">
        <f t="shared" si="427"/>
        <v>0</v>
      </c>
    </row>
    <row r="389" spans="2:15" outlineLevel="1" x14ac:dyDescent="0.25">
      <c r="B389" s="2" t="s">
        <v>7</v>
      </c>
      <c r="C389" s="2">
        <v>2022</v>
      </c>
      <c r="D389" s="1">
        <v>22493</v>
      </c>
      <c r="E389" s="11">
        <v>1166979</v>
      </c>
      <c r="F389" s="1">
        <v>8169</v>
      </c>
      <c r="G389" s="11">
        <v>528406</v>
      </c>
      <c r="H389" s="1">
        <v>11203</v>
      </c>
      <c r="I389" s="11">
        <v>666178</v>
      </c>
      <c r="J389" s="1">
        <v>0</v>
      </c>
      <c r="K389" s="11">
        <v>0</v>
      </c>
      <c r="L389" s="1">
        <f t="shared" si="426"/>
        <v>41865</v>
      </c>
      <c r="M389" s="11">
        <f t="shared" si="426"/>
        <v>2361563</v>
      </c>
      <c r="N389" s="39">
        <f t="shared" si="427"/>
        <v>0</v>
      </c>
      <c r="O389" s="13">
        <f t="shared" si="427"/>
        <v>0</v>
      </c>
    </row>
    <row r="390" spans="2:15" outlineLevel="1" x14ac:dyDescent="0.25">
      <c r="B390" s="2" t="s">
        <v>8</v>
      </c>
      <c r="C390" s="2">
        <v>2022</v>
      </c>
      <c r="D390" s="1">
        <v>31011</v>
      </c>
      <c r="E390" s="11">
        <v>1478125</v>
      </c>
      <c r="F390" s="1">
        <v>11061</v>
      </c>
      <c r="G390" s="11">
        <v>677615</v>
      </c>
      <c r="H390" s="1">
        <v>20439</v>
      </c>
      <c r="I390" s="11">
        <v>1204626</v>
      </c>
      <c r="J390" s="1">
        <v>0</v>
      </c>
      <c r="K390" s="11">
        <v>0</v>
      </c>
      <c r="L390" s="1">
        <f t="shared" si="426"/>
        <v>62511</v>
      </c>
      <c r="M390" s="11">
        <f t="shared" si="426"/>
        <v>3360366</v>
      </c>
      <c r="N390" s="39">
        <f t="shared" si="427"/>
        <v>0</v>
      </c>
      <c r="O390" s="13">
        <f t="shared" si="427"/>
        <v>0</v>
      </c>
    </row>
    <row r="391" spans="2:15" outlineLevel="1" x14ac:dyDescent="0.25">
      <c r="B391" s="2" t="s">
        <v>9</v>
      </c>
      <c r="C391" s="2">
        <v>2022</v>
      </c>
      <c r="D391" s="1">
        <v>26500</v>
      </c>
      <c r="E391" s="11">
        <v>1344439</v>
      </c>
      <c r="F391" s="1">
        <v>10119</v>
      </c>
      <c r="G391" s="11">
        <v>648562</v>
      </c>
      <c r="H391" s="1">
        <v>24222</v>
      </c>
      <c r="I391" s="11">
        <v>1414215</v>
      </c>
      <c r="J391" s="1">
        <v>0</v>
      </c>
      <c r="K391" s="11">
        <v>0</v>
      </c>
      <c r="L391" s="1">
        <f t="shared" si="426"/>
        <v>60841</v>
      </c>
      <c r="M391" s="11">
        <f t="shared" si="426"/>
        <v>3407216</v>
      </c>
      <c r="N391" s="39">
        <f t="shared" si="427"/>
        <v>0</v>
      </c>
      <c r="O391" s="13">
        <f t="shared" si="427"/>
        <v>0</v>
      </c>
    </row>
    <row r="392" spans="2:15" outlineLevel="1" x14ac:dyDescent="0.25">
      <c r="B392" s="2" t="s">
        <v>10</v>
      </c>
      <c r="C392" s="2">
        <v>2022</v>
      </c>
      <c r="D392" s="1">
        <v>25230</v>
      </c>
      <c r="E392" s="11">
        <v>1295543</v>
      </c>
      <c r="F392" s="1">
        <v>9771</v>
      </c>
      <c r="G392" s="11">
        <v>632243</v>
      </c>
      <c r="H392" s="1">
        <v>32542</v>
      </c>
      <c r="I392" s="11">
        <v>1722432</v>
      </c>
      <c r="J392" s="1">
        <v>0</v>
      </c>
      <c r="K392" s="11">
        <v>0</v>
      </c>
      <c r="L392" s="1">
        <f t="shared" si="426"/>
        <v>67543</v>
      </c>
      <c r="M392" s="11">
        <f t="shared" si="426"/>
        <v>3650218</v>
      </c>
      <c r="N392" s="39">
        <f t="shared" si="427"/>
        <v>0</v>
      </c>
      <c r="O392" s="13">
        <f t="shared" si="427"/>
        <v>0</v>
      </c>
    </row>
    <row r="393" spans="2:15" outlineLevel="1" x14ac:dyDescent="0.25">
      <c r="B393" s="2" t="s">
        <v>11</v>
      </c>
      <c r="C393" s="2">
        <v>2022</v>
      </c>
      <c r="D393" s="1">
        <v>28013</v>
      </c>
      <c r="E393" s="11">
        <v>1347871</v>
      </c>
      <c r="F393" s="1">
        <v>10269</v>
      </c>
      <c r="G393" s="11">
        <v>640856</v>
      </c>
      <c r="H393" s="1">
        <v>44894</v>
      </c>
      <c r="I393" s="11">
        <v>2305294</v>
      </c>
      <c r="J393" s="1">
        <v>0</v>
      </c>
      <c r="K393" s="11">
        <v>0</v>
      </c>
      <c r="L393" s="1">
        <f t="shared" si="426"/>
        <v>83176</v>
      </c>
      <c r="M393" s="11">
        <f t="shared" si="426"/>
        <v>4294021</v>
      </c>
      <c r="N393" s="39">
        <f t="shared" si="427"/>
        <v>0</v>
      </c>
      <c r="O393" s="13">
        <f t="shared" si="427"/>
        <v>0</v>
      </c>
    </row>
    <row r="394" spans="2:15" outlineLevel="1" x14ac:dyDescent="0.25">
      <c r="B394" s="2" t="s">
        <v>4</v>
      </c>
      <c r="C394" s="2">
        <v>2022</v>
      </c>
      <c r="D394" s="1">
        <v>29358</v>
      </c>
      <c r="E394" s="11">
        <v>1406452</v>
      </c>
      <c r="F394" s="1">
        <v>11244</v>
      </c>
      <c r="G394" s="11">
        <v>715122</v>
      </c>
      <c r="H394" s="1">
        <v>50748</v>
      </c>
      <c r="I394" s="11">
        <v>2549281</v>
      </c>
      <c r="J394" s="1">
        <v>0</v>
      </c>
      <c r="K394" s="11">
        <v>0</v>
      </c>
      <c r="L394" s="1">
        <f t="shared" si="426"/>
        <v>91350</v>
      </c>
      <c r="M394" s="11">
        <f t="shared" si="426"/>
        <v>4670855</v>
      </c>
      <c r="N394" s="39">
        <f t="shared" si="427"/>
        <v>0</v>
      </c>
      <c r="O394" s="13">
        <f t="shared" si="427"/>
        <v>0</v>
      </c>
    </row>
    <row r="395" spans="2:15" outlineLevel="1" x14ac:dyDescent="0.25">
      <c r="B395" s="2" t="s">
        <v>28</v>
      </c>
      <c r="C395" s="2">
        <v>2022</v>
      </c>
      <c r="D395" s="1">
        <v>25170</v>
      </c>
      <c r="E395" s="11">
        <v>1271475</v>
      </c>
      <c r="F395" s="1">
        <v>9876</v>
      </c>
      <c r="G395" s="11">
        <v>639909</v>
      </c>
      <c r="H395" s="1">
        <v>50666</v>
      </c>
      <c r="I395" s="11">
        <v>2515980</v>
      </c>
      <c r="J395" s="1">
        <v>0</v>
      </c>
      <c r="K395" s="11">
        <v>0</v>
      </c>
      <c r="L395" s="1">
        <f t="shared" si="426"/>
        <v>85712</v>
      </c>
      <c r="M395" s="11">
        <f t="shared" si="426"/>
        <v>4427364</v>
      </c>
      <c r="N395" s="39">
        <f t="shared" si="427"/>
        <v>0</v>
      </c>
      <c r="O395" s="13">
        <f t="shared" si="427"/>
        <v>0</v>
      </c>
    </row>
    <row r="396" spans="2:15" outlineLevel="1" x14ac:dyDescent="0.25">
      <c r="B396" s="2" t="s">
        <v>29</v>
      </c>
      <c r="C396" s="2">
        <v>2022</v>
      </c>
      <c r="D396" s="1">
        <v>27108</v>
      </c>
      <c r="E396" s="11">
        <v>1385442</v>
      </c>
      <c r="F396" s="1">
        <v>11035</v>
      </c>
      <c r="G396" s="11">
        <v>713850</v>
      </c>
      <c r="H396" s="1">
        <v>56884</v>
      </c>
      <c r="I396" s="11">
        <v>2821049</v>
      </c>
      <c r="J396" s="1">
        <v>0</v>
      </c>
      <c r="K396" s="11">
        <v>0</v>
      </c>
      <c r="L396" s="1">
        <f t="shared" si="426"/>
        <v>95027</v>
      </c>
      <c r="M396" s="11">
        <f t="shared" si="426"/>
        <v>4920341</v>
      </c>
      <c r="N396" s="39">
        <f t="shared" si="427"/>
        <v>0</v>
      </c>
      <c r="O396" s="13">
        <f t="shared" si="427"/>
        <v>0</v>
      </c>
    </row>
    <row r="397" spans="2:15" outlineLevel="1" x14ac:dyDescent="0.25">
      <c r="B397" s="2" t="s">
        <v>30</v>
      </c>
      <c r="C397" s="2">
        <v>2022</v>
      </c>
      <c r="D397" s="1">
        <v>28466</v>
      </c>
      <c r="E397" s="11">
        <v>1475528</v>
      </c>
      <c r="F397" s="1">
        <v>11172</v>
      </c>
      <c r="G397" s="11">
        <v>713881</v>
      </c>
      <c r="H397" s="1">
        <v>58761</v>
      </c>
      <c r="I397" s="11">
        <v>2907079</v>
      </c>
      <c r="J397" s="1">
        <v>0</v>
      </c>
      <c r="K397" s="11">
        <v>0</v>
      </c>
      <c r="L397" s="1">
        <f t="shared" si="426"/>
        <v>98399</v>
      </c>
      <c r="M397" s="11">
        <f t="shared" si="426"/>
        <v>5096488</v>
      </c>
      <c r="N397" s="39">
        <f t="shared" si="427"/>
        <v>0</v>
      </c>
      <c r="O397" s="13">
        <f t="shared" si="427"/>
        <v>0</v>
      </c>
    </row>
    <row r="398" spans="2:15" outlineLevel="1" x14ac:dyDescent="0.25">
      <c r="B398" s="2" t="s">
        <v>31</v>
      </c>
      <c r="C398" s="2">
        <v>2022</v>
      </c>
      <c r="D398" s="1">
        <v>33509</v>
      </c>
      <c r="E398" s="11">
        <v>1639509</v>
      </c>
      <c r="F398" s="1">
        <v>12032</v>
      </c>
      <c r="G398" s="11">
        <v>768250</v>
      </c>
      <c r="H398" s="1">
        <v>65869</v>
      </c>
      <c r="I398" s="11">
        <v>3291927</v>
      </c>
      <c r="J398" s="1">
        <v>0</v>
      </c>
      <c r="K398" s="11">
        <v>0</v>
      </c>
      <c r="L398" s="1">
        <f t="shared" si="426"/>
        <v>111410</v>
      </c>
      <c r="M398" s="11">
        <f t="shared" si="426"/>
        <v>5699686</v>
      </c>
      <c r="N398" s="39">
        <f t="shared" si="427"/>
        <v>0</v>
      </c>
      <c r="O398" s="13">
        <f t="shared" si="427"/>
        <v>0</v>
      </c>
    </row>
    <row r="399" spans="2:15" outlineLevel="1" x14ac:dyDescent="0.25"/>
    <row r="400" spans="2:15" outlineLevel="1" x14ac:dyDescent="0.25">
      <c r="B400" s="88" t="s">
        <v>12</v>
      </c>
      <c r="C400" s="88"/>
      <c r="D400" s="4">
        <f>SUM(D387:D399)</f>
        <v>324362</v>
      </c>
      <c r="E400" s="12">
        <f>SUM(E387:E399)</f>
        <v>16137936</v>
      </c>
      <c r="F400" s="4">
        <f t="shared" ref="F400:M400" si="428">SUM(F387:F399)</f>
        <v>121367</v>
      </c>
      <c r="G400" s="12">
        <f t="shared" si="428"/>
        <v>7727243</v>
      </c>
      <c r="H400" s="4">
        <f t="shared" si="428"/>
        <v>440816</v>
      </c>
      <c r="I400" s="12">
        <f t="shared" si="428"/>
        <v>22853187</v>
      </c>
      <c r="J400" s="4">
        <f t="shared" si="428"/>
        <v>0</v>
      </c>
      <c r="K400" s="12">
        <f t="shared" si="428"/>
        <v>0</v>
      </c>
      <c r="L400" s="4">
        <f t="shared" si="428"/>
        <v>886545</v>
      </c>
      <c r="M400" s="12">
        <f t="shared" si="428"/>
        <v>46718366</v>
      </c>
    </row>
    <row r="401" spans="2:15" outlineLevel="1" x14ac:dyDescent="0.25"/>
    <row r="402" spans="2:15" outlineLevel="1" x14ac:dyDescent="0.25">
      <c r="B402" s="5" t="s">
        <v>14</v>
      </c>
    </row>
    <row r="403" spans="2:15" outlineLevel="1" x14ac:dyDescent="0.25">
      <c r="B403" s="5" t="s">
        <v>77</v>
      </c>
    </row>
    <row r="404" spans="2:15" outlineLevel="1" x14ac:dyDescent="0.25"/>
    <row r="405" spans="2:15" outlineLevel="1" x14ac:dyDescent="0.25">
      <c r="D405" s="89" t="s">
        <v>15</v>
      </c>
      <c r="E405" s="90"/>
      <c r="F405" s="89" t="s">
        <v>72</v>
      </c>
      <c r="G405" s="90"/>
      <c r="H405" s="89" t="s">
        <v>16</v>
      </c>
      <c r="I405" s="90"/>
      <c r="J405" s="89" t="s">
        <v>73</v>
      </c>
      <c r="K405" s="90"/>
      <c r="L405" s="89" t="s">
        <v>70</v>
      </c>
      <c r="M405" s="90"/>
      <c r="N405" s="9"/>
    </row>
    <row r="406" spans="2:15" outlineLevel="1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outlineLevel="1" x14ac:dyDescent="0.25">
      <c r="N407" s="9"/>
    </row>
    <row r="408" spans="2:15" outlineLevel="1" x14ac:dyDescent="0.25">
      <c r="B408" s="2" t="s">
        <v>5</v>
      </c>
      <c r="C408" s="2">
        <v>2022</v>
      </c>
      <c r="D408" s="1">
        <v>508280</v>
      </c>
      <c r="E408" s="11">
        <v>60134824</v>
      </c>
      <c r="F408" s="1">
        <v>212848</v>
      </c>
      <c r="G408" s="11">
        <v>31580397</v>
      </c>
      <c r="H408" s="1">
        <v>131400</v>
      </c>
      <c r="I408" s="11">
        <v>24334525</v>
      </c>
      <c r="J408" s="45">
        <v>0</v>
      </c>
      <c r="K408" s="11">
        <v>0</v>
      </c>
      <c r="L408" s="1">
        <f>+D408+F408+H408+J408</f>
        <v>852528</v>
      </c>
      <c r="M408" s="11">
        <f>+E408+G408+I408+K408</f>
        <v>116049746</v>
      </c>
      <c r="N408" s="39">
        <f t="shared" ref="N408:N419" si="429">+L408-L323</f>
        <v>0</v>
      </c>
      <c r="O408" s="13">
        <f t="shared" ref="O408:O419" si="430">+M408-M323</f>
        <v>0</v>
      </c>
    </row>
    <row r="409" spans="2:15" outlineLevel="1" x14ac:dyDescent="0.25">
      <c r="B409" s="2" t="s">
        <v>6</v>
      </c>
      <c r="C409" s="2">
        <v>2022</v>
      </c>
      <c r="D409" s="1">
        <v>484704</v>
      </c>
      <c r="E409" s="11">
        <v>58414942</v>
      </c>
      <c r="F409" s="1">
        <v>213905</v>
      </c>
      <c r="G409" s="11">
        <v>31987350</v>
      </c>
      <c r="H409" s="1">
        <v>107628</v>
      </c>
      <c r="I409" s="11">
        <v>20022879</v>
      </c>
      <c r="J409" s="45">
        <v>0</v>
      </c>
      <c r="K409" s="11">
        <v>0</v>
      </c>
      <c r="L409" s="1">
        <f t="shared" ref="L409:M419" si="431">+D409+F409+H409+J409</f>
        <v>806237</v>
      </c>
      <c r="M409" s="11">
        <f t="shared" si="431"/>
        <v>110425171</v>
      </c>
      <c r="N409" s="39">
        <f t="shared" si="429"/>
        <v>0</v>
      </c>
      <c r="O409" s="13">
        <f t="shared" si="430"/>
        <v>0</v>
      </c>
    </row>
    <row r="410" spans="2:15" outlineLevel="1" x14ac:dyDescent="0.25">
      <c r="B410" s="2" t="s">
        <v>7</v>
      </c>
      <c r="C410" s="2">
        <v>2022</v>
      </c>
      <c r="D410" s="1">
        <v>565023</v>
      </c>
      <c r="E410" s="11">
        <v>68015476</v>
      </c>
      <c r="F410" s="1">
        <v>256534</v>
      </c>
      <c r="G410" s="11">
        <v>39164815</v>
      </c>
      <c r="H410" s="1">
        <v>147517</v>
      </c>
      <c r="I410" s="11">
        <v>27513433</v>
      </c>
      <c r="J410" s="45">
        <v>0</v>
      </c>
      <c r="K410" s="11">
        <v>0</v>
      </c>
      <c r="L410" s="1">
        <f t="shared" si="431"/>
        <v>969074</v>
      </c>
      <c r="M410" s="11">
        <f t="shared" si="431"/>
        <v>134693724</v>
      </c>
      <c r="N410" s="39">
        <f t="shared" si="429"/>
        <v>0</v>
      </c>
      <c r="O410" s="13">
        <f t="shared" si="430"/>
        <v>0</v>
      </c>
    </row>
    <row r="411" spans="2:15" outlineLevel="1" x14ac:dyDescent="0.25">
      <c r="B411" s="2" t="s">
        <v>8</v>
      </c>
      <c r="C411" s="2">
        <v>2022</v>
      </c>
      <c r="D411" s="1">
        <v>618592</v>
      </c>
      <c r="E411" s="11">
        <v>72173047</v>
      </c>
      <c r="F411" s="1">
        <v>262678</v>
      </c>
      <c r="G411" s="11">
        <v>38577252</v>
      </c>
      <c r="H411" s="1">
        <v>204005</v>
      </c>
      <c r="I411" s="11">
        <v>38353269</v>
      </c>
      <c r="J411" s="45">
        <v>0</v>
      </c>
      <c r="K411" s="11">
        <v>0</v>
      </c>
      <c r="L411" s="1">
        <f t="shared" si="431"/>
        <v>1085275</v>
      </c>
      <c r="M411" s="11">
        <f t="shared" si="431"/>
        <v>149103568</v>
      </c>
      <c r="N411" s="39">
        <f t="shared" si="429"/>
        <v>0</v>
      </c>
      <c r="O411" s="13">
        <f t="shared" si="430"/>
        <v>0</v>
      </c>
    </row>
    <row r="412" spans="2:15" outlineLevel="1" x14ac:dyDescent="0.25">
      <c r="B412" s="2" t="s">
        <v>9</v>
      </c>
      <c r="C412" s="2">
        <v>2022</v>
      </c>
      <c r="D412" s="1">
        <v>562138</v>
      </c>
      <c r="E412" s="11">
        <v>68921971</v>
      </c>
      <c r="F412" s="1">
        <v>260849</v>
      </c>
      <c r="G412" s="11">
        <v>39880330</v>
      </c>
      <c r="H412" s="1">
        <v>244170</v>
      </c>
      <c r="I412" s="11">
        <v>44561066</v>
      </c>
      <c r="J412" s="45">
        <v>0</v>
      </c>
      <c r="K412" s="11">
        <v>0</v>
      </c>
      <c r="L412" s="1">
        <f t="shared" si="431"/>
        <v>1067157</v>
      </c>
      <c r="M412" s="11">
        <f t="shared" si="431"/>
        <v>153363367</v>
      </c>
      <c r="N412" s="39">
        <f t="shared" si="429"/>
        <v>0</v>
      </c>
      <c r="O412" s="13">
        <f t="shared" si="430"/>
        <v>0</v>
      </c>
    </row>
    <row r="413" spans="2:15" outlineLevel="1" x14ac:dyDescent="0.25">
      <c r="B413" s="2" t="s">
        <v>10</v>
      </c>
      <c r="C413" s="2">
        <v>2022</v>
      </c>
      <c r="D413" s="1">
        <v>508225</v>
      </c>
      <c r="E413" s="11">
        <v>63231880</v>
      </c>
      <c r="F413" s="1">
        <v>244018</v>
      </c>
      <c r="G413" s="11">
        <v>38490428</v>
      </c>
      <c r="H413" s="1">
        <v>258280</v>
      </c>
      <c r="I413" s="11">
        <v>46527338</v>
      </c>
      <c r="J413" s="45">
        <v>4</v>
      </c>
      <c r="K413" s="11">
        <v>368</v>
      </c>
      <c r="L413" s="1">
        <f t="shared" si="431"/>
        <v>1010527</v>
      </c>
      <c r="M413" s="11">
        <f t="shared" si="431"/>
        <v>148250014</v>
      </c>
      <c r="N413" s="39">
        <f t="shared" si="429"/>
        <v>0</v>
      </c>
      <c r="O413" s="13">
        <f t="shared" si="430"/>
        <v>0</v>
      </c>
    </row>
    <row r="414" spans="2:15" outlineLevel="1" x14ac:dyDescent="0.25">
      <c r="B414" s="2" t="s">
        <v>11</v>
      </c>
      <c r="C414" s="2">
        <v>2022</v>
      </c>
      <c r="D414" s="1">
        <v>575317</v>
      </c>
      <c r="E414" s="11">
        <v>70849211</v>
      </c>
      <c r="F414" s="1">
        <v>268053</v>
      </c>
      <c r="G414" s="11">
        <v>41026759</v>
      </c>
      <c r="H414" s="1">
        <v>307443</v>
      </c>
      <c r="I414" s="11">
        <v>55031897</v>
      </c>
      <c r="J414" s="45">
        <v>0</v>
      </c>
      <c r="K414" s="11">
        <v>0</v>
      </c>
      <c r="L414" s="1">
        <f t="shared" si="431"/>
        <v>1150813</v>
      </c>
      <c r="M414" s="11">
        <f t="shared" si="431"/>
        <v>166907867</v>
      </c>
      <c r="N414" s="39">
        <f t="shared" si="429"/>
        <v>0</v>
      </c>
      <c r="O414" s="13">
        <f t="shared" si="430"/>
        <v>0</v>
      </c>
    </row>
    <row r="415" spans="2:15" outlineLevel="1" x14ac:dyDescent="0.25">
      <c r="B415" s="2" t="s">
        <v>4</v>
      </c>
      <c r="C415" s="2">
        <v>2022</v>
      </c>
      <c r="D415" s="1">
        <v>587316</v>
      </c>
      <c r="E415" s="11">
        <v>73072439</v>
      </c>
      <c r="F415" s="1">
        <v>272601</v>
      </c>
      <c r="G415" s="11">
        <v>42522550</v>
      </c>
      <c r="H415" s="1">
        <v>369679</v>
      </c>
      <c r="I415" s="11">
        <v>65613599</v>
      </c>
      <c r="J415" s="45">
        <v>0</v>
      </c>
      <c r="K415" s="11">
        <v>0</v>
      </c>
      <c r="L415" s="1">
        <f t="shared" si="431"/>
        <v>1229596</v>
      </c>
      <c r="M415" s="11">
        <f t="shared" si="431"/>
        <v>181208588</v>
      </c>
      <c r="N415" s="39">
        <f t="shared" si="429"/>
        <v>0</v>
      </c>
      <c r="O415" s="13">
        <f t="shared" si="430"/>
        <v>0</v>
      </c>
    </row>
    <row r="416" spans="2:15" outlineLevel="1" x14ac:dyDescent="0.25">
      <c r="B416" s="2" t="s">
        <v>28</v>
      </c>
      <c r="C416" s="2">
        <v>2022</v>
      </c>
      <c r="D416" s="1">
        <v>523545</v>
      </c>
      <c r="E416" s="11">
        <v>65323547</v>
      </c>
      <c r="F416" s="1">
        <v>244660</v>
      </c>
      <c r="G416" s="11">
        <v>38605030</v>
      </c>
      <c r="H416" s="1">
        <v>379298</v>
      </c>
      <c r="I416" s="11">
        <v>66016354</v>
      </c>
      <c r="J416" s="45">
        <v>0</v>
      </c>
      <c r="K416" s="11">
        <v>0</v>
      </c>
      <c r="L416" s="1">
        <f t="shared" si="431"/>
        <v>1147503</v>
      </c>
      <c r="M416" s="11">
        <f t="shared" si="431"/>
        <v>169944931</v>
      </c>
      <c r="N416" s="39">
        <f t="shared" si="429"/>
        <v>0</v>
      </c>
      <c r="O416" s="13">
        <f t="shared" si="430"/>
        <v>0</v>
      </c>
    </row>
    <row r="417" spans="2:15" outlineLevel="1" x14ac:dyDescent="0.25">
      <c r="B417" s="2" t="s">
        <v>29</v>
      </c>
      <c r="C417" s="2">
        <v>2022</v>
      </c>
      <c r="D417" s="1">
        <v>553803</v>
      </c>
      <c r="E417" s="11">
        <v>69964829</v>
      </c>
      <c r="F417" s="1">
        <v>262413</v>
      </c>
      <c r="G417" s="11">
        <v>41821344</v>
      </c>
      <c r="H417" s="1">
        <v>471644</v>
      </c>
      <c r="I417" s="11">
        <v>82004550</v>
      </c>
      <c r="J417" s="45">
        <v>0</v>
      </c>
      <c r="K417" s="11">
        <v>0</v>
      </c>
      <c r="L417" s="1">
        <f t="shared" si="431"/>
        <v>1287860</v>
      </c>
      <c r="M417" s="11">
        <f t="shared" si="431"/>
        <v>193790723</v>
      </c>
      <c r="N417" s="39">
        <f t="shared" si="429"/>
        <v>0</v>
      </c>
      <c r="O417" s="13">
        <f t="shared" si="430"/>
        <v>0</v>
      </c>
    </row>
    <row r="418" spans="2:15" outlineLevel="1" x14ac:dyDescent="0.25">
      <c r="B418" s="2" t="s">
        <v>30</v>
      </c>
      <c r="C418" s="2">
        <v>2022</v>
      </c>
      <c r="D418" s="1">
        <v>561056</v>
      </c>
      <c r="E418" s="11">
        <v>70850117</v>
      </c>
      <c r="F418" s="1">
        <v>266370</v>
      </c>
      <c r="G418" s="11">
        <v>42640418</v>
      </c>
      <c r="H418" s="1">
        <v>480848</v>
      </c>
      <c r="I418" s="11">
        <v>84044555</v>
      </c>
      <c r="J418" s="1">
        <v>0</v>
      </c>
      <c r="K418" s="11">
        <v>0</v>
      </c>
      <c r="L418" s="1">
        <f t="shared" si="431"/>
        <v>1308274</v>
      </c>
      <c r="M418" s="11">
        <f t="shared" si="431"/>
        <v>197535090</v>
      </c>
      <c r="N418" s="39">
        <f t="shared" si="429"/>
        <v>0</v>
      </c>
      <c r="O418" s="13">
        <f t="shared" si="430"/>
        <v>0</v>
      </c>
    </row>
    <row r="419" spans="2:15" outlineLevel="1" x14ac:dyDescent="0.25">
      <c r="B419" s="2" t="s">
        <v>31</v>
      </c>
      <c r="C419" s="2">
        <v>2022</v>
      </c>
      <c r="D419" s="1">
        <v>668196</v>
      </c>
      <c r="E419" s="11">
        <v>80872160</v>
      </c>
      <c r="F419" s="1">
        <v>287155</v>
      </c>
      <c r="G419" s="11">
        <v>44299672</v>
      </c>
      <c r="H419" s="1">
        <v>575152</v>
      </c>
      <c r="I419" s="11">
        <v>101647114</v>
      </c>
      <c r="J419" s="1"/>
      <c r="K419" s="11"/>
      <c r="L419" s="1">
        <f t="shared" si="431"/>
        <v>1530503</v>
      </c>
      <c r="M419" s="11">
        <f t="shared" si="431"/>
        <v>226818946</v>
      </c>
      <c r="N419" s="39">
        <f t="shared" si="429"/>
        <v>0</v>
      </c>
      <c r="O419" s="13">
        <f t="shared" si="430"/>
        <v>0</v>
      </c>
    </row>
    <row r="420" spans="2:15" outlineLevel="1" x14ac:dyDescent="0.25"/>
    <row r="421" spans="2:15" outlineLevel="1" x14ac:dyDescent="0.25">
      <c r="B421" s="88" t="s">
        <v>12</v>
      </c>
      <c r="C421" s="88"/>
      <c r="D421" s="4">
        <f>SUM(D408:D420)</f>
        <v>6716195</v>
      </c>
      <c r="E421" s="12">
        <f>SUM(E408:E420)</f>
        <v>821824443</v>
      </c>
      <c r="F421" s="4">
        <f t="shared" ref="F421:M421" si="432">SUM(F408:F420)</f>
        <v>3052084</v>
      </c>
      <c r="G421" s="12">
        <f t="shared" si="432"/>
        <v>470596345</v>
      </c>
      <c r="H421" s="4">
        <f t="shared" si="432"/>
        <v>3677064</v>
      </c>
      <c r="I421" s="12">
        <f t="shared" si="432"/>
        <v>655670579</v>
      </c>
      <c r="J421" s="4">
        <f t="shared" si="432"/>
        <v>4</v>
      </c>
      <c r="K421" s="12">
        <f t="shared" si="432"/>
        <v>368</v>
      </c>
      <c r="L421" s="4">
        <f t="shared" si="432"/>
        <v>13445347</v>
      </c>
      <c r="M421" s="12">
        <f t="shared" si="432"/>
        <v>1948091735</v>
      </c>
    </row>
    <row r="422" spans="2:15" outlineLevel="1" x14ac:dyDescent="0.25"/>
    <row r="423" spans="2:15" outlineLevel="1" x14ac:dyDescent="0.25">
      <c r="B423" s="5" t="s">
        <v>14</v>
      </c>
    </row>
    <row r="424" spans="2:15" outlineLevel="1" x14ac:dyDescent="0.25">
      <c r="B424" s="5" t="s">
        <v>78</v>
      </c>
    </row>
    <row r="425" spans="2:15" outlineLevel="1" x14ac:dyDescent="0.25"/>
    <row r="426" spans="2:15" outlineLevel="1" x14ac:dyDescent="0.25">
      <c r="D426" s="89" t="s">
        <v>15</v>
      </c>
      <c r="E426" s="90"/>
      <c r="F426" s="89" t="s">
        <v>72</v>
      </c>
      <c r="G426" s="90"/>
      <c r="H426" s="89" t="s">
        <v>16</v>
      </c>
      <c r="I426" s="90"/>
      <c r="J426" s="89" t="s">
        <v>73</v>
      </c>
      <c r="K426" s="90"/>
      <c r="L426" s="89" t="s">
        <v>70</v>
      </c>
      <c r="M426" s="90"/>
      <c r="N426" s="9"/>
    </row>
    <row r="427" spans="2:15" outlineLevel="1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outlineLevel="1" x14ac:dyDescent="0.25">
      <c r="N428" s="9"/>
    </row>
    <row r="429" spans="2:15" outlineLevel="1" x14ac:dyDescent="0.25">
      <c r="B429" s="2" t="s">
        <v>5</v>
      </c>
      <c r="C429" s="2">
        <v>2022</v>
      </c>
      <c r="D429" s="1">
        <v>164752</v>
      </c>
      <c r="E429" s="11">
        <v>12417169</v>
      </c>
      <c r="F429" s="1">
        <v>99239</v>
      </c>
      <c r="G429" s="11">
        <v>7314821</v>
      </c>
      <c r="H429" s="1">
        <v>65881</v>
      </c>
      <c r="I429" s="11">
        <v>9312063</v>
      </c>
      <c r="J429" s="45">
        <v>0</v>
      </c>
      <c r="K429" s="11">
        <v>0</v>
      </c>
      <c r="L429" s="1">
        <f>+D429+F429+H429+J429</f>
        <v>329872</v>
      </c>
      <c r="M429" s="11">
        <f>+E429+G429+I429+K429</f>
        <v>29044053</v>
      </c>
      <c r="N429" s="39">
        <f t="shared" ref="N429:N440" si="433">+L429-N323</f>
        <v>0</v>
      </c>
      <c r="O429" s="13">
        <f t="shared" ref="O429:O440" si="434">+M429-O323</f>
        <v>0</v>
      </c>
    </row>
    <row r="430" spans="2:15" outlineLevel="1" x14ac:dyDescent="0.25">
      <c r="B430" s="2" t="s">
        <v>6</v>
      </c>
      <c r="C430" s="2">
        <v>2022</v>
      </c>
      <c r="D430" s="1">
        <v>167367</v>
      </c>
      <c r="E430" s="11">
        <v>12635089</v>
      </c>
      <c r="F430" s="1">
        <v>107578</v>
      </c>
      <c r="G430" s="11">
        <v>7741684</v>
      </c>
      <c r="H430" s="1">
        <v>57784</v>
      </c>
      <c r="I430" s="11">
        <v>8313149</v>
      </c>
      <c r="J430" s="45">
        <v>0</v>
      </c>
      <c r="K430" s="11">
        <v>0</v>
      </c>
      <c r="L430" s="1">
        <f t="shared" ref="L430:M440" si="435">+D430+F430+H430+J430</f>
        <v>332729</v>
      </c>
      <c r="M430" s="11">
        <f t="shared" si="435"/>
        <v>28689922</v>
      </c>
      <c r="N430" s="39">
        <f t="shared" si="433"/>
        <v>0</v>
      </c>
      <c r="O430" s="13">
        <f t="shared" si="434"/>
        <v>0</v>
      </c>
    </row>
    <row r="431" spans="2:15" outlineLevel="1" x14ac:dyDescent="0.25">
      <c r="B431" s="2" t="s">
        <v>7</v>
      </c>
      <c r="C431" s="2">
        <v>2022</v>
      </c>
      <c r="D431" s="1">
        <v>201006</v>
      </c>
      <c r="E431" s="11">
        <v>15448947</v>
      </c>
      <c r="F431" s="1">
        <v>132407</v>
      </c>
      <c r="G431" s="11">
        <v>9500731</v>
      </c>
      <c r="H431" s="1">
        <v>70471</v>
      </c>
      <c r="I431" s="11">
        <v>10429064</v>
      </c>
      <c r="J431" s="45">
        <v>4</v>
      </c>
      <c r="K431" s="11">
        <v>320</v>
      </c>
      <c r="L431" s="1">
        <f t="shared" si="435"/>
        <v>403888</v>
      </c>
      <c r="M431" s="11">
        <f t="shared" si="435"/>
        <v>35379062</v>
      </c>
      <c r="N431" s="39">
        <f t="shared" si="433"/>
        <v>0</v>
      </c>
      <c r="O431" s="13">
        <f t="shared" si="434"/>
        <v>0</v>
      </c>
    </row>
    <row r="432" spans="2:15" outlineLevel="1" x14ac:dyDescent="0.25">
      <c r="B432" s="2" t="s">
        <v>8</v>
      </c>
      <c r="C432" s="2">
        <v>2022</v>
      </c>
      <c r="D432" s="1">
        <v>189395</v>
      </c>
      <c r="E432" s="11">
        <v>15603643</v>
      </c>
      <c r="F432" s="1">
        <v>121822</v>
      </c>
      <c r="G432" s="11">
        <v>9472214</v>
      </c>
      <c r="H432" s="1">
        <v>76700</v>
      </c>
      <c r="I432" s="11">
        <v>11730729</v>
      </c>
      <c r="J432" s="45">
        <v>8</v>
      </c>
      <c r="K432" s="11">
        <v>602</v>
      </c>
      <c r="L432" s="1">
        <f t="shared" si="435"/>
        <v>387925</v>
      </c>
      <c r="M432" s="11">
        <f>+E432+G432+I432+K432</f>
        <v>36807188</v>
      </c>
      <c r="N432" s="39">
        <f t="shared" si="433"/>
        <v>0</v>
      </c>
      <c r="O432" s="13">
        <f t="shared" si="434"/>
        <v>0</v>
      </c>
    </row>
    <row r="433" spans="2:15" outlineLevel="1" x14ac:dyDescent="0.25">
      <c r="B433" s="2" t="s">
        <v>9</v>
      </c>
      <c r="C433" s="2">
        <v>2022</v>
      </c>
      <c r="D433" s="1">
        <v>192023</v>
      </c>
      <c r="E433" s="11">
        <v>15605943</v>
      </c>
      <c r="F433" s="1">
        <v>132919</v>
      </c>
      <c r="G433" s="11">
        <v>10081889</v>
      </c>
      <c r="H433" s="1">
        <v>83897</v>
      </c>
      <c r="I433" s="11">
        <v>12382521</v>
      </c>
      <c r="J433" s="45">
        <v>3</v>
      </c>
      <c r="K433" s="11">
        <v>312</v>
      </c>
      <c r="L433" s="1">
        <f t="shared" si="435"/>
        <v>408842</v>
      </c>
      <c r="M433" s="11">
        <f t="shared" si="435"/>
        <v>38070665</v>
      </c>
      <c r="N433" s="39">
        <f t="shared" si="433"/>
        <v>0</v>
      </c>
      <c r="O433" s="13">
        <f t="shared" si="434"/>
        <v>0</v>
      </c>
    </row>
    <row r="434" spans="2:15" outlineLevel="1" x14ac:dyDescent="0.25">
      <c r="B434" s="2" t="s">
        <v>10</v>
      </c>
      <c r="C434" s="2">
        <v>2022</v>
      </c>
      <c r="D434" s="1">
        <v>189139</v>
      </c>
      <c r="E434" s="11">
        <v>15134810</v>
      </c>
      <c r="F434" s="1">
        <v>129305</v>
      </c>
      <c r="G434" s="11">
        <v>9702561</v>
      </c>
      <c r="H434" s="1">
        <v>87370</v>
      </c>
      <c r="I434" s="11">
        <v>12778379</v>
      </c>
      <c r="J434" s="45">
        <v>0</v>
      </c>
      <c r="K434" s="11">
        <v>0</v>
      </c>
      <c r="L434" s="1">
        <f t="shared" si="435"/>
        <v>405814</v>
      </c>
      <c r="M434" s="11">
        <f t="shared" si="435"/>
        <v>37615750</v>
      </c>
      <c r="N434" s="39">
        <f t="shared" si="433"/>
        <v>0</v>
      </c>
      <c r="O434" s="13">
        <f t="shared" si="434"/>
        <v>0</v>
      </c>
    </row>
    <row r="435" spans="2:15" outlineLevel="1" x14ac:dyDescent="0.25">
      <c r="B435" s="2" t="s">
        <v>11</v>
      </c>
      <c r="C435" s="2">
        <v>2022</v>
      </c>
      <c r="D435" s="1">
        <v>191337</v>
      </c>
      <c r="E435" s="11">
        <v>15808037</v>
      </c>
      <c r="F435" s="1">
        <v>124766</v>
      </c>
      <c r="G435" s="11">
        <v>9646180</v>
      </c>
      <c r="H435" s="1">
        <v>94288</v>
      </c>
      <c r="I435" s="11">
        <v>14056045</v>
      </c>
      <c r="J435" s="45">
        <v>0</v>
      </c>
      <c r="K435" s="11">
        <v>0</v>
      </c>
      <c r="L435" s="1">
        <f t="shared" si="435"/>
        <v>410391</v>
      </c>
      <c r="M435" s="11">
        <f t="shared" si="435"/>
        <v>39510262</v>
      </c>
      <c r="N435" s="39">
        <f t="shared" si="433"/>
        <v>0</v>
      </c>
      <c r="O435" s="13">
        <f t="shared" si="434"/>
        <v>0</v>
      </c>
    </row>
    <row r="436" spans="2:15" outlineLevel="1" x14ac:dyDescent="0.25">
      <c r="B436" s="2" t="s">
        <v>4</v>
      </c>
      <c r="C436" s="2">
        <v>2022</v>
      </c>
      <c r="D436" s="1">
        <v>201539</v>
      </c>
      <c r="E436" s="11">
        <v>16222742</v>
      </c>
      <c r="F436" s="1">
        <v>134580</v>
      </c>
      <c r="G436" s="11">
        <v>10288582</v>
      </c>
      <c r="H436" s="1">
        <v>105669</v>
      </c>
      <c r="I436" s="11">
        <v>15726413</v>
      </c>
      <c r="J436" s="45">
        <v>0</v>
      </c>
      <c r="K436" s="11">
        <v>0</v>
      </c>
      <c r="L436" s="1">
        <f t="shared" si="435"/>
        <v>441788</v>
      </c>
      <c r="M436" s="11">
        <f t="shared" si="435"/>
        <v>42237737</v>
      </c>
      <c r="N436" s="39">
        <f t="shared" si="433"/>
        <v>0</v>
      </c>
      <c r="O436" s="13">
        <f t="shared" si="434"/>
        <v>0</v>
      </c>
    </row>
    <row r="437" spans="2:15" outlineLevel="1" x14ac:dyDescent="0.25">
      <c r="B437" s="2" t="s">
        <v>28</v>
      </c>
      <c r="C437" s="2">
        <v>2022</v>
      </c>
      <c r="D437" s="1">
        <v>192459</v>
      </c>
      <c r="E437" s="11">
        <v>15138917</v>
      </c>
      <c r="F437" s="1">
        <v>127256</v>
      </c>
      <c r="G437" s="11">
        <v>9716142</v>
      </c>
      <c r="H437" s="1">
        <v>99167</v>
      </c>
      <c r="I437" s="11">
        <v>15063873</v>
      </c>
      <c r="J437" s="45">
        <v>0</v>
      </c>
      <c r="K437" s="11">
        <v>0</v>
      </c>
      <c r="L437" s="1">
        <f t="shared" si="435"/>
        <v>418882</v>
      </c>
      <c r="M437" s="11">
        <f t="shared" si="435"/>
        <v>39918932</v>
      </c>
      <c r="N437" s="39">
        <f t="shared" si="433"/>
        <v>0</v>
      </c>
      <c r="O437" s="13">
        <f t="shared" si="434"/>
        <v>0</v>
      </c>
    </row>
    <row r="438" spans="2:15" outlineLevel="1" x14ac:dyDescent="0.25">
      <c r="B438" s="2" t="s">
        <v>29</v>
      </c>
      <c r="C438" s="2">
        <v>2022</v>
      </c>
      <c r="D438" s="1">
        <v>207874</v>
      </c>
      <c r="E438" s="11">
        <v>16339446</v>
      </c>
      <c r="F438" s="1">
        <v>142092</v>
      </c>
      <c r="G438" s="11">
        <v>10572782</v>
      </c>
      <c r="H438" s="1">
        <v>108468</v>
      </c>
      <c r="I438" s="11">
        <v>16463101</v>
      </c>
      <c r="J438" s="45">
        <v>0</v>
      </c>
      <c r="K438" s="11">
        <v>0</v>
      </c>
      <c r="L438" s="1">
        <f t="shared" si="435"/>
        <v>458434</v>
      </c>
      <c r="M438" s="11">
        <f t="shared" si="435"/>
        <v>43375329</v>
      </c>
      <c r="N438" s="39">
        <f t="shared" si="433"/>
        <v>0</v>
      </c>
      <c r="O438" s="13">
        <f t="shared" si="434"/>
        <v>0</v>
      </c>
    </row>
    <row r="439" spans="2:15" outlineLevel="1" x14ac:dyDescent="0.25">
      <c r="B439" s="2" t="s">
        <v>30</v>
      </c>
      <c r="C439" s="2">
        <v>2022</v>
      </c>
      <c r="D439" s="1">
        <v>200023</v>
      </c>
      <c r="E439" s="11">
        <v>16009873</v>
      </c>
      <c r="F439" s="1">
        <v>137657</v>
      </c>
      <c r="G439" s="11">
        <v>10262134</v>
      </c>
      <c r="H439" s="1">
        <v>107680</v>
      </c>
      <c r="I439" s="11">
        <v>16697377</v>
      </c>
      <c r="J439" s="45">
        <v>0</v>
      </c>
      <c r="K439" s="11">
        <v>0</v>
      </c>
      <c r="L439" s="1">
        <f t="shared" si="435"/>
        <v>445360</v>
      </c>
      <c r="M439" s="11">
        <f t="shared" si="435"/>
        <v>42969384</v>
      </c>
      <c r="N439" s="39">
        <f t="shared" si="433"/>
        <v>0</v>
      </c>
      <c r="O439" s="13">
        <f t="shared" si="434"/>
        <v>0</v>
      </c>
    </row>
    <row r="440" spans="2:15" outlineLevel="1" x14ac:dyDescent="0.25">
      <c r="B440" s="2" t="s">
        <v>31</v>
      </c>
      <c r="C440" s="2">
        <v>2022</v>
      </c>
      <c r="D440" s="1">
        <v>218224</v>
      </c>
      <c r="E440" s="11">
        <v>17473412</v>
      </c>
      <c r="F440" s="1">
        <v>138045</v>
      </c>
      <c r="G440" s="11">
        <v>10406746</v>
      </c>
      <c r="H440" s="1">
        <v>119422</v>
      </c>
      <c r="I440" s="11">
        <v>18781702</v>
      </c>
      <c r="J440" s="1">
        <v>0</v>
      </c>
      <c r="K440" s="11"/>
      <c r="L440" s="1">
        <f t="shared" si="435"/>
        <v>475691</v>
      </c>
      <c r="M440" s="11">
        <f t="shared" si="435"/>
        <v>46661860</v>
      </c>
      <c r="N440" s="39">
        <f t="shared" si="433"/>
        <v>0</v>
      </c>
      <c r="O440" s="13">
        <f t="shared" si="434"/>
        <v>0</v>
      </c>
    </row>
    <row r="441" spans="2:15" outlineLevel="1" x14ac:dyDescent="0.25"/>
    <row r="442" spans="2:15" outlineLevel="1" x14ac:dyDescent="0.25">
      <c r="B442" s="88" t="s">
        <v>12</v>
      </c>
      <c r="C442" s="88"/>
      <c r="D442" s="4">
        <f>SUM(D429:D441)</f>
        <v>2315138</v>
      </c>
      <c r="E442" s="12">
        <f>SUM(E429:E441)</f>
        <v>183838028</v>
      </c>
      <c r="F442" s="4">
        <f t="shared" ref="F442:M442" si="436">SUM(F429:F441)</f>
        <v>1527666</v>
      </c>
      <c r="G442" s="12">
        <f t="shared" si="436"/>
        <v>114706466</v>
      </c>
      <c r="H442" s="4">
        <f t="shared" si="436"/>
        <v>1076797</v>
      </c>
      <c r="I442" s="12">
        <f t="shared" si="436"/>
        <v>161734416</v>
      </c>
      <c r="J442" s="4">
        <f t="shared" si="436"/>
        <v>15</v>
      </c>
      <c r="K442" s="12">
        <f t="shared" si="436"/>
        <v>1234</v>
      </c>
      <c r="L442" s="4">
        <f t="shared" si="436"/>
        <v>4919616</v>
      </c>
      <c r="M442" s="12">
        <f t="shared" si="436"/>
        <v>460280144</v>
      </c>
    </row>
    <row r="443" spans="2:15" outlineLevel="1" x14ac:dyDescent="0.25"/>
    <row r="444" spans="2:15" outlineLevel="1" x14ac:dyDescent="0.25">
      <c r="B444" s="5" t="s">
        <v>14</v>
      </c>
    </row>
    <row r="445" spans="2:15" outlineLevel="1" x14ac:dyDescent="0.25">
      <c r="B445" s="5" t="s">
        <v>79</v>
      </c>
    </row>
    <row r="446" spans="2:15" outlineLevel="1" x14ac:dyDescent="0.25"/>
    <row r="447" spans="2:15" outlineLevel="1" x14ac:dyDescent="0.25">
      <c r="D447" s="89" t="s">
        <v>15</v>
      </c>
      <c r="E447" s="90"/>
      <c r="F447" s="89" t="s">
        <v>72</v>
      </c>
      <c r="G447" s="90"/>
      <c r="H447" s="89" t="s">
        <v>16</v>
      </c>
      <c r="I447" s="90"/>
      <c r="J447" s="89" t="s">
        <v>73</v>
      </c>
      <c r="K447" s="90"/>
      <c r="L447" s="89" t="s">
        <v>70</v>
      </c>
      <c r="M447" s="90"/>
      <c r="N447" s="9"/>
    </row>
    <row r="448" spans="2:15" outlineLevel="1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outlineLevel="1" x14ac:dyDescent="0.25">
      <c r="N449" s="9"/>
    </row>
    <row r="450" spans="2:15" outlineLevel="1" x14ac:dyDescent="0.25">
      <c r="B450" s="2" t="s">
        <v>5</v>
      </c>
      <c r="C450" s="2">
        <v>2022</v>
      </c>
      <c r="D450" s="1">
        <v>0</v>
      </c>
      <c r="E450" s="11">
        <v>0</v>
      </c>
      <c r="F450" s="1">
        <v>0</v>
      </c>
      <c r="G450" s="11">
        <v>0</v>
      </c>
      <c r="H450" s="1">
        <v>0</v>
      </c>
      <c r="I450" s="11">
        <v>0</v>
      </c>
      <c r="J450" s="1">
        <v>0</v>
      </c>
      <c r="K450" s="11">
        <v>0</v>
      </c>
      <c r="L450" s="1">
        <f>+D450+F450+H450+J450</f>
        <v>0</v>
      </c>
      <c r="M450" s="11">
        <f>+E450+G450+I450+K450</f>
        <v>0</v>
      </c>
      <c r="N450" s="39">
        <f t="shared" ref="N450:N461" si="437">+L450-P323</f>
        <v>0</v>
      </c>
      <c r="O450" s="13">
        <f t="shared" ref="O450:O461" si="438">+M450-Q323</f>
        <v>0</v>
      </c>
    </row>
    <row r="451" spans="2:15" outlineLevel="1" x14ac:dyDescent="0.25">
      <c r="B451" s="2" t="s">
        <v>6</v>
      </c>
      <c r="C451" s="2">
        <v>2022</v>
      </c>
      <c r="D451" s="1">
        <v>1945</v>
      </c>
      <c r="E451" s="11">
        <v>207978</v>
      </c>
      <c r="F451" s="1">
        <v>1621</v>
      </c>
      <c r="G451" s="11">
        <v>195116</v>
      </c>
      <c r="H451" s="1">
        <v>822</v>
      </c>
      <c r="I451" s="11">
        <v>78112</v>
      </c>
      <c r="J451" s="1">
        <v>0</v>
      </c>
      <c r="K451" s="11">
        <v>0</v>
      </c>
      <c r="L451" s="1">
        <f t="shared" ref="L451:M461" si="439">+D451+F451+H451+J451</f>
        <v>4388</v>
      </c>
      <c r="M451" s="11">
        <f t="shared" si="439"/>
        <v>481206</v>
      </c>
      <c r="N451" s="39">
        <f t="shared" si="437"/>
        <v>0</v>
      </c>
      <c r="O451" s="13">
        <f t="shared" si="438"/>
        <v>0</v>
      </c>
    </row>
    <row r="452" spans="2:15" outlineLevel="1" x14ac:dyDescent="0.25">
      <c r="B452" s="2" t="s">
        <v>7</v>
      </c>
      <c r="C452" s="2">
        <v>2022</v>
      </c>
      <c r="D452" s="1">
        <v>4427</v>
      </c>
      <c r="E452" s="11">
        <v>536259</v>
      </c>
      <c r="F452" s="1">
        <v>3558</v>
      </c>
      <c r="G452" s="11">
        <v>468994</v>
      </c>
      <c r="H452" s="1">
        <v>1962</v>
      </c>
      <c r="I452" s="11">
        <v>186565</v>
      </c>
      <c r="J452" s="1">
        <v>0</v>
      </c>
      <c r="K452" s="11">
        <v>0</v>
      </c>
      <c r="L452" s="1">
        <f t="shared" si="439"/>
        <v>9947</v>
      </c>
      <c r="M452" s="11">
        <f t="shared" si="439"/>
        <v>1191818</v>
      </c>
      <c r="N452" s="39">
        <f t="shared" si="437"/>
        <v>0</v>
      </c>
      <c r="O452" s="13">
        <f t="shared" si="438"/>
        <v>0</v>
      </c>
    </row>
    <row r="453" spans="2:15" outlineLevel="1" x14ac:dyDescent="0.25">
      <c r="B453" s="2" t="s">
        <v>8</v>
      </c>
      <c r="C453" s="2">
        <v>2022</v>
      </c>
      <c r="D453" s="1">
        <v>4551</v>
      </c>
      <c r="E453" s="11">
        <v>533455</v>
      </c>
      <c r="F453" s="1">
        <v>3617</v>
      </c>
      <c r="G453" s="11">
        <v>456328</v>
      </c>
      <c r="H453" s="1">
        <v>2671</v>
      </c>
      <c r="I453" s="11">
        <v>217199</v>
      </c>
      <c r="J453" s="1">
        <v>0</v>
      </c>
      <c r="K453" s="11">
        <v>0</v>
      </c>
      <c r="L453" s="1">
        <f t="shared" si="439"/>
        <v>10839</v>
      </c>
      <c r="M453" s="11">
        <f t="shared" si="439"/>
        <v>1206982</v>
      </c>
      <c r="N453" s="39">
        <f t="shared" si="437"/>
        <v>0</v>
      </c>
      <c r="O453" s="13">
        <f t="shared" si="438"/>
        <v>0</v>
      </c>
    </row>
    <row r="454" spans="2:15" outlineLevel="1" x14ac:dyDescent="0.25">
      <c r="B454" s="2" t="s">
        <v>9</v>
      </c>
      <c r="C454" s="2">
        <v>2022</v>
      </c>
      <c r="D454" s="1">
        <v>4665</v>
      </c>
      <c r="E454" s="11">
        <v>521836</v>
      </c>
      <c r="F454" s="1">
        <v>4189</v>
      </c>
      <c r="G454" s="11">
        <v>544776</v>
      </c>
      <c r="H454" s="1">
        <v>3801</v>
      </c>
      <c r="I454" s="11">
        <v>260423</v>
      </c>
      <c r="J454" s="1">
        <v>0</v>
      </c>
      <c r="K454" s="11">
        <v>0</v>
      </c>
      <c r="L454" s="1">
        <f t="shared" si="439"/>
        <v>12655</v>
      </c>
      <c r="M454" s="11">
        <f t="shared" si="439"/>
        <v>1327035</v>
      </c>
      <c r="N454" s="39">
        <f t="shared" si="437"/>
        <v>0</v>
      </c>
      <c r="O454" s="13">
        <f t="shared" si="438"/>
        <v>0</v>
      </c>
    </row>
    <row r="455" spans="2:15" outlineLevel="1" x14ac:dyDescent="0.25">
      <c r="B455" s="2" t="s">
        <v>10</v>
      </c>
      <c r="C455" s="2">
        <v>2022</v>
      </c>
      <c r="D455" s="1">
        <v>5232</v>
      </c>
      <c r="E455" s="11">
        <v>599735</v>
      </c>
      <c r="F455" s="1">
        <v>4397</v>
      </c>
      <c r="G455" s="11">
        <v>590975</v>
      </c>
      <c r="H455" s="1">
        <v>4243</v>
      </c>
      <c r="I455" s="11">
        <v>303840</v>
      </c>
      <c r="J455" s="1">
        <v>0</v>
      </c>
      <c r="K455" s="11">
        <v>0</v>
      </c>
      <c r="L455" s="1">
        <f t="shared" si="439"/>
        <v>13872</v>
      </c>
      <c r="M455" s="11">
        <f t="shared" si="439"/>
        <v>1494550</v>
      </c>
      <c r="N455" s="39">
        <f t="shared" si="437"/>
        <v>0</v>
      </c>
      <c r="O455" s="13">
        <f t="shared" si="438"/>
        <v>0</v>
      </c>
    </row>
    <row r="456" spans="2:15" outlineLevel="1" x14ac:dyDescent="0.25">
      <c r="B456" s="2" t="s">
        <v>11</v>
      </c>
      <c r="C456" s="2">
        <v>2022</v>
      </c>
      <c r="D456" s="1">
        <v>6344</v>
      </c>
      <c r="E456" s="11">
        <v>720924</v>
      </c>
      <c r="F456" s="1">
        <v>4647</v>
      </c>
      <c r="G456" s="11">
        <v>632790</v>
      </c>
      <c r="H456" s="1">
        <v>4664</v>
      </c>
      <c r="I456" s="11">
        <v>324495</v>
      </c>
      <c r="J456" s="1">
        <v>0</v>
      </c>
      <c r="K456" s="11">
        <v>0</v>
      </c>
      <c r="L456" s="1">
        <f t="shared" si="439"/>
        <v>15655</v>
      </c>
      <c r="M456" s="11">
        <f t="shared" si="439"/>
        <v>1678209</v>
      </c>
      <c r="N456" s="39">
        <f t="shared" si="437"/>
        <v>0</v>
      </c>
      <c r="O456" s="13">
        <f t="shared" si="438"/>
        <v>0</v>
      </c>
    </row>
    <row r="457" spans="2:15" outlineLevel="1" x14ac:dyDescent="0.25">
      <c r="B457" s="2" t="s">
        <v>4</v>
      </c>
      <c r="C457" s="2">
        <v>2022</v>
      </c>
      <c r="D457" s="1">
        <v>6490</v>
      </c>
      <c r="E457" s="11">
        <v>743375</v>
      </c>
      <c r="F457" s="1">
        <v>5438</v>
      </c>
      <c r="G457" s="11">
        <v>736898</v>
      </c>
      <c r="H457" s="1">
        <v>5536</v>
      </c>
      <c r="I457" s="11">
        <v>428864</v>
      </c>
      <c r="J457" s="1">
        <v>0</v>
      </c>
      <c r="K457" s="11">
        <v>0</v>
      </c>
      <c r="L457" s="1">
        <f t="shared" si="439"/>
        <v>17464</v>
      </c>
      <c r="M457" s="11">
        <f t="shared" si="439"/>
        <v>1909137</v>
      </c>
      <c r="N457" s="39">
        <f t="shared" si="437"/>
        <v>0</v>
      </c>
      <c r="O457" s="13">
        <f t="shared" si="438"/>
        <v>0</v>
      </c>
    </row>
    <row r="458" spans="2:15" outlineLevel="1" x14ac:dyDescent="0.25">
      <c r="B458" s="2" t="s">
        <v>28</v>
      </c>
      <c r="C458" s="2">
        <v>2022</v>
      </c>
      <c r="D458" s="1">
        <v>6149</v>
      </c>
      <c r="E458" s="11">
        <v>720197</v>
      </c>
      <c r="F458" s="1">
        <v>5443</v>
      </c>
      <c r="G458" s="11">
        <v>758350</v>
      </c>
      <c r="H458" s="1">
        <v>5676</v>
      </c>
      <c r="I458" s="11">
        <v>415196</v>
      </c>
      <c r="J458" s="1">
        <v>0</v>
      </c>
      <c r="K458" s="11">
        <v>0</v>
      </c>
      <c r="L458" s="1">
        <f t="shared" si="439"/>
        <v>17268</v>
      </c>
      <c r="M458" s="11">
        <f t="shared" si="439"/>
        <v>1893743</v>
      </c>
      <c r="N458" s="39">
        <f t="shared" si="437"/>
        <v>0</v>
      </c>
      <c r="O458" s="13">
        <f t="shared" si="438"/>
        <v>0</v>
      </c>
    </row>
    <row r="459" spans="2:15" outlineLevel="1" x14ac:dyDescent="0.25">
      <c r="B459" s="2" t="s">
        <v>29</v>
      </c>
      <c r="C459" s="2">
        <v>2022</v>
      </c>
      <c r="D459" s="1">
        <v>6325</v>
      </c>
      <c r="E459" s="11">
        <v>740074</v>
      </c>
      <c r="F459" s="1">
        <v>5630</v>
      </c>
      <c r="G459" s="11">
        <v>773609</v>
      </c>
      <c r="H459" s="1">
        <v>5977</v>
      </c>
      <c r="I459" s="11">
        <v>428159</v>
      </c>
      <c r="J459" s="1">
        <v>0</v>
      </c>
      <c r="K459" s="11">
        <v>0</v>
      </c>
      <c r="L459" s="1">
        <f t="shared" si="439"/>
        <v>17932</v>
      </c>
      <c r="M459" s="11">
        <f t="shared" si="439"/>
        <v>1941842</v>
      </c>
      <c r="N459" s="39">
        <f t="shared" si="437"/>
        <v>0</v>
      </c>
      <c r="O459" s="13">
        <f t="shared" si="438"/>
        <v>0</v>
      </c>
    </row>
    <row r="460" spans="2:15" outlineLevel="1" x14ac:dyDescent="0.25">
      <c r="B460" s="2" t="s">
        <v>30</v>
      </c>
      <c r="C460" s="2">
        <v>2022</v>
      </c>
      <c r="D460" s="1">
        <v>6670</v>
      </c>
      <c r="E460" s="11">
        <v>770169</v>
      </c>
      <c r="F460" s="1">
        <v>5750</v>
      </c>
      <c r="G460" s="11">
        <v>796358</v>
      </c>
      <c r="H460" s="1">
        <v>5778</v>
      </c>
      <c r="I460" s="11">
        <v>410102</v>
      </c>
      <c r="J460" s="1">
        <v>0</v>
      </c>
      <c r="K460" s="11">
        <v>0</v>
      </c>
      <c r="L460" s="1">
        <f t="shared" si="439"/>
        <v>18198</v>
      </c>
      <c r="M460" s="11">
        <f t="shared" si="439"/>
        <v>1976629</v>
      </c>
      <c r="N460" s="39">
        <f t="shared" si="437"/>
        <v>0</v>
      </c>
      <c r="O460" s="13">
        <f t="shared" si="438"/>
        <v>0</v>
      </c>
    </row>
    <row r="461" spans="2:15" outlineLevel="1" x14ac:dyDescent="0.25">
      <c r="B461" s="2" t="s">
        <v>31</v>
      </c>
      <c r="C461" s="2">
        <v>2022</v>
      </c>
      <c r="D461" s="1">
        <v>7369</v>
      </c>
      <c r="E461" s="11">
        <v>854712</v>
      </c>
      <c r="F461" s="1">
        <v>5253</v>
      </c>
      <c r="G461" s="11">
        <v>725071</v>
      </c>
      <c r="H461" s="1">
        <v>6187</v>
      </c>
      <c r="I461" s="11">
        <v>436833</v>
      </c>
      <c r="J461" s="1">
        <v>0</v>
      </c>
      <c r="K461" s="11">
        <v>0</v>
      </c>
      <c r="L461" s="1">
        <f t="shared" si="439"/>
        <v>18809</v>
      </c>
      <c r="M461" s="11">
        <f t="shared" si="439"/>
        <v>2016616</v>
      </c>
      <c r="N461" s="39">
        <f t="shared" si="437"/>
        <v>0</v>
      </c>
      <c r="O461" s="13">
        <f t="shared" si="438"/>
        <v>0</v>
      </c>
    </row>
    <row r="462" spans="2:15" outlineLevel="1" x14ac:dyDescent="0.25"/>
    <row r="463" spans="2:15" outlineLevel="1" x14ac:dyDescent="0.25">
      <c r="B463" s="88" t="s">
        <v>12</v>
      </c>
      <c r="C463" s="88"/>
      <c r="D463" s="4">
        <f>SUM(D450:D462)</f>
        <v>60167</v>
      </c>
      <c r="E463" s="12">
        <f>SUM(E450:E462)</f>
        <v>6948714</v>
      </c>
      <c r="F463" s="4">
        <f t="shared" ref="F463:M463" si="440">SUM(F450:F462)</f>
        <v>49543</v>
      </c>
      <c r="G463" s="12">
        <f t="shared" si="440"/>
        <v>6679265</v>
      </c>
      <c r="H463" s="4">
        <f t="shared" si="440"/>
        <v>47317</v>
      </c>
      <c r="I463" s="12">
        <f t="shared" si="440"/>
        <v>3489788</v>
      </c>
      <c r="J463" s="4">
        <f t="shared" si="440"/>
        <v>0</v>
      </c>
      <c r="K463" s="12">
        <f t="shared" si="440"/>
        <v>0</v>
      </c>
      <c r="L463" s="4">
        <f t="shared" si="440"/>
        <v>157027</v>
      </c>
      <c r="M463" s="12">
        <f t="shared" si="440"/>
        <v>17117767</v>
      </c>
    </row>
    <row r="464" spans="2:15" outlineLevel="1" x14ac:dyDescent="0.25"/>
    <row r="465" spans="2:15" outlineLevel="1" x14ac:dyDescent="0.25">
      <c r="B465" s="5" t="s">
        <v>14</v>
      </c>
    </row>
    <row r="466" spans="2:15" outlineLevel="1" x14ac:dyDescent="0.25">
      <c r="B466" s="5" t="s">
        <v>88</v>
      </c>
    </row>
    <row r="467" spans="2:15" outlineLevel="1" x14ac:dyDescent="0.25"/>
    <row r="468" spans="2:15" outlineLevel="1" x14ac:dyDescent="0.25">
      <c r="D468" s="89" t="s">
        <v>15</v>
      </c>
      <c r="E468" s="90"/>
      <c r="F468" s="89" t="s">
        <v>72</v>
      </c>
      <c r="G468" s="90"/>
      <c r="H468" s="89" t="s">
        <v>16</v>
      </c>
      <c r="I468" s="90"/>
      <c r="J468" s="89" t="s">
        <v>73</v>
      </c>
      <c r="K468" s="90"/>
      <c r="L468" s="89" t="s">
        <v>70</v>
      </c>
      <c r="M468" s="90"/>
      <c r="N468" s="9"/>
    </row>
    <row r="469" spans="2:15" outlineLevel="1" x14ac:dyDescent="0.25">
      <c r="B469" s="7" t="s">
        <v>0</v>
      </c>
      <c r="C469" s="7" t="s">
        <v>1</v>
      </c>
      <c r="D469" s="7" t="s">
        <v>2</v>
      </c>
      <c r="E469" s="10" t="s">
        <v>3</v>
      </c>
      <c r="F469" s="7" t="s">
        <v>2</v>
      </c>
      <c r="G469" s="10" t="s">
        <v>3</v>
      </c>
      <c r="H469" s="7" t="s">
        <v>2</v>
      </c>
      <c r="I469" s="10" t="s">
        <v>3</v>
      </c>
      <c r="J469" s="7" t="s">
        <v>2</v>
      </c>
      <c r="K469" s="10" t="s">
        <v>3</v>
      </c>
      <c r="L469" s="7" t="s">
        <v>2</v>
      </c>
      <c r="M469" s="10" t="s">
        <v>3</v>
      </c>
      <c r="N469" s="9"/>
    </row>
    <row r="470" spans="2:15" outlineLevel="1" x14ac:dyDescent="0.25">
      <c r="N470" s="9"/>
    </row>
    <row r="471" spans="2:15" outlineLevel="1" x14ac:dyDescent="0.25">
      <c r="B471" s="2" t="s">
        <v>5</v>
      </c>
      <c r="C471" s="2">
        <v>2022</v>
      </c>
      <c r="D471" s="1">
        <v>0</v>
      </c>
      <c r="E471" s="11">
        <v>0</v>
      </c>
      <c r="F471" s="1">
        <v>0</v>
      </c>
      <c r="G471" s="11">
        <v>0</v>
      </c>
      <c r="H471" s="1">
        <v>0</v>
      </c>
      <c r="I471" s="11">
        <v>0</v>
      </c>
      <c r="J471" s="1">
        <v>0</v>
      </c>
      <c r="K471" s="11">
        <v>0</v>
      </c>
      <c r="L471" s="1">
        <f>+D471+F471+H471+J471</f>
        <v>0</v>
      </c>
      <c r="M471" s="11">
        <f>+E471+G471+I471+K471</f>
        <v>0</v>
      </c>
      <c r="N471" s="39">
        <f t="shared" ref="N471:N482" si="441">+L471-R323</f>
        <v>0</v>
      </c>
      <c r="O471" s="13">
        <f t="shared" ref="O471:O482" si="442">+M471-S323</f>
        <v>0</v>
      </c>
    </row>
    <row r="472" spans="2:15" outlineLevel="1" x14ac:dyDescent="0.25">
      <c r="B472" s="2" t="s">
        <v>6</v>
      </c>
      <c r="C472" s="2">
        <v>2022</v>
      </c>
      <c r="D472" s="1">
        <v>0</v>
      </c>
      <c r="E472" s="11">
        <v>0</v>
      </c>
      <c r="F472" s="1">
        <v>0</v>
      </c>
      <c r="G472" s="11">
        <v>0</v>
      </c>
      <c r="H472" s="1">
        <v>0</v>
      </c>
      <c r="I472" s="11">
        <v>0</v>
      </c>
      <c r="J472" s="1">
        <v>0</v>
      </c>
      <c r="K472" s="11">
        <v>0</v>
      </c>
      <c r="L472" s="1">
        <f t="shared" ref="L472:L482" si="443">+D472+F472+H472+J472</f>
        <v>0</v>
      </c>
      <c r="M472" s="11">
        <f t="shared" ref="M472:M482" si="444">+E472+G472+I472+K472</f>
        <v>0</v>
      </c>
      <c r="N472" s="39">
        <f t="shared" si="441"/>
        <v>0</v>
      </c>
      <c r="O472" s="13">
        <f t="shared" si="442"/>
        <v>0</v>
      </c>
    </row>
    <row r="473" spans="2:15" outlineLevel="1" x14ac:dyDescent="0.25">
      <c r="B473" s="2" t="s">
        <v>7</v>
      </c>
      <c r="C473" s="2">
        <v>2022</v>
      </c>
      <c r="D473" s="1">
        <v>5098</v>
      </c>
      <c r="E473" s="11">
        <v>317078</v>
      </c>
      <c r="F473" s="1">
        <v>6240</v>
      </c>
      <c r="G473" s="11">
        <v>385811</v>
      </c>
      <c r="H473" s="1">
        <v>614</v>
      </c>
      <c r="I473" s="11">
        <v>45352</v>
      </c>
      <c r="J473" s="1">
        <v>0</v>
      </c>
      <c r="K473" s="11">
        <v>0</v>
      </c>
      <c r="L473" s="1">
        <f t="shared" si="443"/>
        <v>11952</v>
      </c>
      <c r="M473" s="11">
        <f t="shared" si="444"/>
        <v>748241</v>
      </c>
      <c r="N473" s="39">
        <f t="shared" si="441"/>
        <v>0</v>
      </c>
      <c r="O473" s="13">
        <f t="shared" si="442"/>
        <v>0</v>
      </c>
    </row>
    <row r="474" spans="2:15" outlineLevel="1" x14ac:dyDescent="0.25">
      <c r="B474" s="2" t="s">
        <v>8</v>
      </c>
      <c r="C474" s="2">
        <v>2022</v>
      </c>
      <c r="D474" s="1">
        <v>36046</v>
      </c>
      <c r="E474" s="11">
        <v>2215769</v>
      </c>
      <c r="F474" s="1">
        <v>41268</v>
      </c>
      <c r="G474" s="11">
        <v>2551971</v>
      </c>
      <c r="H474" s="1">
        <v>3986</v>
      </c>
      <c r="I474" s="11">
        <v>324078</v>
      </c>
      <c r="J474" s="1">
        <v>0</v>
      </c>
      <c r="K474" s="11">
        <v>0</v>
      </c>
      <c r="L474" s="1">
        <f t="shared" si="443"/>
        <v>81300</v>
      </c>
      <c r="M474" s="11">
        <f t="shared" si="444"/>
        <v>5091818</v>
      </c>
      <c r="N474" s="39">
        <f t="shared" si="441"/>
        <v>0</v>
      </c>
      <c r="O474" s="13">
        <f t="shared" si="442"/>
        <v>0</v>
      </c>
    </row>
    <row r="475" spans="2:15" outlineLevel="1" x14ac:dyDescent="0.25">
      <c r="B475" s="2" t="s">
        <v>9</v>
      </c>
      <c r="C475" s="2">
        <v>2022</v>
      </c>
      <c r="D475" s="1">
        <v>39101</v>
      </c>
      <c r="E475" s="11">
        <v>2354552</v>
      </c>
      <c r="F475" s="1">
        <v>42888</v>
      </c>
      <c r="G475" s="11">
        <v>2638498</v>
      </c>
      <c r="H475" s="1">
        <v>3784</v>
      </c>
      <c r="I475" s="11">
        <v>323271</v>
      </c>
      <c r="J475" s="1">
        <v>0</v>
      </c>
      <c r="K475" s="11">
        <v>0</v>
      </c>
      <c r="L475" s="1">
        <f t="shared" si="443"/>
        <v>85773</v>
      </c>
      <c r="M475" s="11">
        <f t="shared" si="444"/>
        <v>5316321</v>
      </c>
      <c r="N475" s="39">
        <f t="shared" si="441"/>
        <v>0</v>
      </c>
      <c r="O475" s="13">
        <f t="shared" si="442"/>
        <v>0</v>
      </c>
    </row>
    <row r="476" spans="2:15" outlineLevel="1" x14ac:dyDescent="0.25">
      <c r="B476" s="2" t="s">
        <v>10</v>
      </c>
      <c r="C476" s="2">
        <v>2022</v>
      </c>
      <c r="D476" s="1">
        <v>38411</v>
      </c>
      <c r="E476" s="11">
        <v>2392193</v>
      </c>
      <c r="F476" s="1">
        <v>40130</v>
      </c>
      <c r="G476" s="11">
        <v>2488307</v>
      </c>
      <c r="H476" s="1">
        <v>4542</v>
      </c>
      <c r="I476" s="11">
        <v>469075</v>
      </c>
      <c r="J476" s="1">
        <v>0</v>
      </c>
      <c r="K476" s="11">
        <v>0</v>
      </c>
      <c r="L476" s="1">
        <f t="shared" si="443"/>
        <v>83083</v>
      </c>
      <c r="M476" s="11">
        <f t="shared" si="444"/>
        <v>5349575</v>
      </c>
      <c r="N476" s="39">
        <f t="shared" si="441"/>
        <v>0</v>
      </c>
      <c r="O476" s="13">
        <f t="shared" si="442"/>
        <v>0</v>
      </c>
    </row>
    <row r="477" spans="2:15" outlineLevel="1" x14ac:dyDescent="0.25">
      <c r="B477" s="2" t="s">
        <v>11</v>
      </c>
      <c r="C477" s="2">
        <v>2022</v>
      </c>
      <c r="D477" s="1">
        <v>38595</v>
      </c>
      <c r="E477" s="11">
        <v>2539518.5</v>
      </c>
      <c r="F477" s="1">
        <v>38090</v>
      </c>
      <c r="G477" s="11">
        <v>2415748</v>
      </c>
      <c r="H477" s="1">
        <v>7322</v>
      </c>
      <c r="I477" s="11">
        <v>795261</v>
      </c>
      <c r="J477" s="1">
        <v>0</v>
      </c>
      <c r="K477" s="11">
        <v>0</v>
      </c>
      <c r="L477" s="1">
        <f t="shared" si="443"/>
        <v>84007</v>
      </c>
      <c r="M477" s="11">
        <f t="shared" si="444"/>
        <v>5750527.5</v>
      </c>
      <c r="N477" s="39">
        <f t="shared" si="441"/>
        <v>0</v>
      </c>
      <c r="O477" s="13">
        <f t="shared" si="442"/>
        <v>0</v>
      </c>
    </row>
    <row r="478" spans="2:15" outlineLevel="1" x14ac:dyDescent="0.25">
      <c r="B478" s="2" t="s">
        <v>4</v>
      </c>
      <c r="C478" s="2">
        <v>2022</v>
      </c>
      <c r="D478" s="1">
        <v>54061</v>
      </c>
      <c r="E478" s="11">
        <v>3611319.75</v>
      </c>
      <c r="F478" s="1">
        <v>45163</v>
      </c>
      <c r="G478" s="11">
        <v>2897504</v>
      </c>
      <c r="H478" s="1">
        <v>20942</v>
      </c>
      <c r="I478" s="11">
        <v>2387257</v>
      </c>
      <c r="J478" s="1">
        <v>0</v>
      </c>
      <c r="K478" s="11">
        <v>0</v>
      </c>
      <c r="L478" s="1">
        <f t="shared" si="443"/>
        <v>120166</v>
      </c>
      <c r="M478" s="11">
        <f t="shared" si="444"/>
        <v>8896080.75</v>
      </c>
      <c r="N478" s="39">
        <f t="shared" si="441"/>
        <v>0</v>
      </c>
      <c r="O478" s="13">
        <f t="shared" si="442"/>
        <v>0</v>
      </c>
    </row>
    <row r="479" spans="2:15" outlineLevel="1" x14ac:dyDescent="0.25">
      <c r="B479" s="2" t="s">
        <v>28</v>
      </c>
      <c r="C479" s="2">
        <v>2022</v>
      </c>
      <c r="D479" s="1">
        <v>147807</v>
      </c>
      <c r="E479" s="11">
        <v>8225167</v>
      </c>
      <c r="F479" s="1">
        <v>124036</v>
      </c>
      <c r="G479" s="11">
        <v>6900361</v>
      </c>
      <c r="H479" s="1">
        <v>44179</v>
      </c>
      <c r="I479" s="11">
        <v>4569719</v>
      </c>
      <c r="J479" s="1">
        <v>0</v>
      </c>
      <c r="K479" s="11">
        <v>0</v>
      </c>
      <c r="L479" s="1">
        <f t="shared" si="443"/>
        <v>316022</v>
      </c>
      <c r="M479" s="11">
        <f t="shared" si="444"/>
        <v>19695247</v>
      </c>
      <c r="N479" s="39">
        <f t="shared" si="441"/>
        <v>0</v>
      </c>
      <c r="O479" s="13">
        <f t="shared" si="442"/>
        <v>0</v>
      </c>
    </row>
    <row r="480" spans="2:15" outlineLevel="1" x14ac:dyDescent="0.25">
      <c r="B480" s="2" t="s">
        <v>29</v>
      </c>
      <c r="C480" s="2">
        <v>2022</v>
      </c>
      <c r="D480" s="1">
        <v>185254</v>
      </c>
      <c r="E480" s="11">
        <v>10112961</v>
      </c>
      <c r="F480" s="1">
        <v>162217</v>
      </c>
      <c r="G480" s="11">
        <v>8804701</v>
      </c>
      <c r="H480" s="1">
        <v>54089</v>
      </c>
      <c r="I480" s="11">
        <v>5525900</v>
      </c>
      <c r="J480" s="1">
        <v>0</v>
      </c>
      <c r="K480" s="11">
        <v>0</v>
      </c>
      <c r="L480" s="1">
        <f t="shared" si="443"/>
        <v>401560</v>
      </c>
      <c r="M480" s="11">
        <f t="shared" si="444"/>
        <v>24443562</v>
      </c>
      <c r="N480" s="39">
        <f t="shared" si="441"/>
        <v>0</v>
      </c>
      <c r="O480" s="13">
        <f t="shared" si="442"/>
        <v>0</v>
      </c>
    </row>
    <row r="481" spans="2:21" outlineLevel="1" x14ac:dyDescent="0.25">
      <c r="B481" s="2" t="s">
        <v>30</v>
      </c>
      <c r="C481" s="2">
        <v>2022</v>
      </c>
      <c r="D481" s="1">
        <v>176804</v>
      </c>
      <c r="E481" s="11">
        <v>9740043</v>
      </c>
      <c r="F481" s="1">
        <v>159318</v>
      </c>
      <c r="G481" s="11">
        <v>8730971</v>
      </c>
      <c r="H481" s="1">
        <v>55861</v>
      </c>
      <c r="I481" s="11">
        <v>5735442</v>
      </c>
      <c r="J481" s="1">
        <v>0</v>
      </c>
      <c r="K481" s="11">
        <v>0</v>
      </c>
      <c r="L481" s="1">
        <f t="shared" si="443"/>
        <v>391983</v>
      </c>
      <c r="M481" s="11">
        <f t="shared" si="444"/>
        <v>24206456</v>
      </c>
      <c r="N481" s="39">
        <f t="shared" si="441"/>
        <v>0</v>
      </c>
      <c r="O481" s="13">
        <f t="shared" si="442"/>
        <v>0</v>
      </c>
    </row>
    <row r="482" spans="2:21" outlineLevel="1" x14ac:dyDescent="0.25">
      <c r="B482" s="2" t="s">
        <v>31</v>
      </c>
      <c r="C482" s="2">
        <v>2022</v>
      </c>
      <c r="D482" s="1">
        <v>198919</v>
      </c>
      <c r="E482" s="11">
        <v>11517900</v>
      </c>
      <c r="F482" s="1">
        <v>180258</v>
      </c>
      <c r="G482" s="11">
        <v>10081401</v>
      </c>
      <c r="H482" s="1">
        <v>73889</v>
      </c>
      <c r="I482" s="11">
        <v>8810207</v>
      </c>
      <c r="J482" s="1">
        <v>0</v>
      </c>
      <c r="K482" s="11">
        <v>0</v>
      </c>
      <c r="L482" s="1">
        <f t="shared" si="443"/>
        <v>453066</v>
      </c>
      <c r="M482" s="11">
        <f t="shared" si="444"/>
        <v>30409508</v>
      </c>
      <c r="N482" s="39">
        <f t="shared" si="441"/>
        <v>0</v>
      </c>
      <c r="O482" s="13">
        <f t="shared" si="442"/>
        <v>0</v>
      </c>
    </row>
    <row r="483" spans="2:21" outlineLevel="1" x14ac:dyDescent="0.25"/>
    <row r="484" spans="2:21" outlineLevel="1" x14ac:dyDescent="0.25">
      <c r="B484" s="88" t="s">
        <v>12</v>
      </c>
      <c r="C484" s="88"/>
      <c r="D484" s="4">
        <f>SUM(D471:D483)</f>
        <v>920096</v>
      </c>
      <c r="E484" s="12">
        <f>SUM(E471:E483)</f>
        <v>53026501.25</v>
      </c>
      <c r="F484" s="4">
        <f t="shared" ref="F484:M484" si="445">SUM(F471:F483)</f>
        <v>839608</v>
      </c>
      <c r="G484" s="12">
        <f t="shared" si="445"/>
        <v>47895273</v>
      </c>
      <c r="H484" s="4">
        <f t="shared" si="445"/>
        <v>269208</v>
      </c>
      <c r="I484" s="12">
        <f t="shared" si="445"/>
        <v>28985562</v>
      </c>
      <c r="J484" s="4">
        <f t="shared" si="445"/>
        <v>0</v>
      </c>
      <c r="K484" s="12">
        <f t="shared" si="445"/>
        <v>0</v>
      </c>
      <c r="L484" s="4">
        <f t="shared" si="445"/>
        <v>2028912</v>
      </c>
      <c r="M484" s="12">
        <f t="shared" si="445"/>
        <v>129907336.25</v>
      </c>
    </row>
    <row r="485" spans="2:21" outlineLevel="1" x14ac:dyDescent="0.25">
      <c r="P485"/>
      <c r="Q485"/>
      <c r="R485"/>
      <c r="S485"/>
      <c r="U485"/>
    </row>
    <row r="486" spans="2:21" outlineLevel="1" x14ac:dyDescent="0.25">
      <c r="B486" s="5" t="s">
        <v>14</v>
      </c>
      <c r="P486"/>
      <c r="Q486"/>
      <c r="R486"/>
      <c r="S486"/>
      <c r="U486"/>
    </row>
    <row r="487" spans="2:21" outlineLevel="1" x14ac:dyDescent="0.25">
      <c r="B487" s="5" t="s">
        <v>92</v>
      </c>
      <c r="P487"/>
      <c r="Q487"/>
      <c r="R487"/>
      <c r="S487"/>
      <c r="U487"/>
    </row>
    <row r="488" spans="2:21" outlineLevel="1" x14ac:dyDescent="0.25">
      <c r="P488"/>
      <c r="Q488"/>
      <c r="R488"/>
      <c r="S488"/>
      <c r="U488"/>
    </row>
    <row r="489" spans="2:21" outlineLevel="1" x14ac:dyDescent="0.25">
      <c r="D489" s="89" t="s">
        <v>15</v>
      </c>
      <c r="E489" s="90"/>
      <c r="F489" s="89" t="s">
        <v>72</v>
      </c>
      <c r="G489" s="90"/>
      <c r="H489" s="89" t="s">
        <v>16</v>
      </c>
      <c r="I489" s="90"/>
      <c r="J489" s="89" t="s">
        <v>73</v>
      </c>
      <c r="K489" s="90"/>
      <c r="L489" s="89" t="s">
        <v>70</v>
      </c>
      <c r="M489" s="90"/>
      <c r="N489" s="9"/>
      <c r="P489"/>
      <c r="Q489"/>
      <c r="R489"/>
      <c r="S489"/>
      <c r="U489"/>
    </row>
    <row r="490" spans="2:21" outlineLevel="1" x14ac:dyDescent="0.25">
      <c r="B490" s="7" t="s">
        <v>0</v>
      </c>
      <c r="C490" s="7" t="s">
        <v>1</v>
      </c>
      <c r="D490" s="7" t="s">
        <v>2</v>
      </c>
      <c r="E490" s="10" t="s">
        <v>3</v>
      </c>
      <c r="F490" s="7" t="s">
        <v>2</v>
      </c>
      <c r="G490" s="10" t="s">
        <v>3</v>
      </c>
      <c r="H490" s="7" t="s">
        <v>2</v>
      </c>
      <c r="I490" s="10" t="s">
        <v>3</v>
      </c>
      <c r="J490" s="7" t="s">
        <v>2</v>
      </c>
      <c r="K490" s="10" t="s">
        <v>3</v>
      </c>
      <c r="L490" s="7" t="s">
        <v>2</v>
      </c>
      <c r="M490" s="10" t="s">
        <v>3</v>
      </c>
      <c r="N490" s="9"/>
      <c r="P490"/>
      <c r="Q490"/>
      <c r="R490"/>
      <c r="S490"/>
      <c r="U490"/>
    </row>
    <row r="491" spans="2:21" outlineLevel="1" x14ac:dyDescent="0.25">
      <c r="N491" s="9"/>
      <c r="P491"/>
      <c r="Q491"/>
      <c r="R491"/>
      <c r="S491"/>
      <c r="U491"/>
    </row>
    <row r="492" spans="2:21" outlineLevel="1" x14ac:dyDescent="0.25">
      <c r="B492" s="2" t="s">
        <v>5</v>
      </c>
      <c r="C492" s="2">
        <v>2022</v>
      </c>
      <c r="D492" s="1"/>
      <c r="E492" s="11"/>
      <c r="F492" s="1"/>
      <c r="G492" s="11"/>
      <c r="H492" s="1"/>
      <c r="I492" s="11"/>
      <c r="J492" s="1"/>
      <c r="K492" s="11"/>
      <c r="L492" s="1">
        <f>+D492+F492+H492+J492</f>
        <v>0</v>
      </c>
      <c r="M492" s="11">
        <f>+E492+G492+I492+K492</f>
        <v>0</v>
      </c>
      <c r="N492" s="39">
        <f>+L492-J323</f>
        <v>0</v>
      </c>
      <c r="O492" s="13">
        <f t="shared" ref="O492:O503" si="446">+M492-K323</f>
        <v>0</v>
      </c>
      <c r="P492"/>
      <c r="Q492"/>
      <c r="R492"/>
      <c r="S492"/>
      <c r="U492"/>
    </row>
    <row r="493" spans="2:21" outlineLevel="1" x14ac:dyDescent="0.25">
      <c r="B493" s="2" t="s">
        <v>6</v>
      </c>
      <c r="C493" s="2">
        <v>2022</v>
      </c>
      <c r="D493" s="1"/>
      <c r="E493" s="11"/>
      <c r="F493" s="1"/>
      <c r="G493" s="11"/>
      <c r="H493" s="1"/>
      <c r="I493" s="11"/>
      <c r="J493" s="1"/>
      <c r="K493" s="11"/>
      <c r="L493" s="1">
        <f t="shared" ref="L493:L503" si="447">+D493+F493+H493+J493</f>
        <v>0</v>
      </c>
      <c r="M493" s="11">
        <f t="shared" ref="M493:M503" si="448">+E493+G493+I493+K493</f>
        <v>0</v>
      </c>
      <c r="N493" s="39">
        <f t="shared" ref="N493:N503" si="449">+L493-J324</f>
        <v>0</v>
      </c>
      <c r="O493" s="13">
        <f t="shared" si="446"/>
        <v>0</v>
      </c>
      <c r="P493"/>
      <c r="Q493"/>
      <c r="R493"/>
      <c r="S493"/>
      <c r="U493"/>
    </row>
    <row r="494" spans="2:21" outlineLevel="1" x14ac:dyDescent="0.25">
      <c r="B494" s="2" t="s">
        <v>7</v>
      </c>
      <c r="C494" s="2">
        <v>2022</v>
      </c>
      <c r="D494" s="1"/>
      <c r="E494" s="11"/>
      <c r="F494" s="1"/>
      <c r="G494" s="11"/>
      <c r="H494" s="1"/>
      <c r="I494" s="11"/>
      <c r="J494" s="1"/>
      <c r="K494" s="11"/>
      <c r="L494" s="1">
        <f t="shared" si="447"/>
        <v>0</v>
      </c>
      <c r="M494" s="11">
        <f t="shared" si="448"/>
        <v>0</v>
      </c>
      <c r="N494" s="39">
        <f t="shared" si="449"/>
        <v>0</v>
      </c>
      <c r="O494" s="13">
        <f t="shared" si="446"/>
        <v>0</v>
      </c>
      <c r="P494"/>
      <c r="Q494"/>
      <c r="R494"/>
      <c r="S494"/>
      <c r="U494"/>
    </row>
    <row r="495" spans="2:21" outlineLevel="1" x14ac:dyDescent="0.25">
      <c r="B495" s="2" t="s">
        <v>8</v>
      </c>
      <c r="C495" s="2">
        <v>2022</v>
      </c>
      <c r="D495" s="1"/>
      <c r="E495" s="11"/>
      <c r="F495" s="1"/>
      <c r="G495" s="11"/>
      <c r="H495" s="1"/>
      <c r="I495" s="11"/>
      <c r="J495" s="1"/>
      <c r="K495" s="11"/>
      <c r="L495" s="1">
        <f t="shared" si="447"/>
        <v>0</v>
      </c>
      <c r="M495" s="11">
        <f t="shared" si="448"/>
        <v>0</v>
      </c>
      <c r="N495" s="39">
        <f t="shared" si="449"/>
        <v>0</v>
      </c>
      <c r="O495" s="13">
        <f t="shared" si="446"/>
        <v>0</v>
      </c>
      <c r="P495"/>
      <c r="Q495"/>
      <c r="R495"/>
      <c r="S495"/>
      <c r="U495"/>
    </row>
    <row r="496" spans="2:21" outlineLevel="1" x14ac:dyDescent="0.25">
      <c r="B496" s="2" t="s">
        <v>9</v>
      </c>
      <c r="C496" s="2">
        <v>2022</v>
      </c>
      <c r="D496" s="1"/>
      <c r="E496" s="11"/>
      <c r="F496" s="1"/>
      <c r="G496" s="11"/>
      <c r="H496" s="1"/>
      <c r="I496" s="11"/>
      <c r="J496" s="1"/>
      <c r="K496" s="11"/>
      <c r="L496" s="1">
        <f t="shared" si="447"/>
        <v>0</v>
      </c>
      <c r="M496" s="11">
        <f t="shared" si="448"/>
        <v>0</v>
      </c>
      <c r="N496" s="39">
        <f t="shared" si="449"/>
        <v>0</v>
      </c>
      <c r="O496" s="13">
        <f t="shared" si="446"/>
        <v>0</v>
      </c>
      <c r="P496"/>
      <c r="Q496"/>
      <c r="R496"/>
      <c r="S496"/>
      <c r="U496"/>
    </row>
    <row r="497" spans="2:21" outlineLevel="1" x14ac:dyDescent="0.25">
      <c r="B497" s="2" t="s">
        <v>10</v>
      </c>
      <c r="C497" s="2">
        <v>2022</v>
      </c>
      <c r="D497" s="1"/>
      <c r="E497" s="11"/>
      <c r="F497" s="1"/>
      <c r="G497" s="11"/>
      <c r="H497" s="1"/>
      <c r="I497" s="11"/>
      <c r="J497" s="1"/>
      <c r="K497" s="11"/>
      <c r="L497" s="1">
        <f t="shared" si="447"/>
        <v>0</v>
      </c>
      <c r="M497" s="11">
        <f t="shared" si="448"/>
        <v>0</v>
      </c>
      <c r="N497" s="39">
        <f t="shared" si="449"/>
        <v>0</v>
      </c>
      <c r="O497" s="13">
        <f t="shared" si="446"/>
        <v>0</v>
      </c>
      <c r="P497"/>
      <c r="Q497"/>
      <c r="R497"/>
      <c r="S497"/>
      <c r="U497"/>
    </row>
    <row r="498" spans="2:21" outlineLevel="1" x14ac:dyDescent="0.25">
      <c r="B498" s="2" t="s">
        <v>11</v>
      </c>
      <c r="C498" s="2">
        <v>2022</v>
      </c>
      <c r="D498" s="1"/>
      <c r="E498" s="11"/>
      <c r="F498" s="1"/>
      <c r="G498" s="11"/>
      <c r="H498" s="1"/>
      <c r="I498" s="11"/>
      <c r="J498" s="1"/>
      <c r="K498" s="11"/>
      <c r="L498" s="1">
        <f t="shared" si="447"/>
        <v>0</v>
      </c>
      <c r="M498" s="11">
        <f t="shared" si="448"/>
        <v>0</v>
      </c>
      <c r="N498" s="39">
        <f t="shared" si="449"/>
        <v>0</v>
      </c>
      <c r="O498" s="13">
        <f t="shared" si="446"/>
        <v>0</v>
      </c>
      <c r="P498"/>
      <c r="Q498"/>
      <c r="R498"/>
      <c r="S498"/>
      <c r="U498"/>
    </row>
    <row r="499" spans="2:21" outlineLevel="1" x14ac:dyDescent="0.25">
      <c r="B499" s="2" t="s">
        <v>4</v>
      </c>
      <c r="C499" s="2">
        <v>2022</v>
      </c>
      <c r="D499" s="1"/>
      <c r="E499" s="11"/>
      <c r="F499" s="1"/>
      <c r="G499" s="11"/>
      <c r="H499" s="1"/>
      <c r="I499" s="11"/>
      <c r="J499" s="1"/>
      <c r="K499" s="11"/>
      <c r="L499" s="1">
        <f t="shared" si="447"/>
        <v>0</v>
      </c>
      <c r="M499" s="11">
        <f t="shared" si="448"/>
        <v>0</v>
      </c>
      <c r="N499" s="39">
        <f t="shared" si="449"/>
        <v>0</v>
      </c>
      <c r="O499" s="13">
        <f t="shared" si="446"/>
        <v>0</v>
      </c>
      <c r="P499"/>
      <c r="Q499"/>
      <c r="R499"/>
      <c r="S499"/>
      <c r="U499"/>
    </row>
    <row r="500" spans="2:21" outlineLevel="1" x14ac:dyDescent="0.25">
      <c r="B500" s="2" t="s">
        <v>28</v>
      </c>
      <c r="C500" s="2">
        <v>2022</v>
      </c>
      <c r="D500" s="1"/>
      <c r="E500" s="11"/>
      <c r="F500" s="1"/>
      <c r="G500" s="11"/>
      <c r="H500" s="1"/>
      <c r="I500" s="11"/>
      <c r="J500" s="1"/>
      <c r="K500" s="11"/>
      <c r="L500" s="1">
        <f t="shared" si="447"/>
        <v>0</v>
      </c>
      <c r="M500" s="11">
        <f t="shared" si="448"/>
        <v>0</v>
      </c>
      <c r="N500" s="39">
        <f t="shared" si="449"/>
        <v>0</v>
      </c>
      <c r="O500" s="13">
        <f t="shared" si="446"/>
        <v>0</v>
      </c>
      <c r="P500"/>
      <c r="Q500"/>
      <c r="R500"/>
      <c r="S500"/>
      <c r="U500"/>
    </row>
    <row r="501" spans="2:21" outlineLevel="1" x14ac:dyDescent="0.25">
      <c r="B501" s="2" t="s">
        <v>29</v>
      </c>
      <c r="C501" s="2">
        <v>2022</v>
      </c>
      <c r="D501" s="1"/>
      <c r="E501" s="11"/>
      <c r="F501" s="1"/>
      <c r="G501" s="11"/>
      <c r="H501" s="1"/>
      <c r="I501" s="11"/>
      <c r="J501" s="1"/>
      <c r="K501" s="11"/>
      <c r="L501" s="1">
        <f t="shared" si="447"/>
        <v>0</v>
      </c>
      <c r="M501" s="11">
        <f t="shared" si="448"/>
        <v>0</v>
      </c>
      <c r="N501" s="39">
        <f t="shared" si="449"/>
        <v>-118705</v>
      </c>
      <c r="O501" s="13">
        <f t="shared" si="446"/>
        <v>-4615691</v>
      </c>
      <c r="P501"/>
      <c r="Q501"/>
      <c r="R501"/>
      <c r="S501"/>
      <c r="U501"/>
    </row>
    <row r="502" spans="2:21" outlineLevel="1" x14ac:dyDescent="0.25">
      <c r="B502" s="2" t="s">
        <v>30</v>
      </c>
      <c r="C502" s="2">
        <v>2022</v>
      </c>
      <c r="D502" s="1">
        <v>91661</v>
      </c>
      <c r="E502" s="11">
        <v>3900849</v>
      </c>
      <c r="F502" s="1">
        <v>61597</v>
      </c>
      <c r="G502" s="11">
        <v>2587101</v>
      </c>
      <c r="H502" s="1">
        <v>4947</v>
      </c>
      <c r="I502" s="11">
        <v>339511</v>
      </c>
      <c r="J502" s="1">
        <v>0</v>
      </c>
      <c r="K502" s="11">
        <v>0</v>
      </c>
      <c r="L502" s="1">
        <f t="shared" si="447"/>
        <v>158205</v>
      </c>
      <c r="M502" s="11">
        <f t="shared" si="448"/>
        <v>6827461</v>
      </c>
      <c r="N502" s="39">
        <f t="shared" si="449"/>
        <v>0</v>
      </c>
      <c r="O502" s="13">
        <f t="shared" si="446"/>
        <v>0</v>
      </c>
      <c r="P502"/>
      <c r="Q502"/>
      <c r="R502"/>
      <c r="S502"/>
      <c r="U502"/>
    </row>
    <row r="503" spans="2:21" outlineLevel="1" x14ac:dyDescent="0.25">
      <c r="B503" s="2" t="s">
        <v>31</v>
      </c>
      <c r="C503" s="2">
        <v>2022</v>
      </c>
      <c r="D503" s="1">
        <v>90512</v>
      </c>
      <c r="E503" s="11">
        <v>3979574</v>
      </c>
      <c r="F503" s="1">
        <v>66438</v>
      </c>
      <c r="G503" s="11">
        <v>2923456</v>
      </c>
      <c r="H503" s="1">
        <v>5133</v>
      </c>
      <c r="I503" s="11">
        <v>383677</v>
      </c>
      <c r="J503" s="1">
        <v>0</v>
      </c>
      <c r="K503" s="11">
        <v>0</v>
      </c>
      <c r="L503" s="1">
        <f t="shared" si="447"/>
        <v>162083</v>
      </c>
      <c r="M503" s="11">
        <f t="shared" si="448"/>
        <v>7286707</v>
      </c>
      <c r="N503" s="39">
        <f t="shared" si="449"/>
        <v>0</v>
      </c>
      <c r="O503" s="13">
        <f t="shared" si="446"/>
        <v>0</v>
      </c>
      <c r="P503"/>
      <c r="Q503"/>
      <c r="R503"/>
      <c r="S503"/>
      <c r="U503"/>
    </row>
    <row r="504" spans="2:21" outlineLevel="1" x14ac:dyDescent="0.25">
      <c r="P504"/>
      <c r="Q504"/>
      <c r="R504"/>
      <c r="S504"/>
      <c r="U504"/>
    </row>
    <row r="505" spans="2:21" outlineLevel="1" x14ac:dyDescent="0.25">
      <c r="B505" s="88" t="s">
        <v>12</v>
      </c>
      <c r="C505" s="88"/>
      <c r="D505" s="4">
        <f>SUM(D492:D504)</f>
        <v>182173</v>
      </c>
      <c r="E505" s="12">
        <f>SUM(E492:E504)</f>
        <v>7880423</v>
      </c>
      <c r="F505" s="4">
        <f t="shared" ref="F505:M505" si="450">SUM(F492:F504)</f>
        <v>128035</v>
      </c>
      <c r="G505" s="12">
        <f t="shared" si="450"/>
        <v>5510557</v>
      </c>
      <c r="H505" s="4">
        <f t="shared" si="450"/>
        <v>10080</v>
      </c>
      <c r="I505" s="12">
        <f t="shared" si="450"/>
        <v>723188</v>
      </c>
      <c r="J505" s="4">
        <f t="shared" si="450"/>
        <v>0</v>
      </c>
      <c r="K505" s="12">
        <f t="shared" si="450"/>
        <v>0</v>
      </c>
      <c r="L505" s="4">
        <f t="shared" si="450"/>
        <v>320288</v>
      </c>
      <c r="M505" s="12">
        <f t="shared" si="450"/>
        <v>14114168</v>
      </c>
      <c r="P505"/>
      <c r="Q505"/>
      <c r="R505"/>
      <c r="S505"/>
      <c r="U505"/>
    </row>
    <row r="507" spans="2:21" x14ac:dyDescent="0.25">
      <c r="B507" s="5" t="s">
        <v>14</v>
      </c>
    </row>
    <row r="508" spans="2:21" x14ac:dyDescent="0.25">
      <c r="B508" s="5" t="s">
        <v>83</v>
      </c>
    </row>
    <row r="510" spans="2:21" x14ac:dyDescent="0.25">
      <c r="D510" s="89" t="s">
        <v>15</v>
      </c>
      <c r="E510" s="90"/>
      <c r="F510" s="89" t="s">
        <v>72</v>
      </c>
      <c r="G510" s="90"/>
      <c r="H510" s="89" t="s">
        <v>16</v>
      </c>
      <c r="I510" s="90"/>
      <c r="J510" s="89" t="s">
        <v>73</v>
      </c>
      <c r="K510" s="90"/>
      <c r="L510" s="89" t="s">
        <v>70</v>
      </c>
      <c r="M510" s="90"/>
      <c r="N510" s="9"/>
    </row>
    <row r="511" spans="2:21" x14ac:dyDescent="0.25">
      <c r="B511" s="7" t="s">
        <v>0</v>
      </c>
      <c r="C511" s="7" t="s">
        <v>1</v>
      </c>
      <c r="D511" s="7" t="s">
        <v>2</v>
      </c>
      <c r="E511" s="10" t="s">
        <v>3</v>
      </c>
      <c r="F511" s="7" t="s">
        <v>2</v>
      </c>
      <c r="G511" s="10" t="s">
        <v>3</v>
      </c>
      <c r="H511" s="7" t="s">
        <v>2</v>
      </c>
      <c r="I511" s="10" t="s">
        <v>3</v>
      </c>
      <c r="J511" s="7" t="s">
        <v>2</v>
      </c>
      <c r="K511" s="10" t="s">
        <v>3</v>
      </c>
      <c r="L511" s="7" t="s">
        <v>2</v>
      </c>
      <c r="M511" s="10" t="s">
        <v>3</v>
      </c>
      <c r="N511" s="9"/>
    </row>
    <row r="512" spans="2:21" x14ac:dyDescent="0.25">
      <c r="N512" s="9"/>
    </row>
    <row r="513" spans="2:15" x14ac:dyDescent="0.25">
      <c r="B513" s="2" t="s">
        <v>5</v>
      </c>
      <c r="C513" s="2">
        <v>2022</v>
      </c>
      <c r="D513" s="1">
        <f>+D450+D429+D408+D387+D366+D345+D471+D492</f>
        <v>1506268</v>
      </c>
      <c r="E513" s="11">
        <f t="shared" ref="E513:K513" si="451">+E450+E429+E408+E387+E366+E345+E471+E492</f>
        <v>153896917.28</v>
      </c>
      <c r="F513" s="1">
        <f t="shared" si="451"/>
        <v>777516</v>
      </c>
      <c r="G513" s="11">
        <f t="shared" si="451"/>
        <v>80178340.359999999</v>
      </c>
      <c r="H513" s="1">
        <f t="shared" si="451"/>
        <v>447959</v>
      </c>
      <c r="I513" s="11">
        <f t="shared" si="451"/>
        <v>73981275.379999995</v>
      </c>
      <c r="J513" s="1">
        <f t="shared" si="451"/>
        <v>20</v>
      </c>
      <c r="K513" s="11">
        <f t="shared" si="451"/>
        <v>1799.67</v>
      </c>
      <c r="L513" s="1">
        <f>+D513+F513+H513+J513</f>
        <v>2731763</v>
      </c>
      <c r="M513" s="11">
        <f>+E513+G513+I513+K513</f>
        <v>308058332.69</v>
      </c>
      <c r="N513" s="39">
        <f t="shared" ref="N513:N524" si="452">+L513-T323</f>
        <v>0</v>
      </c>
      <c r="O513" s="13">
        <f t="shared" ref="O513:O524" si="453">+M513-U323</f>
        <v>0</v>
      </c>
    </row>
    <row r="514" spans="2:15" x14ac:dyDescent="0.25">
      <c r="B514" s="2" t="s">
        <v>6</v>
      </c>
      <c r="C514" s="2">
        <v>2022</v>
      </c>
      <c r="D514" s="1">
        <f t="shared" ref="D514:K514" si="454">+D451+D430+D409+D388+D367+D346+D472+D493</f>
        <v>1459364</v>
      </c>
      <c r="E514" s="11">
        <f t="shared" si="454"/>
        <v>148212057.42000002</v>
      </c>
      <c r="F514" s="1">
        <f t="shared" si="454"/>
        <v>806762</v>
      </c>
      <c r="G514" s="11">
        <f t="shared" si="454"/>
        <v>81788240.090000004</v>
      </c>
      <c r="H514" s="1">
        <f t="shared" si="454"/>
        <v>357598</v>
      </c>
      <c r="I514" s="11">
        <f t="shared" si="454"/>
        <v>59821104.890000001</v>
      </c>
      <c r="J514" s="1">
        <f t="shared" si="454"/>
        <v>21</v>
      </c>
      <c r="K514" s="11">
        <f t="shared" si="454"/>
        <v>1627.77</v>
      </c>
      <c r="L514" s="1">
        <f t="shared" ref="L514:M524" si="455">+D514+F514+H514+J514</f>
        <v>2623745</v>
      </c>
      <c r="M514" s="11">
        <f t="shared" si="455"/>
        <v>289823030.17000002</v>
      </c>
      <c r="N514" s="39">
        <f t="shared" si="452"/>
        <v>0</v>
      </c>
      <c r="O514" s="13">
        <f t="shared" si="453"/>
        <v>0</v>
      </c>
    </row>
    <row r="515" spans="2:15" x14ac:dyDescent="0.25">
      <c r="B515" s="2" t="s">
        <v>7</v>
      </c>
      <c r="C515" s="2">
        <v>2022</v>
      </c>
      <c r="D515" s="1">
        <f t="shared" ref="D515:K515" si="456">+D452+D431+D410+D389+D368+D347+D473+D494</f>
        <v>1745293</v>
      </c>
      <c r="E515" s="11">
        <f t="shared" si="456"/>
        <v>178077630.06</v>
      </c>
      <c r="F515" s="1">
        <f t="shared" si="456"/>
        <v>999028</v>
      </c>
      <c r="G515" s="11">
        <f t="shared" si="456"/>
        <v>102160643.98</v>
      </c>
      <c r="H515" s="1">
        <f t="shared" si="456"/>
        <v>445588</v>
      </c>
      <c r="I515" s="11">
        <f t="shared" si="456"/>
        <v>77552061.840000004</v>
      </c>
      <c r="J515" s="1">
        <f t="shared" si="456"/>
        <v>30</v>
      </c>
      <c r="K515" s="11">
        <f t="shared" si="456"/>
        <v>2570</v>
      </c>
      <c r="L515" s="1">
        <f t="shared" si="455"/>
        <v>3189939</v>
      </c>
      <c r="M515" s="11">
        <f t="shared" si="455"/>
        <v>357792905.88</v>
      </c>
      <c r="N515" s="39">
        <f t="shared" si="452"/>
        <v>0</v>
      </c>
      <c r="O515" s="13">
        <f t="shared" si="453"/>
        <v>0</v>
      </c>
    </row>
    <row r="516" spans="2:15" x14ac:dyDescent="0.25">
      <c r="B516" s="2" t="s">
        <v>8</v>
      </c>
      <c r="C516" s="2">
        <v>2022</v>
      </c>
      <c r="D516" s="1">
        <f t="shared" ref="D516:K516" si="457">+D453+D432+D411+D390+D369+D348+D474+D495</f>
        <v>1809328</v>
      </c>
      <c r="E516" s="11">
        <f t="shared" si="457"/>
        <v>186218866.13</v>
      </c>
      <c r="F516" s="1">
        <f t="shared" si="457"/>
        <v>965985</v>
      </c>
      <c r="G516" s="11">
        <f t="shared" si="457"/>
        <v>100003386.20999999</v>
      </c>
      <c r="H516" s="1">
        <f t="shared" si="457"/>
        <v>579803</v>
      </c>
      <c r="I516" s="11">
        <f t="shared" si="457"/>
        <v>105418263.79000001</v>
      </c>
      <c r="J516" s="1">
        <f t="shared" si="457"/>
        <v>14</v>
      </c>
      <c r="K516" s="11">
        <f t="shared" si="457"/>
        <v>1112</v>
      </c>
      <c r="L516" s="1">
        <f t="shared" si="455"/>
        <v>3355130</v>
      </c>
      <c r="M516" s="11">
        <f t="shared" si="455"/>
        <v>391641628.13</v>
      </c>
      <c r="N516" s="39">
        <f t="shared" si="452"/>
        <v>0</v>
      </c>
      <c r="O516" s="13">
        <f t="shared" si="453"/>
        <v>0</v>
      </c>
    </row>
    <row r="517" spans="2:15" x14ac:dyDescent="0.25">
      <c r="B517" s="2" t="s">
        <v>9</v>
      </c>
      <c r="C517" s="2">
        <v>2022</v>
      </c>
      <c r="D517" s="1">
        <f t="shared" ref="D517:K517" si="458">+D454+D433+D412+D391+D370+D349+D475+D496</f>
        <v>1778871</v>
      </c>
      <c r="E517" s="11">
        <f t="shared" si="458"/>
        <v>185971435.66</v>
      </c>
      <c r="F517" s="1">
        <f t="shared" si="458"/>
        <v>1013453</v>
      </c>
      <c r="G517" s="11">
        <f t="shared" si="458"/>
        <v>106249534.98999999</v>
      </c>
      <c r="H517" s="1">
        <f t="shared" si="458"/>
        <v>664200</v>
      </c>
      <c r="I517" s="11">
        <f t="shared" si="458"/>
        <v>122295297.98</v>
      </c>
      <c r="J517" s="1">
        <f t="shared" si="458"/>
        <v>21</v>
      </c>
      <c r="K517" s="11">
        <f t="shared" si="458"/>
        <v>2025</v>
      </c>
      <c r="L517" s="1">
        <f t="shared" si="455"/>
        <v>3456545</v>
      </c>
      <c r="M517" s="11">
        <f t="shared" si="455"/>
        <v>414518293.63</v>
      </c>
      <c r="N517" s="39">
        <f t="shared" si="452"/>
        <v>0</v>
      </c>
      <c r="O517" s="13">
        <f t="shared" si="453"/>
        <v>0</v>
      </c>
    </row>
    <row r="518" spans="2:15" x14ac:dyDescent="0.25">
      <c r="B518" s="2" t="s">
        <v>10</v>
      </c>
      <c r="C518" s="2">
        <v>2022</v>
      </c>
      <c r="D518" s="1">
        <f t="shared" ref="D518:K518" si="459">+D455+D434+D413+D392+D371+D350+D476+D497</f>
        <v>1674429</v>
      </c>
      <c r="E518" s="11">
        <f t="shared" si="459"/>
        <v>177696833.05000001</v>
      </c>
      <c r="F518" s="1">
        <f t="shared" si="459"/>
        <v>953907</v>
      </c>
      <c r="G518" s="11">
        <f t="shared" si="459"/>
        <v>104213623.63</v>
      </c>
      <c r="H518" s="1">
        <f t="shared" si="459"/>
        <v>704377</v>
      </c>
      <c r="I518" s="11">
        <f t="shared" si="459"/>
        <v>127270356.81999999</v>
      </c>
      <c r="J518" s="1">
        <f t="shared" si="459"/>
        <v>12</v>
      </c>
      <c r="K518" s="11">
        <f t="shared" si="459"/>
        <v>636.45000000000005</v>
      </c>
      <c r="L518" s="1">
        <f t="shared" si="455"/>
        <v>3332725</v>
      </c>
      <c r="M518" s="11">
        <f t="shared" si="455"/>
        <v>409181449.94999999</v>
      </c>
      <c r="N518" s="39">
        <f t="shared" si="452"/>
        <v>0</v>
      </c>
      <c r="O518" s="13">
        <f t="shared" si="453"/>
        <v>0</v>
      </c>
    </row>
    <row r="519" spans="2:15" x14ac:dyDescent="0.25">
      <c r="B519" s="2" t="s">
        <v>11</v>
      </c>
      <c r="C519" s="2">
        <v>2022</v>
      </c>
      <c r="D519" s="1">
        <f t="shared" ref="D519:K519" si="460">+D456+D435+D414+D393+D372+D351+D477+D498</f>
        <v>1721521</v>
      </c>
      <c r="E519" s="11">
        <f t="shared" si="460"/>
        <v>186756617.31</v>
      </c>
      <c r="F519" s="1">
        <f t="shared" si="460"/>
        <v>950725</v>
      </c>
      <c r="G519" s="11">
        <f t="shared" si="460"/>
        <v>106157168.03</v>
      </c>
      <c r="H519" s="1">
        <f t="shared" si="460"/>
        <v>796922</v>
      </c>
      <c r="I519" s="11">
        <f t="shared" si="460"/>
        <v>144561867.90000001</v>
      </c>
      <c r="J519" s="1">
        <f t="shared" si="460"/>
        <v>0</v>
      </c>
      <c r="K519" s="11">
        <f t="shared" si="460"/>
        <v>0</v>
      </c>
      <c r="L519" s="1">
        <f t="shared" si="455"/>
        <v>3469168</v>
      </c>
      <c r="M519" s="11">
        <f t="shared" si="455"/>
        <v>437475653.24000001</v>
      </c>
      <c r="N519" s="39">
        <f t="shared" si="452"/>
        <v>0</v>
      </c>
      <c r="O519" s="13">
        <f t="shared" si="453"/>
        <v>0</v>
      </c>
    </row>
    <row r="520" spans="2:15" x14ac:dyDescent="0.25">
      <c r="B520" s="2" t="s">
        <v>4</v>
      </c>
      <c r="C520" s="2">
        <v>2022</v>
      </c>
      <c r="D520" s="1">
        <f t="shared" ref="D520:K520" si="461">+D457+D436+D415+D394+D373+D352+D478+D499</f>
        <v>1825693</v>
      </c>
      <c r="E520" s="11">
        <f t="shared" si="461"/>
        <v>192106744.62</v>
      </c>
      <c r="F520" s="1">
        <f t="shared" si="461"/>
        <v>1009796</v>
      </c>
      <c r="G520" s="11">
        <f t="shared" si="461"/>
        <v>110625974.75</v>
      </c>
      <c r="H520" s="1">
        <f t="shared" si="461"/>
        <v>936187</v>
      </c>
      <c r="I520" s="11">
        <f t="shared" si="461"/>
        <v>169080407.72</v>
      </c>
      <c r="J520" s="1">
        <f t="shared" si="461"/>
        <v>0</v>
      </c>
      <c r="K520" s="11">
        <f t="shared" si="461"/>
        <v>0</v>
      </c>
      <c r="L520" s="1">
        <f t="shared" si="455"/>
        <v>3771676</v>
      </c>
      <c r="M520" s="11">
        <f t="shared" si="455"/>
        <v>471813127.09000003</v>
      </c>
      <c r="N520" s="39">
        <f t="shared" si="452"/>
        <v>0</v>
      </c>
      <c r="O520" s="13">
        <f t="shared" si="453"/>
        <v>0</v>
      </c>
    </row>
    <row r="521" spans="2:15" x14ac:dyDescent="0.25">
      <c r="B521" s="2" t="s">
        <v>28</v>
      </c>
      <c r="C521" s="2">
        <v>2022</v>
      </c>
      <c r="D521" s="1">
        <f t="shared" ref="D521:K521" si="462">+D458+D437+D416+D395+D374+D353+D479+D500</f>
        <v>1713472</v>
      </c>
      <c r="E521" s="11">
        <f t="shared" si="462"/>
        <v>177919906.03</v>
      </c>
      <c r="F521" s="1">
        <f t="shared" si="462"/>
        <v>955411</v>
      </c>
      <c r="G521" s="11">
        <f t="shared" si="462"/>
        <v>103051215.59999999</v>
      </c>
      <c r="H521" s="1">
        <f t="shared" si="462"/>
        <v>945985</v>
      </c>
      <c r="I521" s="11">
        <f t="shared" si="462"/>
        <v>169849086.71000001</v>
      </c>
      <c r="J521" s="1">
        <f t="shared" si="462"/>
        <v>0</v>
      </c>
      <c r="K521" s="11">
        <f t="shared" si="462"/>
        <v>0</v>
      </c>
      <c r="L521" s="1">
        <f t="shared" si="455"/>
        <v>3614868</v>
      </c>
      <c r="M521" s="11">
        <f t="shared" si="455"/>
        <v>450820208.34000003</v>
      </c>
      <c r="N521" s="39">
        <f t="shared" si="452"/>
        <v>0</v>
      </c>
      <c r="O521" s="13">
        <f t="shared" si="453"/>
        <v>0</v>
      </c>
    </row>
    <row r="522" spans="2:15" x14ac:dyDescent="0.25">
      <c r="B522" s="2" t="s">
        <v>29</v>
      </c>
      <c r="C522" s="2">
        <v>2022</v>
      </c>
      <c r="D522" s="1">
        <f t="shared" ref="D522:K522" si="463">+D459+D438+D417+D396+D375+D354+D480+D501</f>
        <v>1810150</v>
      </c>
      <c r="E522" s="11">
        <f t="shared" si="463"/>
        <v>192686785.21000001</v>
      </c>
      <c r="F522" s="1">
        <f t="shared" si="463"/>
        <v>1037262</v>
      </c>
      <c r="G522" s="11">
        <f t="shared" si="463"/>
        <v>114708145.94</v>
      </c>
      <c r="H522" s="1">
        <f t="shared" si="463"/>
        <v>1127756</v>
      </c>
      <c r="I522" s="11">
        <f t="shared" si="463"/>
        <v>206148652.88999999</v>
      </c>
      <c r="J522" s="1">
        <f t="shared" si="463"/>
        <v>0</v>
      </c>
      <c r="K522" s="11">
        <f t="shared" si="463"/>
        <v>0</v>
      </c>
      <c r="L522" s="1">
        <f t="shared" si="455"/>
        <v>3975168</v>
      </c>
      <c r="M522" s="11">
        <f t="shared" si="455"/>
        <v>513543584.03999996</v>
      </c>
      <c r="N522" s="39">
        <f t="shared" si="452"/>
        <v>-118705</v>
      </c>
      <c r="O522" s="13">
        <f t="shared" si="453"/>
        <v>-4615691.0000000596</v>
      </c>
    </row>
    <row r="523" spans="2:15" x14ac:dyDescent="0.25">
      <c r="B523" s="2" t="s">
        <v>30</v>
      </c>
      <c r="C523" s="2">
        <v>2022</v>
      </c>
      <c r="D523" s="1">
        <f t="shared" ref="D523:K523" si="464">+D460+D439+D418+D397+D376+D355+D481+D502</f>
        <v>1854750</v>
      </c>
      <c r="E523" s="11">
        <f t="shared" si="464"/>
        <v>196752013.38999999</v>
      </c>
      <c r="F523" s="1">
        <f t="shared" si="464"/>
        <v>1062071</v>
      </c>
      <c r="G523" s="11">
        <f t="shared" si="464"/>
        <v>116241310.83</v>
      </c>
      <c r="H523" s="1">
        <f t="shared" si="464"/>
        <v>1168718</v>
      </c>
      <c r="I523" s="11">
        <f t="shared" si="464"/>
        <v>213881543.02000001</v>
      </c>
      <c r="J523" s="1">
        <f t="shared" si="464"/>
        <v>0</v>
      </c>
      <c r="K523" s="11">
        <f t="shared" si="464"/>
        <v>0</v>
      </c>
      <c r="L523" s="1">
        <f t="shared" si="455"/>
        <v>4085539</v>
      </c>
      <c r="M523" s="11">
        <f t="shared" si="455"/>
        <v>526874867.24000001</v>
      </c>
      <c r="N523" s="39">
        <f t="shared" si="452"/>
        <v>0</v>
      </c>
      <c r="O523" s="13">
        <f t="shared" si="453"/>
        <v>0</v>
      </c>
    </row>
    <row r="524" spans="2:15" x14ac:dyDescent="0.25">
      <c r="B524" s="2" t="s">
        <v>31</v>
      </c>
      <c r="C524" s="2">
        <v>2022</v>
      </c>
      <c r="D524" s="1">
        <f t="shared" ref="D524:K524" si="465">+D461+D440+D419+D398+D377+D356+D482+D503</f>
        <v>2090161</v>
      </c>
      <c r="E524" s="11">
        <f t="shared" si="465"/>
        <v>224691065.22</v>
      </c>
      <c r="F524" s="1">
        <f t="shared" si="465"/>
        <v>1117408</v>
      </c>
      <c r="G524" s="11">
        <f t="shared" si="465"/>
        <v>122395781.03999999</v>
      </c>
      <c r="H524" s="1">
        <f t="shared" si="465"/>
        <v>1342573</v>
      </c>
      <c r="I524" s="11">
        <f t="shared" si="465"/>
        <v>251816441.00999999</v>
      </c>
      <c r="J524" s="1">
        <f t="shared" si="465"/>
        <v>0</v>
      </c>
      <c r="K524" s="11">
        <f t="shared" si="465"/>
        <v>0</v>
      </c>
      <c r="L524" s="1">
        <f t="shared" si="455"/>
        <v>4550142</v>
      </c>
      <c r="M524" s="11">
        <f t="shared" si="455"/>
        <v>598903287.26999998</v>
      </c>
      <c r="N524" s="39">
        <f t="shared" si="452"/>
        <v>0</v>
      </c>
      <c r="O524" s="13">
        <f t="shared" si="453"/>
        <v>0</v>
      </c>
    </row>
    <row r="526" spans="2:15" x14ac:dyDescent="0.25">
      <c r="B526" s="88" t="s">
        <v>12</v>
      </c>
      <c r="C526" s="88"/>
      <c r="D526" s="4">
        <f>SUM(D513:D525)</f>
        <v>20989300</v>
      </c>
      <c r="E526" s="12">
        <f>SUM(E513:E525)</f>
        <v>2200986871.3800001</v>
      </c>
      <c r="F526" s="4">
        <f t="shared" ref="F526:M526" si="466">SUM(F513:F525)</f>
        <v>11649324</v>
      </c>
      <c r="G526" s="12">
        <f t="shared" si="466"/>
        <v>1247773365.4499998</v>
      </c>
      <c r="H526" s="4">
        <f t="shared" si="466"/>
        <v>9517666</v>
      </c>
      <c r="I526" s="12">
        <f t="shared" si="466"/>
        <v>1721676359.95</v>
      </c>
      <c r="J526" s="4">
        <f t="shared" si="466"/>
        <v>118</v>
      </c>
      <c r="K526" s="12">
        <f t="shared" si="466"/>
        <v>9770.8900000000012</v>
      </c>
      <c r="L526" s="4">
        <f t="shared" si="466"/>
        <v>42156408</v>
      </c>
      <c r="M526" s="12">
        <f t="shared" si="466"/>
        <v>5170446367.6700001</v>
      </c>
    </row>
    <row r="527" spans="2:15" x14ac:dyDescent="0.25">
      <c r="E527" s="29">
        <f>E526/$M$526</f>
        <v>0.42568604620723466</v>
      </c>
      <c r="G527" s="29">
        <f>G526/$M$526</f>
        <v>0.24132797764853212</v>
      </c>
      <c r="I527" s="29">
        <f>I526/$M$526</f>
        <v>0.33298408638669486</v>
      </c>
      <c r="K527" s="29">
        <f>K526/$M$526</f>
        <v>1.8897575383618449E-6</v>
      </c>
    </row>
    <row r="528" spans="2:15" x14ac:dyDescent="0.25">
      <c r="F528"/>
      <c r="G528"/>
      <c r="I528"/>
      <c r="K528"/>
      <c r="L528" s="39">
        <f>+L526+V315</f>
        <v>184143993</v>
      </c>
      <c r="M528" s="39">
        <f>+M526+W315</f>
        <v>15990619323.870001</v>
      </c>
    </row>
    <row r="529" spans="4:13" x14ac:dyDescent="0.25">
      <c r="F529"/>
      <c r="G529"/>
      <c r="I529"/>
      <c r="K529"/>
      <c r="M529"/>
    </row>
    <row r="533" spans="4:13" x14ac:dyDescent="0.25">
      <c r="D533" s="39"/>
      <c r="I533"/>
      <c r="K533"/>
      <c r="M533"/>
    </row>
    <row r="534" spans="4:13" x14ac:dyDescent="0.25">
      <c r="D534" s="39"/>
      <c r="I534"/>
      <c r="K534"/>
      <c r="M534"/>
    </row>
    <row r="535" spans="4:13" x14ac:dyDescent="0.25">
      <c r="D535" s="39"/>
    </row>
    <row r="538" spans="4:13" x14ac:dyDescent="0.25">
      <c r="D538" s="39"/>
    </row>
    <row r="539" spans="4:13" x14ac:dyDescent="0.25">
      <c r="D539" s="39"/>
    </row>
    <row r="540" spans="4:13" x14ac:dyDescent="0.25">
      <c r="D540" s="39"/>
    </row>
    <row r="541" spans="4:13" x14ac:dyDescent="0.25">
      <c r="D541" s="39"/>
    </row>
    <row r="542" spans="4:13" x14ac:dyDescent="0.25">
      <c r="D542" s="39"/>
    </row>
    <row r="543" spans="4:13" x14ac:dyDescent="0.25">
      <c r="D543" s="39"/>
      <c r="F543" s="29"/>
      <c r="G543" s="29"/>
    </row>
    <row r="544" spans="4:13" x14ac:dyDescent="0.25">
      <c r="D544" s="39"/>
      <c r="F544" s="29"/>
      <c r="G544" s="29"/>
    </row>
    <row r="545" spans="4:7" x14ac:dyDescent="0.25">
      <c r="D545" s="39"/>
      <c r="F545" s="29"/>
      <c r="G545" s="29"/>
    </row>
    <row r="546" spans="4:7" x14ac:dyDescent="0.25">
      <c r="D546" s="39"/>
      <c r="F546" s="29"/>
      <c r="G546" s="29"/>
    </row>
    <row r="547" spans="4:7" x14ac:dyDescent="0.25">
      <c r="D547" s="39"/>
      <c r="F547" s="29"/>
      <c r="G547" s="29"/>
    </row>
    <row r="550" spans="4:7" x14ac:dyDescent="0.25">
      <c r="E550" s="63"/>
    </row>
    <row r="552" spans="4:7" x14ac:dyDescent="0.25">
      <c r="D552" s="39"/>
    </row>
    <row r="554" spans="4:7" x14ac:dyDescent="0.25">
      <c r="E554" s="63"/>
    </row>
  </sheetData>
  <autoFilter ref="B6:AW315" xr:uid="{B451D573-9096-420B-A1A1-725F012128A0}"/>
  <mergeCells count="305">
    <mergeCell ref="AQ194:AR194"/>
    <mergeCell ref="AQ215:AR215"/>
    <mergeCell ref="AQ236:AR236"/>
    <mergeCell ref="AQ257:AR257"/>
    <mergeCell ref="AQ299:AR299"/>
    <mergeCell ref="AQ5:AR5"/>
    <mergeCell ref="AQ26:AR26"/>
    <mergeCell ref="AQ47:AR47"/>
    <mergeCell ref="AQ68:AR68"/>
    <mergeCell ref="AQ89:AR89"/>
    <mergeCell ref="AQ110:AR110"/>
    <mergeCell ref="AQ131:AR131"/>
    <mergeCell ref="AQ152:AR152"/>
    <mergeCell ref="AQ173:AR173"/>
    <mergeCell ref="R194:S194"/>
    <mergeCell ref="R215:S215"/>
    <mergeCell ref="R236:S236"/>
    <mergeCell ref="R257:S257"/>
    <mergeCell ref="R299:S299"/>
    <mergeCell ref="R320:S320"/>
    <mergeCell ref="D468:E468"/>
    <mergeCell ref="F468:G468"/>
    <mergeCell ref="H468:I468"/>
    <mergeCell ref="J468:K468"/>
    <mergeCell ref="L468:M468"/>
    <mergeCell ref="D342:E342"/>
    <mergeCell ref="F342:G342"/>
    <mergeCell ref="H342:I342"/>
    <mergeCell ref="J342:K342"/>
    <mergeCell ref="L342:M342"/>
    <mergeCell ref="D257:E257"/>
    <mergeCell ref="F257:G257"/>
    <mergeCell ref="H257:I257"/>
    <mergeCell ref="J257:K257"/>
    <mergeCell ref="L257:M257"/>
    <mergeCell ref="N257:O257"/>
    <mergeCell ref="P257:Q257"/>
    <mergeCell ref="D278:E278"/>
    <mergeCell ref="R5:S5"/>
    <mergeCell ref="R26:S26"/>
    <mergeCell ref="R47:S47"/>
    <mergeCell ref="R68:S68"/>
    <mergeCell ref="R89:S89"/>
    <mergeCell ref="R110:S110"/>
    <mergeCell ref="R131:S131"/>
    <mergeCell ref="R152:S152"/>
    <mergeCell ref="R173:S173"/>
    <mergeCell ref="B526:C526"/>
    <mergeCell ref="B463:C463"/>
    <mergeCell ref="D510:E510"/>
    <mergeCell ref="F510:G510"/>
    <mergeCell ref="H510:I510"/>
    <mergeCell ref="J510:K510"/>
    <mergeCell ref="L510:M510"/>
    <mergeCell ref="B442:C442"/>
    <mergeCell ref="D447:E447"/>
    <mergeCell ref="F447:G447"/>
    <mergeCell ref="H447:I447"/>
    <mergeCell ref="J447:K447"/>
    <mergeCell ref="L447:M447"/>
    <mergeCell ref="B484:C484"/>
    <mergeCell ref="H426:I426"/>
    <mergeCell ref="J426:K426"/>
    <mergeCell ref="L426:M426"/>
    <mergeCell ref="B400:C400"/>
    <mergeCell ref="D405:E405"/>
    <mergeCell ref="F405:G405"/>
    <mergeCell ref="H405:I405"/>
    <mergeCell ref="J405:K405"/>
    <mergeCell ref="L405:M405"/>
    <mergeCell ref="AS257:AT257"/>
    <mergeCell ref="AO299:AP299"/>
    <mergeCell ref="AS299:AT299"/>
    <mergeCell ref="D320:E320"/>
    <mergeCell ref="F320:G320"/>
    <mergeCell ref="H320:I320"/>
    <mergeCell ref="L320:M320"/>
    <mergeCell ref="N320:O320"/>
    <mergeCell ref="P320:Q320"/>
    <mergeCell ref="N299:O299"/>
    <mergeCell ref="P299:Q299"/>
    <mergeCell ref="T299:U299"/>
    <mergeCell ref="V299:W299"/>
    <mergeCell ref="AG299:AH299"/>
    <mergeCell ref="AI299:AJ299"/>
    <mergeCell ref="T320:U320"/>
    <mergeCell ref="AK299:AL299"/>
    <mergeCell ref="AM299:AN299"/>
    <mergeCell ref="D299:E299"/>
    <mergeCell ref="F299:G299"/>
    <mergeCell ref="H299:I299"/>
    <mergeCell ref="J299:K299"/>
    <mergeCell ref="L299:M299"/>
    <mergeCell ref="T257:U257"/>
    <mergeCell ref="AG257:AH257"/>
    <mergeCell ref="D215:E215"/>
    <mergeCell ref="F215:G215"/>
    <mergeCell ref="H215:I215"/>
    <mergeCell ref="J215:K215"/>
    <mergeCell ref="L215:M215"/>
    <mergeCell ref="AM215:AN215"/>
    <mergeCell ref="AO215:AP215"/>
    <mergeCell ref="AI236:AJ236"/>
    <mergeCell ref="AK236:AL236"/>
    <mergeCell ref="AM236:AN236"/>
    <mergeCell ref="AO236:AP236"/>
    <mergeCell ref="AI257:AJ257"/>
    <mergeCell ref="AK257:AL257"/>
    <mergeCell ref="AM257:AN257"/>
    <mergeCell ref="AO257:AP257"/>
    <mergeCell ref="AS215:AT215"/>
    <mergeCell ref="D236:E236"/>
    <mergeCell ref="F236:G236"/>
    <mergeCell ref="H236:I236"/>
    <mergeCell ref="J236:K236"/>
    <mergeCell ref="L236:M236"/>
    <mergeCell ref="N236:O236"/>
    <mergeCell ref="P236:Q236"/>
    <mergeCell ref="N215:O215"/>
    <mergeCell ref="P215:Q215"/>
    <mergeCell ref="T215:U215"/>
    <mergeCell ref="AG215:AH215"/>
    <mergeCell ref="AI215:AJ215"/>
    <mergeCell ref="AK215:AL215"/>
    <mergeCell ref="AS236:AT236"/>
    <mergeCell ref="T236:U236"/>
    <mergeCell ref="AG236:AH236"/>
    <mergeCell ref="AS173:AT173"/>
    <mergeCell ref="D194:E194"/>
    <mergeCell ref="F194:G194"/>
    <mergeCell ref="H194:I194"/>
    <mergeCell ref="J194:K194"/>
    <mergeCell ref="L194:M194"/>
    <mergeCell ref="N194:O194"/>
    <mergeCell ref="P194:Q194"/>
    <mergeCell ref="T194:U194"/>
    <mergeCell ref="AG194:AH194"/>
    <mergeCell ref="T173:U173"/>
    <mergeCell ref="AG173:AH173"/>
    <mergeCell ref="AI173:AJ173"/>
    <mergeCell ref="AK173:AL173"/>
    <mergeCell ref="AM173:AN173"/>
    <mergeCell ref="AO173:AP173"/>
    <mergeCell ref="AI194:AJ194"/>
    <mergeCell ref="AK194:AL194"/>
    <mergeCell ref="AM194:AN194"/>
    <mergeCell ref="AO194:AP194"/>
    <mergeCell ref="AS194:AT194"/>
    <mergeCell ref="D173:E173"/>
    <mergeCell ref="F173:G173"/>
    <mergeCell ref="H173:I173"/>
    <mergeCell ref="AS131:AT131"/>
    <mergeCell ref="D152:E152"/>
    <mergeCell ref="F152:G152"/>
    <mergeCell ref="H152:I152"/>
    <mergeCell ref="J152:K152"/>
    <mergeCell ref="L152:M152"/>
    <mergeCell ref="AM152:AN152"/>
    <mergeCell ref="AO152:AP152"/>
    <mergeCell ref="AS152:AT152"/>
    <mergeCell ref="T152:U152"/>
    <mergeCell ref="AG152:AH152"/>
    <mergeCell ref="AI152:AJ152"/>
    <mergeCell ref="AK152:AL152"/>
    <mergeCell ref="D131:E131"/>
    <mergeCell ref="F131:G131"/>
    <mergeCell ref="H131:I131"/>
    <mergeCell ref="J131:K131"/>
    <mergeCell ref="L131:M131"/>
    <mergeCell ref="AI131:AJ131"/>
    <mergeCell ref="AK131:AL131"/>
    <mergeCell ref="AM131:AN131"/>
    <mergeCell ref="AO131:AP131"/>
    <mergeCell ref="AG131:AH131"/>
    <mergeCell ref="J173:K173"/>
    <mergeCell ref="L173:M173"/>
    <mergeCell ref="N173:O173"/>
    <mergeCell ref="P173:Q173"/>
    <mergeCell ref="N152:O152"/>
    <mergeCell ref="P152:Q152"/>
    <mergeCell ref="N131:O131"/>
    <mergeCell ref="P131:Q131"/>
    <mergeCell ref="T131:U131"/>
    <mergeCell ref="D110:E110"/>
    <mergeCell ref="F110:G110"/>
    <mergeCell ref="H110:I110"/>
    <mergeCell ref="J110:K110"/>
    <mergeCell ref="L110:M110"/>
    <mergeCell ref="N110:O110"/>
    <mergeCell ref="P110:Q110"/>
    <mergeCell ref="T110:U110"/>
    <mergeCell ref="P89:Q89"/>
    <mergeCell ref="T89:U89"/>
    <mergeCell ref="D89:E89"/>
    <mergeCell ref="F89:G89"/>
    <mergeCell ref="H89:I89"/>
    <mergeCell ref="J89:K89"/>
    <mergeCell ref="L89:M89"/>
    <mergeCell ref="N89:O89"/>
    <mergeCell ref="L47:M47"/>
    <mergeCell ref="N47:O47"/>
    <mergeCell ref="AG68:AH68"/>
    <mergeCell ref="AI68:AJ68"/>
    <mergeCell ref="AK68:AL68"/>
    <mergeCell ref="AM68:AN68"/>
    <mergeCell ref="AO68:AP68"/>
    <mergeCell ref="AS68:AT68"/>
    <mergeCell ref="AG110:AH110"/>
    <mergeCell ref="AI110:AJ110"/>
    <mergeCell ref="AK110:AL110"/>
    <mergeCell ref="AM110:AN110"/>
    <mergeCell ref="AO110:AP110"/>
    <mergeCell ref="AO89:AP89"/>
    <mergeCell ref="AS89:AT89"/>
    <mergeCell ref="AG89:AH89"/>
    <mergeCell ref="AI89:AJ89"/>
    <mergeCell ref="AK89:AL89"/>
    <mergeCell ref="AM89:AN89"/>
    <mergeCell ref="AS110:AT110"/>
    <mergeCell ref="V110:W110"/>
    <mergeCell ref="J5:K5"/>
    <mergeCell ref="L5:M5"/>
    <mergeCell ref="N5:O5"/>
    <mergeCell ref="AG26:AH26"/>
    <mergeCell ref="AO47:AP47"/>
    <mergeCell ref="AS47:AT47"/>
    <mergeCell ref="D68:E68"/>
    <mergeCell ref="F68:G68"/>
    <mergeCell ref="H68:I68"/>
    <mergeCell ref="J68:K68"/>
    <mergeCell ref="L68:M68"/>
    <mergeCell ref="N68:O68"/>
    <mergeCell ref="P68:Q68"/>
    <mergeCell ref="T68:U68"/>
    <mergeCell ref="P47:Q47"/>
    <mergeCell ref="T47:U47"/>
    <mergeCell ref="AG47:AH47"/>
    <mergeCell ref="AI47:AJ47"/>
    <mergeCell ref="AK47:AL47"/>
    <mergeCell ref="AM47:AN47"/>
    <mergeCell ref="D47:E47"/>
    <mergeCell ref="F47:G47"/>
    <mergeCell ref="H47:I47"/>
    <mergeCell ref="J47:K47"/>
    <mergeCell ref="AI26:AJ26"/>
    <mergeCell ref="AK26:AL26"/>
    <mergeCell ref="AM26:AN26"/>
    <mergeCell ref="AO26:AP26"/>
    <mergeCell ref="AS26:AT26"/>
    <mergeCell ref="AO5:AP5"/>
    <mergeCell ref="AS5:AT5"/>
    <mergeCell ref="D26:E26"/>
    <mergeCell ref="F26:G26"/>
    <mergeCell ref="H26:I26"/>
    <mergeCell ref="J26:K26"/>
    <mergeCell ref="L26:M26"/>
    <mergeCell ref="N26:O26"/>
    <mergeCell ref="P26:Q26"/>
    <mergeCell ref="T26:U26"/>
    <mergeCell ref="P5:Q5"/>
    <mergeCell ref="T5:U5"/>
    <mergeCell ref="AG5:AH5"/>
    <mergeCell ref="AI5:AJ5"/>
    <mergeCell ref="AK5:AL5"/>
    <mergeCell ref="AM5:AN5"/>
    <mergeCell ref="D5:E5"/>
    <mergeCell ref="F5:G5"/>
    <mergeCell ref="H5:I5"/>
    <mergeCell ref="AM278:AN278"/>
    <mergeCell ref="AO278:AP278"/>
    <mergeCell ref="AQ278:AR278"/>
    <mergeCell ref="AS278:AT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AG278:AH278"/>
    <mergeCell ref="J320:K320"/>
    <mergeCell ref="D489:E489"/>
    <mergeCell ref="F489:G489"/>
    <mergeCell ref="H489:I489"/>
    <mergeCell ref="J489:K489"/>
    <mergeCell ref="L489:M489"/>
    <mergeCell ref="B505:C505"/>
    <mergeCell ref="AI278:AJ278"/>
    <mergeCell ref="AK278:AL278"/>
    <mergeCell ref="B379:C379"/>
    <mergeCell ref="D384:E384"/>
    <mergeCell ref="F384:G384"/>
    <mergeCell ref="H384:I384"/>
    <mergeCell ref="J384:K384"/>
    <mergeCell ref="L384:M384"/>
    <mergeCell ref="B358:C358"/>
    <mergeCell ref="D363:E363"/>
    <mergeCell ref="F363:G363"/>
    <mergeCell ref="H363:I363"/>
    <mergeCell ref="J363:K363"/>
    <mergeCell ref="L363:M363"/>
    <mergeCell ref="B421:C421"/>
    <mergeCell ref="D426:E426"/>
    <mergeCell ref="F426:G4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F1B5-CE8E-41C9-8676-B577D26C40A8}">
  <sheetPr codeName="Hoja9"/>
  <dimension ref="A2:BI555"/>
  <sheetViews>
    <sheetView showGridLines="0" topLeftCell="B11" zoomScale="55" zoomScaleNormal="55" workbookViewId="0">
      <selection activeCell="C573" sqref="C573"/>
    </sheetView>
  </sheetViews>
  <sheetFormatPr baseColWidth="10" defaultColWidth="11" defaultRowHeight="15" outlineLevelRow="1" x14ac:dyDescent="0.25"/>
  <cols>
    <col min="1" max="1" width="13.85546875" bestFit="1" customWidth="1"/>
    <col min="2" max="2" width="18.28515625" bestFit="1" customWidth="1"/>
    <col min="3" max="3" width="19.7109375" bestFit="1" customWidth="1"/>
    <col min="4" max="4" width="18.85546875" customWidth="1"/>
    <col min="5" max="5" width="27" style="9" customWidth="1"/>
    <col min="6" max="6" width="20.85546875" style="9" customWidth="1"/>
    <col min="7" max="7" width="27.85546875" style="9" customWidth="1"/>
    <col min="8" max="8" width="18.85546875" customWidth="1"/>
    <col min="9" max="9" width="27.85546875" style="9" customWidth="1"/>
    <col min="10" max="10" width="18.85546875" customWidth="1"/>
    <col min="11" max="11" width="28.42578125" style="9" customWidth="1"/>
    <col min="12" max="12" width="18.85546875" customWidth="1"/>
    <col min="13" max="13" width="27.42578125" style="9" customWidth="1"/>
    <col min="14" max="14" width="18.85546875" customWidth="1"/>
    <col min="15" max="15" width="25.42578125" style="9" customWidth="1"/>
    <col min="16" max="16" width="22" style="9" customWidth="1"/>
    <col min="17" max="17" width="23.5703125" style="9" customWidth="1"/>
    <col min="18" max="18" width="20.7109375" style="9" customWidth="1"/>
    <col min="19" max="19" width="28.42578125" style="9" customWidth="1"/>
    <col min="20" max="20" width="21.5703125" bestFit="1" customWidth="1"/>
    <col min="21" max="21" width="28.42578125" style="9" bestFit="1" customWidth="1"/>
    <col min="22" max="22" width="18.85546875" customWidth="1"/>
    <col min="23" max="23" width="29.140625" bestFit="1" customWidth="1"/>
    <col min="24" max="24" width="19.140625" bestFit="1" customWidth="1"/>
    <col min="25" max="25" width="14.42578125" bestFit="1" customWidth="1"/>
    <col min="26" max="26" width="21.85546875" bestFit="1" customWidth="1"/>
    <col min="27" max="27" width="20.7109375" bestFit="1" customWidth="1"/>
    <col min="28" max="28" width="22.7109375" bestFit="1" customWidth="1"/>
    <col min="29" max="29" width="12.5703125" customWidth="1"/>
    <col min="30" max="30" width="17.42578125" bestFit="1" customWidth="1"/>
    <col min="31" max="31" width="17.7109375" bestFit="1" customWidth="1"/>
    <col min="32" max="32" width="15" customWidth="1"/>
    <col min="33" max="33" width="17.140625" customWidth="1"/>
    <col min="34" max="34" width="26.85546875" customWidth="1"/>
    <col min="35" max="35" width="17.140625" customWidth="1"/>
    <col min="36" max="36" width="27.140625" customWidth="1"/>
    <col min="37" max="37" width="17.140625" customWidth="1"/>
    <col min="38" max="38" width="24" customWidth="1"/>
    <col min="39" max="39" width="17.140625" customWidth="1"/>
    <col min="40" max="40" width="23.5703125" customWidth="1"/>
    <col min="41" max="41" width="17.140625" customWidth="1"/>
    <col min="42" max="42" width="18.28515625" customWidth="1"/>
    <col min="43" max="45" width="17.140625" customWidth="1"/>
    <col min="46" max="46" width="26.42578125" customWidth="1"/>
    <col min="47" max="47" width="17.28515625" customWidth="1"/>
    <col min="48" max="48" width="13.5703125" customWidth="1"/>
    <col min="49" max="49" width="14.7109375" customWidth="1"/>
    <col min="50" max="50" width="14.42578125" bestFit="1" customWidth="1"/>
    <col min="51" max="51" width="19.85546875" bestFit="1" customWidth="1"/>
    <col min="52" max="53" width="15.7109375" customWidth="1"/>
    <col min="54" max="55" width="12.42578125" customWidth="1"/>
    <col min="56" max="56" width="17.140625" bestFit="1" customWidth="1"/>
    <col min="57" max="63" width="12.42578125" customWidth="1"/>
    <col min="65" max="65" width="15.5703125" bestFit="1" customWidth="1"/>
  </cols>
  <sheetData>
    <row r="2" spans="1:49" x14ac:dyDescent="0.25">
      <c r="A2" s="67" t="s">
        <v>14</v>
      </c>
    </row>
    <row r="3" spans="1:49" x14ac:dyDescent="0.25">
      <c r="A3" s="67" t="s">
        <v>19</v>
      </c>
    </row>
    <row r="4" spans="1:49" x14ac:dyDescent="0.25">
      <c r="B4" s="5"/>
    </row>
    <row r="5" spans="1:49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87</v>
      </c>
      <c r="S5" s="93"/>
      <c r="T5" s="89" t="s">
        <v>12</v>
      </c>
      <c r="U5" s="93"/>
      <c r="AG5" s="89" t="s">
        <v>69</v>
      </c>
      <c r="AH5" s="90"/>
      <c r="AI5" s="89" t="s">
        <v>17</v>
      </c>
      <c r="AJ5" s="93"/>
      <c r="AK5" s="89" t="s">
        <v>18</v>
      </c>
      <c r="AL5" s="93"/>
      <c r="AM5" s="89" t="s">
        <v>13</v>
      </c>
      <c r="AN5" s="93"/>
      <c r="AO5" s="89" t="s">
        <v>34</v>
      </c>
      <c r="AP5" s="93"/>
      <c r="AQ5" s="89" t="s">
        <v>87</v>
      </c>
      <c r="AR5" s="93"/>
      <c r="AS5" s="89" t="s">
        <v>12</v>
      </c>
      <c r="AT5" s="93"/>
    </row>
    <row r="6" spans="1:49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AE6" s="7" t="s">
        <v>0</v>
      </c>
      <c r="AF6" s="7" t="s">
        <v>1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</row>
    <row r="7" spans="1:49" x14ac:dyDescent="0.25">
      <c r="AH7" s="9"/>
      <c r="AJ7" s="9"/>
      <c r="AL7" s="9"/>
      <c r="AN7" s="9"/>
      <c r="AO7" s="9"/>
      <c r="AP7" s="9"/>
      <c r="AQ7" s="9"/>
      <c r="AR7" s="9"/>
      <c r="AT7" s="9"/>
    </row>
    <row r="8" spans="1:49" outlineLevel="1" x14ac:dyDescent="0.25">
      <c r="B8" s="2" t="s">
        <v>5</v>
      </c>
      <c r="C8" s="2">
        <v>2023</v>
      </c>
      <c r="D8" s="1">
        <v>251589</v>
      </c>
      <c r="E8" s="11">
        <v>20148949.700000003</v>
      </c>
      <c r="F8" s="1">
        <v>9148</v>
      </c>
      <c r="G8" s="11">
        <v>11285736.970000003</v>
      </c>
      <c r="H8" s="1">
        <v>9148</v>
      </c>
      <c r="I8" s="11">
        <v>417265.06000000006</v>
      </c>
      <c r="J8" s="1">
        <v>2003286</v>
      </c>
      <c r="K8" s="11">
        <v>90818066.799999997</v>
      </c>
      <c r="L8" s="1">
        <v>14654</v>
      </c>
      <c r="M8" s="11">
        <v>648763.77999999991</v>
      </c>
      <c r="N8" s="1">
        <v>17675</v>
      </c>
      <c r="O8" s="11">
        <v>719360.25999999989</v>
      </c>
      <c r="P8" s="1">
        <v>107</v>
      </c>
      <c r="Q8" s="11">
        <v>6022.8499999999995</v>
      </c>
      <c r="R8" s="1">
        <v>954</v>
      </c>
      <c r="S8" s="11">
        <v>45196.079999999994</v>
      </c>
      <c r="T8" s="53">
        <f>N8+L8+J8+H8+D8+P8+F8+R8</f>
        <v>2306561</v>
      </c>
      <c r="U8" s="54">
        <f t="shared" ref="U8:U19" si="0">O8+M8+K8+I8+E8+Q8+G8+S8</f>
        <v>124089361.5</v>
      </c>
      <c r="V8" s="2" t="s">
        <v>56</v>
      </c>
      <c r="AE8" s="2" t="s">
        <v>5</v>
      </c>
      <c r="AF8" s="2">
        <v>2023</v>
      </c>
      <c r="AG8" s="1">
        <f t="shared" ref="AG8:AH19" si="1">D8+H8+F8</f>
        <v>269885</v>
      </c>
      <c r="AH8" s="11">
        <f t="shared" si="1"/>
        <v>31851951.730000004</v>
      </c>
      <c r="AI8" s="1">
        <f t="shared" ref="AI8:AR19" si="2">+J8</f>
        <v>2003286</v>
      </c>
      <c r="AJ8" s="11">
        <f t="shared" si="2"/>
        <v>90818066.799999997</v>
      </c>
      <c r="AK8" s="8">
        <f t="shared" si="2"/>
        <v>14654</v>
      </c>
      <c r="AL8" s="11">
        <f t="shared" si="2"/>
        <v>648763.77999999991</v>
      </c>
      <c r="AM8" s="8">
        <f t="shared" si="2"/>
        <v>17675</v>
      </c>
      <c r="AN8" s="11">
        <f t="shared" si="2"/>
        <v>719360.25999999989</v>
      </c>
      <c r="AO8" s="8">
        <f t="shared" si="2"/>
        <v>107</v>
      </c>
      <c r="AP8" s="11">
        <f t="shared" si="2"/>
        <v>6022.8499999999995</v>
      </c>
      <c r="AQ8" s="11">
        <f t="shared" si="2"/>
        <v>954</v>
      </c>
      <c r="AR8" s="11">
        <f t="shared" si="2"/>
        <v>45196.079999999994</v>
      </c>
      <c r="AS8" s="8">
        <f>AO8+AM8+AK8+AI8+AG8+AQ8</f>
        <v>2306561</v>
      </c>
      <c r="AT8" s="11">
        <f t="shared" ref="AT8:AT19" si="3">AP8+AN8+AL8+AJ8+AH8+AR8</f>
        <v>124089361.5</v>
      </c>
      <c r="AU8" s="2" t="str">
        <f t="shared" ref="AU8:AU19" si="4">+V8</f>
        <v>AUNORTE</v>
      </c>
      <c r="AV8" s="37">
        <f t="shared" ref="AV8:AW19" si="5">+AS8-T8</f>
        <v>0</v>
      </c>
      <c r="AW8" s="37">
        <f t="shared" si="5"/>
        <v>0</v>
      </c>
    </row>
    <row r="9" spans="1:49" outlineLevel="1" x14ac:dyDescent="0.25">
      <c r="B9" s="2" t="s">
        <v>6</v>
      </c>
      <c r="C9" s="2">
        <v>2023</v>
      </c>
      <c r="D9" s="1">
        <v>433720</v>
      </c>
      <c r="E9" s="11">
        <v>21943898.990000002</v>
      </c>
      <c r="F9" s="1">
        <v>261620</v>
      </c>
      <c r="G9" s="11">
        <v>12934914.260000002</v>
      </c>
      <c r="H9" s="1">
        <v>10412</v>
      </c>
      <c r="I9" s="11">
        <v>520920.09999999986</v>
      </c>
      <c r="J9" s="1">
        <v>1995817</v>
      </c>
      <c r="K9" s="11">
        <v>99935212.920000002</v>
      </c>
      <c r="L9" s="1">
        <v>14710</v>
      </c>
      <c r="M9" s="11">
        <v>712545.54999999993</v>
      </c>
      <c r="N9" s="1">
        <v>17672</v>
      </c>
      <c r="O9" s="11">
        <v>797684.56</v>
      </c>
      <c r="P9" s="1">
        <v>84</v>
      </c>
      <c r="Q9" s="11">
        <v>5194.6000000000004</v>
      </c>
      <c r="R9" s="1">
        <v>1000</v>
      </c>
      <c r="S9" s="11">
        <v>51843.490000000005</v>
      </c>
      <c r="T9" s="53">
        <f t="shared" ref="T9:T19" si="6">N9+L9+J9+H9+D9+P9+F9+R9</f>
        <v>2735035</v>
      </c>
      <c r="U9" s="54">
        <f t="shared" si="0"/>
        <v>136902214.47</v>
      </c>
      <c r="V9" s="2" t="s">
        <v>56</v>
      </c>
      <c r="AE9" s="2" t="s">
        <v>6</v>
      </c>
      <c r="AF9" s="2">
        <v>2023</v>
      </c>
      <c r="AG9" s="1">
        <f t="shared" si="1"/>
        <v>705752</v>
      </c>
      <c r="AH9" s="11">
        <f t="shared" si="1"/>
        <v>35399733.350000009</v>
      </c>
      <c r="AI9" s="1">
        <f t="shared" si="2"/>
        <v>1995817</v>
      </c>
      <c r="AJ9" s="11">
        <f t="shared" si="2"/>
        <v>99935212.920000002</v>
      </c>
      <c r="AK9" s="8">
        <f t="shared" si="2"/>
        <v>14710</v>
      </c>
      <c r="AL9" s="11">
        <f t="shared" si="2"/>
        <v>712545.54999999993</v>
      </c>
      <c r="AM9" s="8">
        <f t="shared" si="2"/>
        <v>17672</v>
      </c>
      <c r="AN9" s="11">
        <f t="shared" si="2"/>
        <v>797684.56</v>
      </c>
      <c r="AO9" s="8">
        <f t="shared" si="2"/>
        <v>84</v>
      </c>
      <c r="AP9" s="11">
        <f t="shared" si="2"/>
        <v>5194.6000000000004</v>
      </c>
      <c r="AQ9" s="11">
        <f t="shared" si="2"/>
        <v>1000</v>
      </c>
      <c r="AR9" s="11">
        <f t="shared" si="2"/>
        <v>51843.490000000005</v>
      </c>
      <c r="AS9" s="8">
        <f t="shared" ref="AS9:AS19" si="7">AO9+AM9+AK9+AI9+AG9+AQ9</f>
        <v>2735035</v>
      </c>
      <c r="AT9" s="11">
        <f t="shared" si="3"/>
        <v>136902214.47000003</v>
      </c>
      <c r="AU9" s="2" t="str">
        <f t="shared" si="4"/>
        <v>AUNORTE</v>
      </c>
      <c r="AV9" s="37">
        <f t="shared" si="5"/>
        <v>0</v>
      </c>
      <c r="AW9" s="37">
        <f t="shared" si="5"/>
        <v>0</v>
      </c>
    </row>
    <row r="10" spans="1:49" outlineLevel="1" x14ac:dyDescent="0.25">
      <c r="B10" s="2" t="s">
        <v>7</v>
      </c>
      <c r="C10" s="2">
        <v>2023</v>
      </c>
      <c r="D10" s="1">
        <v>480637</v>
      </c>
      <c r="E10" s="11">
        <v>24932323.020000007</v>
      </c>
      <c r="F10" s="1">
        <v>294236</v>
      </c>
      <c r="G10" s="11">
        <v>14872383.449999999</v>
      </c>
      <c r="H10" s="1">
        <v>11498</v>
      </c>
      <c r="I10" s="11">
        <v>592786.25</v>
      </c>
      <c r="J10" s="1">
        <v>2214078</v>
      </c>
      <c r="K10" s="11">
        <v>113369984.83000001</v>
      </c>
      <c r="L10" s="1">
        <v>16035</v>
      </c>
      <c r="M10" s="11">
        <v>795304.16</v>
      </c>
      <c r="N10" s="1">
        <v>19647</v>
      </c>
      <c r="O10" s="11">
        <v>904270.94000000018</v>
      </c>
      <c r="P10" s="1">
        <v>126</v>
      </c>
      <c r="Q10" s="11">
        <v>5387.26</v>
      </c>
      <c r="R10" s="1">
        <v>1389</v>
      </c>
      <c r="S10" s="11">
        <v>74842.090000000011</v>
      </c>
      <c r="T10" s="53">
        <f t="shared" si="6"/>
        <v>3037646</v>
      </c>
      <c r="U10" s="54">
        <f t="shared" si="0"/>
        <v>155547282</v>
      </c>
      <c r="V10" s="2" t="s">
        <v>56</v>
      </c>
      <c r="W10" s="38"/>
      <c r="AE10" s="2" t="s">
        <v>7</v>
      </c>
      <c r="AF10" s="2">
        <v>2023</v>
      </c>
      <c r="AG10" s="1">
        <f t="shared" si="1"/>
        <v>786371</v>
      </c>
      <c r="AH10" s="11">
        <f t="shared" si="1"/>
        <v>40397492.720000006</v>
      </c>
      <c r="AI10" s="1">
        <f t="shared" si="2"/>
        <v>2214078</v>
      </c>
      <c r="AJ10" s="11">
        <f t="shared" si="2"/>
        <v>113369984.83000001</v>
      </c>
      <c r="AK10" s="8">
        <f t="shared" si="2"/>
        <v>16035</v>
      </c>
      <c r="AL10" s="11">
        <f t="shared" si="2"/>
        <v>795304.16</v>
      </c>
      <c r="AM10" s="8">
        <f t="shared" si="2"/>
        <v>19647</v>
      </c>
      <c r="AN10" s="11">
        <f t="shared" si="2"/>
        <v>904270.94000000018</v>
      </c>
      <c r="AO10" s="8">
        <f t="shared" si="2"/>
        <v>126</v>
      </c>
      <c r="AP10" s="11">
        <f t="shared" si="2"/>
        <v>5387.26</v>
      </c>
      <c r="AQ10" s="11">
        <f t="shared" si="2"/>
        <v>1389</v>
      </c>
      <c r="AR10" s="11">
        <f t="shared" si="2"/>
        <v>74842.090000000011</v>
      </c>
      <c r="AS10" s="8">
        <f t="shared" si="7"/>
        <v>3037646</v>
      </c>
      <c r="AT10" s="11">
        <f t="shared" si="3"/>
        <v>155547282.00000003</v>
      </c>
      <c r="AU10" s="2" t="str">
        <f t="shared" si="4"/>
        <v>AUNORTE</v>
      </c>
      <c r="AV10" s="37">
        <f t="shared" si="5"/>
        <v>0</v>
      </c>
      <c r="AW10" s="37">
        <f t="shared" si="5"/>
        <v>0</v>
      </c>
    </row>
    <row r="11" spans="1:49" outlineLevel="1" x14ac:dyDescent="0.25">
      <c r="B11" s="2" t="s">
        <v>8</v>
      </c>
      <c r="C11" s="2">
        <v>2023</v>
      </c>
      <c r="D11" s="1">
        <v>397876</v>
      </c>
      <c r="E11" s="11">
        <v>20853782.98</v>
      </c>
      <c r="F11" s="1">
        <v>243847</v>
      </c>
      <c r="G11" s="11">
        <v>12440685.870000001</v>
      </c>
      <c r="H11" s="1">
        <v>9502</v>
      </c>
      <c r="I11" s="11">
        <v>495594.61999999988</v>
      </c>
      <c r="J11" s="1">
        <v>1869130</v>
      </c>
      <c r="K11" s="11">
        <v>97072511.979999989</v>
      </c>
      <c r="L11" s="8">
        <v>13210</v>
      </c>
      <c r="M11" s="11">
        <v>670225.85999999987</v>
      </c>
      <c r="N11" s="8">
        <v>16205</v>
      </c>
      <c r="O11" s="11">
        <v>767960.24000000022</v>
      </c>
      <c r="P11" s="8">
        <v>99</v>
      </c>
      <c r="Q11" s="11">
        <v>5003.76</v>
      </c>
      <c r="R11" s="8">
        <v>1271</v>
      </c>
      <c r="S11" s="11">
        <v>66666.83</v>
      </c>
      <c r="T11" s="53">
        <f t="shared" si="6"/>
        <v>2551140</v>
      </c>
      <c r="U11" s="54">
        <f t="shared" si="0"/>
        <v>132372432.14</v>
      </c>
      <c r="V11" s="2" t="s">
        <v>56</v>
      </c>
      <c r="AE11" s="2" t="s">
        <v>8</v>
      </c>
      <c r="AF11" s="2">
        <v>2023</v>
      </c>
      <c r="AG11" s="1">
        <f t="shared" si="1"/>
        <v>651225</v>
      </c>
      <c r="AH11" s="11">
        <f t="shared" si="1"/>
        <v>33790063.469999999</v>
      </c>
      <c r="AI11" s="1">
        <f t="shared" si="2"/>
        <v>1869130</v>
      </c>
      <c r="AJ11" s="11">
        <f t="shared" si="2"/>
        <v>97072511.979999989</v>
      </c>
      <c r="AK11" s="8">
        <f t="shared" si="2"/>
        <v>13210</v>
      </c>
      <c r="AL11" s="11">
        <f t="shared" si="2"/>
        <v>670225.85999999987</v>
      </c>
      <c r="AM11" s="8">
        <f t="shared" si="2"/>
        <v>16205</v>
      </c>
      <c r="AN11" s="11">
        <f t="shared" si="2"/>
        <v>767960.24000000022</v>
      </c>
      <c r="AO11" s="8">
        <f t="shared" si="2"/>
        <v>99</v>
      </c>
      <c r="AP11" s="11">
        <f t="shared" si="2"/>
        <v>5003.76</v>
      </c>
      <c r="AQ11" s="11">
        <f t="shared" si="2"/>
        <v>1271</v>
      </c>
      <c r="AR11" s="11">
        <f t="shared" si="2"/>
        <v>66666.83</v>
      </c>
      <c r="AS11" s="8">
        <f t="shared" si="7"/>
        <v>2551140</v>
      </c>
      <c r="AT11" s="11">
        <f t="shared" si="3"/>
        <v>132372432.13999999</v>
      </c>
      <c r="AU11" s="2" t="str">
        <f t="shared" si="4"/>
        <v>AUNORTE</v>
      </c>
      <c r="AV11" s="37">
        <f t="shared" si="5"/>
        <v>0</v>
      </c>
      <c r="AW11" s="37">
        <f t="shared" si="5"/>
        <v>0</v>
      </c>
    </row>
    <row r="12" spans="1:49" outlineLevel="1" x14ac:dyDescent="0.25">
      <c r="B12" s="2" t="s">
        <v>9</v>
      </c>
      <c r="C12" s="2">
        <v>2023</v>
      </c>
      <c r="D12" s="1">
        <v>464455</v>
      </c>
      <c r="E12" s="11">
        <v>24108820.150000002</v>
      </c>
      <c r="F12" s="1">
        <v>289713</v>
      </c>
      <c r="G12" s="11">
        <v>14752094.899999999</v>
      </c>
      <c r="H12" s="1">
        <v>11151</v>
      </c>
      <c r="I12" s="11">
        <v>577216.02999999991</v>
      </c>
      <c r="J12" s="1">
        <v>2201081</v>
      </c>
      <c r="K12" s="11">
        <v>112870968.88999999</v>
      </c>
      <c r="L12" s="8">
        <v>14988</v>
      </c>
      <c r="M12" s="11">
        <v>749320.76000000024</v>
      </c>
      <c r="N12" s="8">
        <v>19193</v>
      </c>
      <c r="O12" s="11">
        <v>888970.41</v>
      </c>
      <c r="P12" s="8">
        <v>116</v>
      </c>
      <c r="Q12" s="11">
        <v>4751.4399999999996</v>
      </c>
      <c r="R12" s="8">
        <v>1530</v>
      </c>
      <c r="S12" s="11">
        <v>80152.700000000012</v>
      </c>
      <c r="T12" s="53">
        <f t="shared" si="6"/>
        <v>3002227</v>
      </c>
      <c r="U12" s="54">
        <f t="shared" si="0"/>
        <v>154032295.27999997</v>
      </c>
      <c r="V12" s="2" t="s">
        <v>56</v>
      </c>
      <c r="AE12" s="2" t="s">
        <v>9</v>
      </c>
      <c r="AF12" s="2">
        <v>2023</v>
      </c>
      <c r="AG12" s="1">
        <f t="shared" si="1"/>
        <v>765319</v>
      </c>
      <c r="AH12" s="11">
        <f t="shared" si="1"/>
        <v>39438131.079999998</v>
      </c>
      <c r="AI12" s="1">
        <f t="shared" si="2"/>
        <v>2201081</v>
      </c>
      <c r="AJ12" s="11">
        <f t="shared" si="2"/>
        <v>112870968.88999999</v>
      </c>
      <c r="AK12" s="8">
        <f t="shared" si="2"/>
        <v>14988</v>
      </c>
      <c r="AL12" s="11">
        <f t="shared" si="2"/>
        <v>749320.76000000024</v>
      </c>
      <c r="AM12" s="8">
        <f t="shared" si="2"/>
        <v>19193</v>
      </c>
      <c r="AN12" s="11">
        <f t="shared" si="2"/>
        <v>888970.41</v>
      </c>
      <c r="AO12" s="8">
        <f t="shared" si="2"/>
        <v>116</v>
      </c>
      <c r="AP12" s="11">
        <f t="shared" si="2"/>
        <v>4751.4399999999996</v>
      </c>
      <c r="AQ12" s="11">
        <f t="shared" si="2"/>
        <v>1530</v>
      </c>
      <c r="AR12" s="11">
        <f t="shared" si="2"/>
        <v>80152.700000000012</v>
      </c>
      <c r="AS12" s="8">
        <f t="shared" si="7"/>
        <v>3002227</v>
      </c>
      <c r="AT12" s="11">
        <f t="shared" si="3"/>
        <v>154032295.27999997</v>
      </c>
      <c r="AU12" s="2" t="str">
        <f t="shared" si="4"/>
        <v>AUNORTE</v>
      </c>
      <c r="AV12" s="37">
        <f t="shared" si="5"/>
        <v>0</v>
      </c>
      <c r="AW12" s="37">
        <f t="shared" si="5"/>
        <v>0</v>
      </c>
    </row>
    <row r="13" spans="1:49" outlineLevel="1" x14ac:dyDescent="0.25">
      <c r="B13" s="2" t="s">
        <v>10</v>
      </c>
      <c r="C13" s="2">
        <v>2023</v>
      </c>
      <c r="D13" s="1">
        <v>465845</v>
      </c>
      <c r="E13" s="11">
        <v>24077887.920000002</v>
      </c>
      <c r="F13" s="1">
        <v>289583</v>
      </c>
      <c r="G13" s="11">
        <v>14709563.230000002</v>
      </c>
      <c r="H13" s="1">
        <v>11940</v>
      </c>
      <c r="I13" s="11">
        <v>622467.81999999995</v>
      </c>
      <c r="J13" s="1">
        <v>2189053</v>
      </c>
      <c r="K13" s="11">
        <v>112113059.11999999</v>
      </c>
      <c r="L13" s="8">
        <v>14484</v>
      </c>
      <c r="M13" s="11">
        <v>722456.61999999976</v>
      </c>
      <c r="N13" s="8">
        <v>19354</v>
      </c>
      <c r="O13" s="11">
        <v>886571.74000000011</v>
      </c>
      <c r="P13" s="8">
        <v>108</v>
      </c>
      <c r="Q13" s="11">
        <v>4908.8100000000013</v>
      </c>
      <c r="R13" s="8">
        <v>1488</v>
      </c>
      <c r="S13" s="11">
        <v>78889.830000000016</v>
      </c>
      <c r="T13" s="53">
        <f t="shared" si="6"/>
        <v>2991855</v>
      </c>
      <c r="U13" s="54">
        <f t="shared" si="0"/>
        <v>153215805.08999997</v>
      </c>
      <c r="V13" s="2" t="s">
        <v>56</v>
      </c>
      <c r="AE13" s="2" t="s">
        <v>10</v>
      </c>
      <c r="AF13" s="2">
        <v>2023</v>
      </c>
      <c r="AG13" s="1">
        <f t="shared" si="1"/>
        <v>767368</v>
      </c>
      <c r="AH13" s="11">
        <f t="shared" si="1"/>
        <v>39409918.970000006</v>
      </c>
      <c r="AI13" s="1">
        <f t="shared" si="2"/>
        <v>2189053</v>
      </c>
      <c r="AJ13" s="11">
        <f t="shared" si="2"/>
        <v>112113059.11999999</v>
      </c>
      <c r="AK13" s="8">
        <f t="shared" si="2"/>
        <v>14484</v>
      </c>
      <c r="AL13" s="11">
        <f t="shared" si="2"/>
        <v>722456.61999999976</v>
      </c>
      <c r="AM13" s="8">
        <f t="shared" si="2"/>
        <v>19354</v>
      </c>
      <c r="AN13" s="11">
        <f t="shared" si="2"/>
        <v>886571.74000000011</v>
      </c>
      <c r="AO13" s="8">
        <f t="shared" si="2"/>
        <v>108</v>
      </c>
      <c r="AP13" s="11">
        <f t="shared" si="2"/>
        <v>4908.8100000000013</v>
      </c>
      <c r="AQ13" s="11">
        <f t="shared" si="2"/>
        <v>1488</v>
      </c>
      <c r="AR13" s="11">
        <f t="shared" si="2"/>
        <v>78889.830000000016</v>
      </c>
      <c r="AS13" s="8">
        <f t="shared" si="7"/>
        <v>2991855</v>
      </c>
      <c r="AT13" s="11">
        <f t="shared" si="3"/>
        <v>153215805.09</v>
      </c>
      <c r="AU13" s="2" t="str">
        <f t="shared" si="4"/>
        <v>AUNORTE</v>
      </c>
      <c r="AV13" s="37">
        <f t="shared" si="5"/>
        <v>0</v>
      </c>
      <c r="AW13" s="37">
        <f t="shared" si="5"/>
        <v>0</v>
      </c>
    </row>
    <row r="14" spans="1:49" outlineLevel="1" x14ac:dyDescent="0.25">
      <c r="B14" s="2" t="s">
        <v>11</v>
      </c>
      <c r="C14" s="2">
        <v>2023</v>
      </c>
      <c r="D14" s="1">
        <v>428259</v>
      </c>
      <c r="E14" s="11">
        <v>22398591.609999999</v>
      </c>
      <c r="F14" s="1">
        <v>262720</v>
      </c>
      <c r="G14" s="11">
        <v>13519968.33</v>
      </c>
      <c r="H14" s="1">
        <v>10463</v>
      </c>
      <c r="I14" s="11">
        <v>549147.82000000007</v>
      </c>
      <c r="J14" s="1">
        <v>2008245</v>
      </c>
      <c r="K14" s="11">
        <v>104196267.19999999</v>
      </c>
      <c r="L14" s="8">
        <v>12899</v>
      </c>
      <c r="M14" s="11">
        <v>652392.59000000008</v>
      </c>
      <c r="N14" s="8">
        <v>16920</v>
      </c>
      <c r="O14" s="11">
        <v>800379.95</v>
      </c>
      <c r="P14" s="8">
        <v>90</v>
      </c>
      <c r="Q14" s="11">
        <v>4340.6399999999994</v>
      </c>
      <c r="R14" s="8">
        <v>1651</v>
      </c>
      <c r="S14" s="11">
        <v>89660.690000000017</v>
      </c>
      <c r="T14" s="53">
        <f t="shared" si="6"/>
        <v>2741247</v>
      </c>
      <c r="U14" s="54">
        <f t="shared" si="0"/>
        <v>142210748.82999998</v>
      </c>
      <c r="V14" s="2" t="s">
        <v>56</v>
      </c>
      <c r="AE14" s="2" t="s">
        <v>11</v>
      </c>
      <c r="AF14" s="2">
        <v>2023</v>
      </c>
      <c r="AG14" s="1">
        <f t="shared" si="1"/>
        <v>701442</v>
      </c>
      <c r="AH14" s="11">
        <f t="shared" si="1"/>
        <v>36467707.759999998</v>
      </c>
      <c r="AI14" s="1">
        <f t="shared" si="2"/>
        <v>2008245</v>
      </c>
      <c r="AJ14" s="11">
        <f t="shared" si="2"/>
        <v>104196267.19999999</v>
      </c>
      <c r="AK14" s="8">
        <f t="shared" si="2"/>
        <v>12899</v>
      </c>
      <c r="AL14" s="11">
        <f t="shared" si="2"/>
        <v>652392.59000000008</v>
      </c>
      <c r="AM14" s="8">
        <f t="shared" si="2"/>
        <v>16920</v>
      </c>
      <c r="AN14" s="11">
        <f t="shared" si="2"/>
        <v>800379.95</v>
      </c>
      <c r="AO14" s="8">
        <f t="shared" si="2"/>
        <v>90</v>
      </c>
      <c r="AP14" s="11">
        <f t="shared" si="2"/>
        <v>4340.6399999999994</v>
      </c>
      <c r="AQ14" s="11">
        <f t="shared" si="2"/>
        <v>1651</v>
      </c>
      <c r="AR14" s="11">
        <f t="shared" si="2"/>
        <v>89660.690000000017</v>
      </c>
      <c r="AS14" s="8">
        <f t="shared" si="7"/>
        <v>2741247</v>
      </c>
      <c r="AT14" s="11">
        <f t="shared" si="3"/>
        <v>142210748.82999998</v>
      </c>
      <c r="AU14" s="2" t="str">
        <f t="shared" si="4"/>
        <v>AUNORTE</v>
      </c>
      <c r="AV14" s="37">
        <f t="shared" si="5"/>
        <v>0</v>
      </c>
      <c r="AW14" s="37">
        <f t="shared" si="5"/>
        <v>0</v>
      </c>
    </row>
    <row r="15" spans="1:49" outlineLevel="1" x14ac:dyDescent="0.25">
      <c r="B15" s="2" t="s">
        <v>4</v>
      </c>
      <c r="C15" s="2">
        <v>2023</v>
      </c>
      <c r="D15" s="1">
        <v>489595</v>
      </c>
      <c r="E15" s="11">
        <v>25549456.289999999</v>
      </c>
      <c r="F15" s="1">
        <v>310723</v>
      </c>
      <c r="G15" s="11">
        <v>15789533.600000001</v>
      </c>
      <c r="H15" s="1">
        <v>12597</v>
      </c>
      <c r="I15" s="11">
        <v>659431.44000000006</v>
      </c>
      <c r="J15" s="1">
        <v>2305013</v>
      </c>
      <c r="K15" s="11">
        <v>118736415.58000004</v>
      </c>
      <c r="L15" s="8">
        <v>14614</v>
      </c>
      <c r="M15" s="11">
        <v>729131.55000000016</v>
      </c>
      <c r="N15" s="8">
        <v>19495</v>
      </c>
      <c r="O15" s="11">
        <v>909757.48</v>
      </c>
      <c r="P15" s="8">
        <v>103</v>
      </c>
      <c r="Q15" s="11">
        <v>5134.7299999999996</v>
      </c>
      <c r="R15" s="8">
        <v>2049</v>
      </c>
      <c r="S15" s="11">
        <v>110716.58000000002</v>
      </c>
      <c r="T15" s="53">
        <f t="shared" si="6"/>
        <v>3154189</v>
      </c>
      <c r="U15" s="54">
        <f t="shared" si="0"/>
        <v>162489577.25000003</v>
      </c>
      <c r="V15" s="2" t="s">
        <v>56</v>
      </c>
      <c r="AE15" s="2" t="s">
        <v>4</v>
      </c>
      <c r="AF15" s="2">
        <v>2023</v>
      </c>
      <c r="AG15" s="1">
        <f t="shared" si="1"/>
        <v>812915</v>
      </c>
      <c r="AH15" s="11">
        <f t="shared" si="1"/>
        <v>41998421.329999998</v>
      </c>
      <c r="AI15" s="1">
        <f t="shared" si="2"/>
        <v>2305013</v>
      </c>
      <c r="AJ15" s="11">
        <f t="shared" si="2"/>
        <v>118736415.58000004</v>
      </c>
      <c r="AK15" s="8">
        <f t="shared" si="2"/>
        <v>14614</v>
      </c>
      <c r="AL15" s="11">
        <f t="shared" si="2"/>
        <v>729131.55000000016</v>
      </c>
      <c r="AM15" s="8">
        <f t="shared" si="2"/>
        <v>19495</v>
      </c>
      <c r="AN15" s="11">
        <f t="shared" si="2"/>
        <v>909757.48</v>
      </c>
      <c r="AO15" s="8">
        <f t="shared" si="2"/>
        <v>103</v>
      </c>
      <c r="AP15" s="11">
        <f t="shared" si="2"/>
        <v>5134.7299999999996</v>
      </c>
      <c r="AQ15" s="11">
        <f t="shared" si="2"/>
        <v>2049</v>
      </c>
      <c r="AR15" s="11">
        <f t="shared" si="2"/>
        <v>110716.58000000002</v>
      </c>
      <c r="AS15" s="8">
        <f t="shared" si="7"/>
        <v>3154189</v>
      </c>
      <c r="AT15" s="11">
        <f t="shared" si="3"/>
        <v>162489577.25000006</v>
      </c>
      <c r="AU15" s="2" t="str">
        <f t="shared" si="4"/>
        <v>AUNORTE</v>
      </c>
      <c r="AV15" s="37">
        <f t="shared" si="5"/>
        <v>0</v>
      </c>
      <c r="AW15" s="37">
        <f t="shared" si="5"/>
        <v>0</v>
      </c>
    </row>
    <row r="16" spans="1:49" outlineLevel="1" x14ac:dyDescent="0.25">
      <c r="B16" s="2" t="s">
        <v>28</v>
      </c>
      <c r="C16" s="2">
        <v>2023</v>
      </c>
      <c r="D16" s="1">
        <v>475884</v>
      </c>
      <c r="E16" s="11">
        <v>24587960.779999994</v>
      </c>
      <c r="F16" s="1">
        <v>301269</v>
      </c>
      <c r="G16" s="11">
        <v>15083270.179999998</v>
      </c>
      <c r="H16" s="1">
        <v>12292</v>
      </c>
      <c r="I16" s="11">
        <v>636550.31000000006</v>
      </c>
      <c r="J16" s="1">
        <v>2240862</v>
      </c>
      <c r="K16" s="11">
        <v>114051185.19999999</v>
      </c>
      <c r="L16" s="8">
        <v>13707</v>
      </c>
      <c r="M16" s="11">
        <v>676289.6100000001</v>
      </c>
      <c r="N16" s="8">
        <v>19976</v>
      </c>
      <c r="O16" s="11">
        <v>913686.68</v>
      </c>
      <c r="P16" s="8">
        <v>80</v>
      </c>
      <c r="Q16" s="11">
        <v>4325.670000000001</v>
      </c>
      <c r="R16" s="8">
        <v>2286</v>
      </c>
      <c r="S16" s="11">
        <v>120625.27999999997</v>
      </c>
      <c r="T16" s="53">
        <f t="shared" si="6"/>
        <v>3066356</v>
      </c>
      <c r="U16" s="54">
        <f>O16+M16+K16+I16+E16+Q16+G16+S16</f>
        <v>156073893.70999998</v>
      </c>
      <c r="V16" s="2" t="s">
        <v>56</v>
      </c>
      <c r="AE16" s="2" t="s">
        <v>28</v>
      </c>
      <c r="AF16" s="2">
        <v>2023</v>
      </c>
      <c r="AG16" s="1">
        <f t="shared" si="1"/>
        <v>789445</v>
      </c>
      <c r="AH16" s="11">
        <f t="shared" si="1"/>
        <v>40307781.269999988</v>
      </c>
      <c r="AI16" s="1">
        <f t="shared" si="2"/>
        <v>2240862</v>
      </c>
      <c r="AJ16" s="11">
        <f t="shared" si="2"/>
        <v>114051185.19999999</v>
      </c>
      <c r="AK16" s="8">
        <f t="shared" si="2"/>
        <v>13707</v>
      </c>
      <c r="AL16" s="11">
        <f t="shared" si="2"/>
        <v>676289.6100000001</v>
      </c>
      <c r="AM16" s="8">
        <f t="shared" si="2"/>
        <v>19976</v>
      </c>
      <c r="AN16" s="11">
        <f t="shared" si="2"/>
        <v>913686.68</v>
      </c>
      <c r="AO16" s="8">
        <f t="shared" si="2"/>
        <v>80</v>
      </c>
      <c r="AP16" s="11">
        <f t="shared" si="2"/>
        <v>4325.670000000001</v>
      </c>
      <c r="AQ16" s="11">
        <f t="shared" si="2"/>
        <v>2286</v>
      </c>
      <c r="AR16" s="11">
        <f t="shared" si="2"/>
        <v>120625.27999999997</v>
      </c>
      <c r="AS16" s="8">
        <f t="shared" si="7"/>
        <v>3066356</v>
      </c>
      <c r="AT16" s="11">
        <f t="shared" si="3"/>
        <v>156073893.70999998</v>
      </c>
      <c r="AU16" s="2" t="str">
        <f t="shared" si="4"/>
        <v>AUNORTE</v>
      </c>
      <c r="AV16" s="37">
        <f t="shared" si="5"/>
        <v>0</v>
      </c>
      <c r="AW16" s="37">
        <f t="shared" si="5"/>
        <v>0</v>
      </c>
    </row>
    <row r="17" spans="1:49" outlineLevel="1" x14ac:dyDescent="0.25">
      <c r="B17" s="2" t="s">
        <v>29</v>
      </c>
      <c r="C17" s="2">
        <v>2023</v>
      </c>
      <c r="D17" s="1">
        <v>488907</v>
      </c>
      <c r="E17" s="11">
        <v>25379112.98</v>
      </c>
      <c r="F17" s="1">
        <v>317091</v>
      </c>
      <c r="G17" s="11">
        <v>16126639.929999998</v>
      </c>
      <c r="H17" s="1">
        <v>13365</v>
      </c>
      <c r="I17" s="11">
        <v>697733.4800000001</v>
      </c>
      <c r="J17" s="1">
        <v>2365125</v>
      </c>
      <c r="K17" s="11">
        <v>121306062.98999998</v>
      </c>
      <c r="L17" s="8">
        <v>14056</v>
      </c>
      <c r="M17" s="11">
        <v>704184.57000000007</v>
      </c>
      <c r="N17" s="8">
        <v>20475</v>
      </c>
      <c r="O17" s="11">
        <v>947429.2699999999</v>
      </c>
      <c r="P17" s="8">
        <v>77</v>
      </c>
      <c r="Q17" s="11">
        <v>3671.4000000000005</v>
      </c>
      <c r="R17" s="8">
        <v>2799</v>
      </c>
      <c r="S17" s="11">
        <v>150573.82000000004</v>
      </c>
      <c r="T17" s="53">
        <f t="shared" si="6"/>
        <v>3221895</v>
      </c>
      <c r="U17" s="54">
        <f t="shared" si="0"/>
        <v>165315408.44</v>
      </c>
      <c r="V17" s="2" t="s">
        <v>56</v>
      </c>
      <c r="AE17" s="2" t="s">
        <v>29</v>
      </c>
      <c r="AF17" s="2">
        <v>2023</v>
      </c>
      <c r="AG17" s="1">
        <f t="shared" si="1"/>
        <v>819363</v>
      </c>
      <c r="AH17" s="11">
        <f t="shared" si="1"/>
        <v>42203486.390000001</v>
      </c>
      <c r="AI17" s="1">
        <f t="shared" si="2"/>
        <v>2365125</v>
      </c>
      <c r="AJ17" s="11">
        <f t="shared" si="2"/>
        <v>121306062.98999998</v>
      </c>
      <c r="AK17" s="8">
        <f t="shared" si="2"/>
        <v>14056</v>
      </c>
      <c r="AL17" s="11">
        <f t="shared" si="2"/>
        <v>704184.57000000007</v>
      </c>
      <c r="AM17" s="8">
        <f t="shared" si="2"/>
        <v>20475</v>
      </c>
      <c r="AN17" s="11">
        <f t="shared" si="2"/>
        <v>947429.2699999999</v>
      </c>
      <c r="AO17" s="8">
        <f t="shared" si="2"/>
        <v>77</v>
      </c>
      <c r="AP17" s="11">
        <f t="shared" si="2"/>
        <v>3671.4000000000005</v>
      </c>
      <c r="AQ17" s="11">
        <f t="shared" si="2"/>
        <v>2799</v>
      </c>
      <c r="AR17" s="11">
        <f t="shared" si="2"/>
        <v>150573.82000000004</v>
      </c>
      <c r="AS17" s="8">
        <f t="shared" si="7"/>
        <v>3221895</v>
      </c>
      <c r="AT17" s="11">
        <f t="shared" si="3"/>
        <v>165315408.43999997</v>
      </c>
      <c r="AU17" s="2" t="str">
        <f t="shared" si="4"/>
        <v>AUNORTE</v>
      </c>
      <c r="AV17" s="37">
        <f t="shared" si="5"/>
        <v>0</v>
      </c>
      <c r="AW17" s="37">
        <f t="shared" si="5"/>
        <v>0</v>
      </c>
    </row>
    <row r="18" spans="1:49" outlineLevel="1" x14ac:dyDescent="0.25">
      <c r="B18" s="2" t="s">
        <v>30</v>
      </c>
      <c r="C18" s="2">
        <v>2023</v>
      </c>
      <c r="D18" s="1">
        <v>455120</v>
      </c>
      <c r="E18" s="11">
        <v>23699120.530000001</v>
      </c>
      <c r="F18" s="1">
        <v>299383</v>
      </c>
      <c r="G18" s="11">
        <v>15330986.919999996</v>
      </c>
      <c r="H18" s="1">
        <v>13755</v>
      </c>
      <c r="I18" s="11">
        <v>721491.04</v>
      </c>
      <c r="J18" s="1">
        <v>2246938</v>
      </c>
      <c r="K18" s="11">
        <v>115969760.64999999</v>
      </c>
      <c r="L18" s="8">
        <v>13312</v>
      </c>
      <c r="M18" s="11">
        <v>664957.28</v>
      </c>
      <c r="N18" s="8">
        <v>19575</v>
      </c>
      <c r="O18" s="11">
        <v>908985.2100000002</v>
      </c>
      <c r="P18" s="8">
        <v>86</v>
      </c>
      <c r="Q18" s="11">
        <v>3802.0300000000007</v>
      </c>
      <c r="R18" s="8">
        <v>3699</v>
      </c>
      <c r="S18" s="11">
        <v>196527.43</v>
      </c>
      <c r="T18" s="53">
        <f t="shared" si="6"/>
        <v>3051868</v>
      </c>
      <c r="U18" s="54">
        <f t="shared" si="0"/>
        <v>157495631.08999997</v>
      </c>
      <c r="V18" s="2" t="s">
        <v>56</v>
      </c>
      <c r="AE18" s="2" t="s">
        <v>30</v>
      </c>
      <c r="AF18" s="2">
        <v>2023</v>
      </c>
      <c r="AG18" s="1">
        <f t="shared" si="1"/>
        <v>768258</v>
      </c>
      <c r="AH18" s="11">
        <f t="shared" si="1"/>
        <v>39751598.489999995</v>
      </c>
      <c r="AI18" s="1">
        <f t="shared" si="2"/>
        <v>2246938</v>
      </c>
      <c r="AJ18" s="11">
        <f t="shared" si="2"/>
        <v>115969760.64999999</v>
      </c>
      <c r="AK18" s="8">
        <f t="shared" si="2"/>
        <v>13312</v>
      </c>
      <c r="AL18" s="11">
        <f t="shared" si="2"/>
        <v>664957.28</v>
      </c>
      <c r="AM18" s="8">
        <f t="shared" si="2"/>
        <v>19575</v>
      </c>
      <c r="AN18" s="11">
        <f t="shared" si="2"/>
        <v>908985.2100000002</v>
      </c>
      <c r="AO18" s="8">
        <f t="shared" si="2"/>
        <v>86</v>
      </c>
      <c r="AP18" s="11">
        <f t="shared" si="2"/>
        <v>3802.0300000000007</v>
      </c>
      <c r="AQ18" s="11">
        <f t="shared" si="2"/>
        <v>3699</v>
      </c>
      <c r="AR18" s="11">
        <f t="shared" si="2"/>
        <v>196527.43</v>
      </c>
      <c r="AS18" s="8">
        <f t="shared" si="7"/>
        <v>3051868</v>
      </c>
      <c r="AT18" s="11">
        <f t="shared" si="3"/>
        <v>157495631.08999997</v>
      </c>
      <c r="AU18" s="2" t="str">
        <f t="shared" si="4"/>
        <v>AUNORTE</v>
      </c>
      <c r="AV18" s="37">
        <f t="shared" si="5"/>
        <v>0</v>
      </c>
      <c r="AW18" s="37">
        <f t="shared" si="5"/>
        <v>0</v>
      </c>
    </row>
    <row r="19" spans="1:49" outlineLevel="1" x14ac:dyDescent="0.25">
      <c r="B19" s="2" t="s">
        <v>31</v>
      </c>
      <c r="C19" s="2">
        <v>2023</v>
      </c>
      <c r="D19" s="1">
        <v>408971</v>
      </c>
      <c r="E19" s="11">
        <v>21655669.350000001</v>
      </c>
      <c r="F19" s="1">
        <v>269963</v>
      </c>
      <c r="G19" s="11">
        <v>14024491.050000003</v>
      </c>
      <c r="H19" s="1">
        <v>11237</v>
      </c>
      <c r="I19" s="11">
        <v>589914.09000000008</v>
      </c>
      <c r="J19" s="1">
        <v>2028718</v>
      </c>
      <c r="K19" s="11">
        <v>106055624.81000003</v>
      </c>
      <c r="L19" s="8">
        <v>11583</v>
      </c>
      <c r="M19" s="11">
        <v>600627.75000000012</v>
      </c>
      <c r="N19" s="8">
        <v>17206</v>
      </c>
      <c r="O19" s="11">
        <v>807142.78</v>
      </c>
      <c r="P19" s="8">
        <v>46</v>
      </c>
      <c r="Q19" s="11">
        <v>1716.6000000000001</v>
      </c>
      <c r="R19" s="8">
        <v>4374</v>
      </c>
      <c r="S19" s="11">
        <v>237071.20000000007</v>
      </c>
      <c r="T19" s="53">
        <f t="shared" si="6"/>
        <v>2752098</v>
      </c>
      <c r="U19" s="54">
        <f t="shared" si="0"/>
        <v>143972257.63000003</v>
      </c>
      <c r="V19" s="2" t="s">
        <v>56</v>
      </c>
      <c r="X19" s="13"/>
      <c r="AE19" s="2" t="s">
        <v>31</v>
      </c>
      <c r="AF19" s="2">
        <v>2023</v>
      </c>
      <c r="AG19" s="1">
        <f t="shared" si="1"/>
        <v>690171</v>
      </c>
      <c r="AH19" s="11">
        <f t="shared" si="1"/>
        <v>36270074.490000002</v>
      </c>
      <c r="AI19" s="1">
        <f t="shared" si="2"/>
        <v>2028718</v>
      </c>
      <c r="AJ19" s="11">
        <f t="shared" si="2"/>
        <v>106055624.81000003</v>
      </c>
      <c r="AK19" s="8">
        <f t="shared" si="2"/>
        <v>11583</v>
      </c>
      <c r="AL19" s="11">
        <f t="shared" si="2"/>
        <v>600627.75000000012</v>
      </c>
      <c r="AM19" s="8">
        <f t="shared" si="2"/>
        <v>17206</v>
      </c>
      <c r="AN19" s="11">
        <f t="shared" si="2"/>
        <v>807142.78</v>
      </c>
      <c r="AO19" s="8">
        <f t="shared" si="2"/>
        <v>46</v>
      </c>
      <c r="AP19" s="11">
        <f t="shared" si="2"/>
        <v>1716.6000000000001</v>
      </c>
      <c r="AQ19" s="11">
        <f t="shared" si="2"/>
        <v>4374</v>
      </c>
      <c r="AR19" s="11">
        <f t="shared" si="2"/>
        <v>237071.20000000007</v>
      </c>
      <c r="AS19" s="8">
        <f t="shared" si="7"/>
        <v>2752098</v>
      </c>
      <c r="AT19" s="11">
        <f t="shared" si="3"/>
        <v>143972257.63000003</v>
      </c>
      <c r="AU19" s="2" t="str">
        <f t="shared" si="4"/>
        <v>AUNORTE</v>
      </c>
      <c r="AV19" s="37">
        <f t="shared" si="5"/>
        <v>0</v>
      </c>
      <c r="AW19" s="37">
        <f t="shared" si="5"/>
        <v>0</v>
      </c>
    </row>
    <row r="20" spans="1:49" outlineLevel="1" x14ac:dyDescent="0.25">
      <c r="H20" s="39"/>
      <c r="AH20" s="9"/>
      <c r="AJ20" s="9"/>
      <c r="AL20" s="9"/>
      <c r="AN20" s="9"/>
      <c r="AO20" s="9"/>
      <c r="AP20" s="9"/>
      <c r="AQ20" s="9"/>
      <c r="AR20" s="9"/>
      <c r="AT20" s="9"/>
    </row>
    <row r="21" spans="1:49" outlineLevel="1" x14ac:dyDescent="0.25">
      <c r="B21" s="3" t="s">
        <v>12</v>
      </c>
      <c r="C21" s="3"/>
      <c r="D21" s="4">
        <f t="shared" ref="D21:U21" si="8">SUM(D8:D20)</f>
        <v>5240858</v>
      </c>
      <c r="E21" s="12">
        <f t="shared" si="8"/>
        <v>279335574.30000001</v>
      </c>
      <c r="F21" s="4">
        <f t="shared" si="8"/>
        <v>3149296</v>
      </c>
      <c r="G21" s="12">
        <f t="shared" si="8"/>
        <v>170870268.69</v>
      </c>
      <c r="H21" s="4">
        <f t="shared" si="8"/>
        <v>137360</v>
      </c>
      <c r="I21" s="12">
        <f t="shared" si="8"/>
        <v>7080518.0599999996</v>
      </c>
      <c r="J21" s="4">
        <f t="shared" si="8"/>
        <v>25667346</v>
      </c>
      <c r="K21" s="12">
        <f t="shared" si="8"/>
        <v>1306495120.97</v>
      </c>
      <c r="L21" s="4">
        <f t="shared" si="8"/>
        <v>168252</v>
      </c>
      <c r="M21" s="12">
        <f t="shared" si="8"/>
        <v>8326200.0800000001</v>
      </c>
      <c r="N21" s="4">
        <f t="shared" si="8"/>
        <v>223393</v>
      </c>
      <c r="O21" s="12">
        <f t="shared" si="8"/>
        <v>10252199.52</v>
      </c>
      <c r="P21" s="4">
        <f>SUM(P8:P20)</f>
        <v>1122</v>
      </c>
      <c r="Q21" s="12">
        <f>SUM(Q8:Q20)</f>
        <v>54259.789999999994</v>
      </c>
      <c r="R21" s="4">
        <f>SUM(R8:R20)</f>
        <v>24490</v>
      </c>
      <c r="S21" s="12">
        <f>SUM(S8:S20)</f>
        <v>1302766.02</v>
      </c>
      <c r="T21" s="4">
        <f t="shared" si="8"/>
        <v>34612117</v>
      </c>
      <c r="U21" s="12">
        <f t="shared" si="8"/>
        <v>1783716907.4300001</v>
      </c>
      <c r="AE21" s="3" t="s">
        <v>12</v>
      </c>
      <c r="AF21" s="3"/>
      <c r="AG21" s="4">
        <f t="shared" ref="AG21:AT21" si="9">SUM(AG8:AG20)</f>
        <v>8527514</v>
      </c>
      <c r="AH21" s="12">
        <f t="shared" si="9"/>
        <v>457286361.05000001</v>
      </c>
      <c r="AI21" s="4">
        <f t="shared" si="9"/>
        <v>25667346</v>
      </c>
      <c r="AJ21" s="12">
        <f t="shared" si="9"/>
        <v>1306495120.97</v>
      </c>
      <c r="AK21" s="4">
        <f t="shared" si="9"/>
        <v>168252</v>
      </c>
      <c r="AL21" s="12">
        <f t="shared" si="9"/>
        <v>8326200.0800000001</v>
      </c>
      <c r="AM21" s="4">
        <f t="shared" si="9"/>
        <v>223393</v>
      </c>
      <c r="AN21" s="12">
        <f t="shared" si="9"/>
        <v>10252199.52</v>
      </c>
      <c r="AO21" s="4">
        <f t="shared" si="9"/>
        <v>1122</v>
      </c>
      <c r="AP21" s="12">
        <f t="shared" si="9"/>
        <v>54259.789999999994</v>
      </c>
      <c r="AQ21" s="4">
        <f t="shared" si="9"/>
        <v>24490</v>
      </c>
      <c r="AR21" s="12">
        <f t="shared" si="9"/>
        <v>1302766.02</v>
      </c>
      <c r="AS21" s="4">
        <f t="shared" si="9"/>
        <v>34612117</v>
      </c>
      <c r="AT21" s="12">
        <f t="shared" si="9"/>
        <v>1783716907.4300001</v>
      </c>
    </row>
    <row r="22" spans="1:49" outlineLevel="1" x14ac:dyDescent="0.25">
      <c r="J22" s="46" t="str">
        <f>+$A$3</f>
        <v>Aforo e Ingreso - AUNORTE</v>
      </c>
      <c r="K22" s="9" t="s">
        <v>84</v>
      </c>
      <c r="L22" s="15">
        <f>AVERAGE(L8:L19)</f>
        <v>14021</v>
      </c>
      <c r="M22" s="60">
        <f>AVERAGE(M8:M19)</f>
        <v>693850.00666666671</v>
      </c>
      <c r="T22" s="15">
        <f>AVERAGE(T8:T19)</f>
        <v>2884343.0833333335</v>
      </c>
      <c r="U22" s="61">
        <f>AVERAGE(U8:U19)</f>
        <v>148643075.61916667</v>
      </c>
    </row>
    <row r="23" spans="1:49" outlineLevel="1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+L22/$L$337</f>
        <v>0.10497713615793865</v>
      </c>
      <c r="M23" s="36">
        <f>+M22/$M$337</f>
        <v>3.4475386962796797E-2</v>
      </c>
      <c r="N23" s="18"/>
      <c r="O23" s="19"/>
      <c r="P23" s="19"/>
      <c r="Q23" s="19"/>
      <c r="R23" s="19"/>
      <c r="S23" s="19"/>
      <c r="T23" s="36">
        <f>+L22/T22</f>
        <v>4.861072207747362E-3</v>
      </c>
      <c r="U23" s="62">
        <f>+M22/U22</f>
        <v>4.6678932320019803E-3</v>
      </c>
    </row>
    <row r="24" spans="1:49" outlineLevel="1" x14ac:dyDescent="0.25">
      <c r="A24" s="67" t="s">
        <v>20</v>
      </c>
      <c r="L24" s="26"/>
      <c r="M24" s="26"/>
    </row>
    <row r="25" spans="1:49" outlineLevel="1" x14ac:dyDescent="0.25">
      <c r="B25" s="5"/>
    </row>
    <row r="26" spans="1:49" outlineLevel="1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87</v>
      </c>
      <c r="S26" s="93"/>
      <c r="T26" s="89" t="s">
        <v>12</v>
      </c>
      <c r="U26" s="93"/>
      <c r="AG26" s="89" t="s">
        <v>69</v>
      </c>
      <c r="AH26" s="90"/>
      <c r="AI26" s="89" t="s">
        <v>17</v>
      </c>
      <c r="AJ26" s="93"/>
      <c r="AK26" s="89" t="s">
        <v>18</v>
      </c>
      <c r="AL26" s="93"/>
      <c r="AM26" s="89" t="s">
        <v>13</v>
      </c>
      <c r="AN26" s="93"/>
      <c r="AO26" s="89" t="s">
        <v>34</v>
      </c>
      <c r="AP26" s="93"/>
      <c r="AQ26" s="89" t="s">
        <v>87</v>
      </c>
      <c r="AR26" s="93"/>
      <c r="AS26" s="89" t="s">
        <v>12</v>
      </c>
      <c r="AT26" s="93"/>
    </row>
    <row r="27" spans="1:49" ht="15" customHeight="1" outlineLevel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AE27" s="7" t="s">
        <v>0</v>
      </c>
      <c r="AF27" s="7" t="s">
        <v>1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</row>
    <row r="28" spans="1:49" outlineLevel="1" x14ac:dyDescent="0.25">
      <c r="AH28" s="9"/>
      <c r="AJ28" s="9"/>
      <c r="AL28" s="9"/>
      <c r="AN28" s="9"/>
      <c r="AO28" s="9"/>
      <c r="AP28" s="9"/>
      <c r="AQ28" s="9"/>
      <c r="AR28" s="9"/>
      <c r="AT28" s="9"/>
    </row>
    <row r="29" spans="1:49" outlineLevel="1" x14ac:dyDescent="0.25">
      <c r="B29" s="2" t="s">
        <v>5</v>
      </c>
      <c r="C29" s="2">
        <v>2023</v>
      </c>
      <c r="D29" s="1">
        <v>554966</v>
      </c>
      <c r="E29" s="11">
        <v>24404380.559999995</v>
      </c>
      <c r="F29" s="1">
        <v>231693</v>
      </c>
      <c r="G29" s="11">
        <v>9396385.5200000014</v>
      </c>
      <c r="H29" s="1">
        <v>8081</v>
      </c>
      <c r="I29" s="11">
        <v>377178.82</v>
      </c>
      <c r="J29" s="1">
        <v>1810294</v>
      </c>
      <c r="K29" s="11">
        <v>73039695.809999987</v>
      </c>
      <c r="L29" s="8">
        <v>10757</v>
      </c>
      <c r="M29" s="11">
        <v>446380.87000000005</v>
      </c>
      <c r="N29" s="8">
        <v>12584</v>
      </c>
      <c r="O29" s="11">
        <v>518075.9</v>
      </c>
      <c r="P29" s="8">
        <v>54</v>
      </c>
      <c r="Q29" s="11">
        <v>5065.26</v>
      </c>
      <c r="R29" s="8">
        <v>1206</v>
      </c>
      <c r="S29" s="11">
        <v>48669.069999999992</v>
      </c>
      <c r="T29" s="53">
        <f>N29+L29+J29+H29+D29+P29+F29+R29</f>
        <v>2629635</v>
      </c>
      <c r="U29" s="54">
        <f t="shared" ref="U29:U40" si="10">O29+M29+K29+I29+E29+Q29+G29+S29</f>
        <v>108235831.80999997</v>
      </c>
      <c r="V29" s="2" t="s">
        <v>57</v>
      </c>
      <c r="AE29" s="2" t="s">
        <v>5</v>
      </c>
      <c r="AF29" s="2">
        <v>2023</v>
      </c>
      <c r="AG29" s="1">
        <f t="shared" ref="AG29:AH40" si="11">D29+H29+F29</f>
        <v>794740</v>
      </c>
      <c r="AH29" s="11">
        <f t="shared" si="11"/>
        <v>34177944.899999999</v>
      </c>
      <c r="AI29" s="1">
        <f t="shared" ref="AI29:AR40" si="12">+J29</f>
        <v>1810294</v>
      </c>
      <c r="AJ29" s="11">
        <f t="shared" si="12"/>
        <v>73039695.809999987</v>
      </c>
      <c r="AK29" s="8">
        <f t="shared" si="12"/>
        <v>10757</v>
      </c>
      <c r="AL29" s="11">
        <f t="shared" si="12"/>
        <v>446380.87000000005</v>
      </c>
      <c r="AM29" s="8">
        <f t="shared" si="12"/>
        <v>12584</v>
      </c>
      <c r="AN29" s="11">
        <f t="shared" si="12"/>
        <v>518075.9</v>
      </c>
      <c r="AO29" s="8">
        <f t="shared" si="12"/>
        <v>54</v>
      </c>
      <c r="AP29" s="11">
        <f t="shared" si="12"/>
        <v>5065.26</v>
      </c>
      <c r="AQ29" s="11">
        <f t="shared" si="12"/>
        <v>1206</v>
      </c>
      <c r="AR29" s="11">
        <f t="shared" si="12"/>
        <v>48669.069999999992</v>
      </c>
      <c r="AS29" s="8">
        <f>AO29+AM29+AK29+AI29+AG29+AQ29</f>
        <v>2629635</v>
      </c>
      <c r="AT29" s="11">
        <f t="shared" ref="AT29:AT40" si="13">AP29+AN29+AL29+AJ29+AH29+AR29</f>
        <v>108235831.80999997</v>
      </c>
      <c r="AU29" s="2" t="str">
        <f t="shared" ref="AU29:AU40" si="14">+V29</f>
        <v>VIADUCTO</v>
      </c>
      <c r="AV29" s="37">
        <f t="shared" ref="AV29:AW40" si="15">+AS29-T29</f>
        <v>0</v>
      </c>
      <c r="AW29" s="37">
        <f t="shared" si="15"/>
        <v>0</v>
      </c>
    </row>
    <row r="30" spans="1:49" outlineLevel="1" x14ac:dyDescent="0.25">
      <c r="B30" s="2" t="s">
        <v>6</v>
      </c>
      <c r="C30" s="2">
        <v>2023</v>
      </c>
      <c r="D30" s="1">
        <v>542708</v>
      </c>
      <c r="E30" s="11">
        <v>25360679.119999997</v>
      </c>
      <c r="F30" s="1">
        <v>233358</v>
      </c>
      <c r="G30" s="11">
        <v>9979345.0499999989</v>
      </c>
      <c r="H30" s="1">
        <v>8931</v>
      </c>
      <c r="I30" s="11">
        <v>439867.05000000005</v>
      </c>
      <c r="J30" s="1">
        <v>1771594</v>
      </c>
      <c r="K30" s="11">
        <v>75695436.48999998</v>
      </c>
      <c r="L30" s="8">
        <v>10375</v>
      </c>
      <c r="M30" s="11">
        <v>458882.52999999997</v>
      </c>
      <c r="N30" s="8">
        <v>12130</v>
      </c>
      <c r="O30" s="11">
        <v>529712.68999999994</v>
      </c>
      <c r="P30" s="8">
        <v>58</v>
      </c>
      <c r="Q30" s="11">
        <v>4924.8099999999995</v>
      </c>
      <c r="R30" s="8">
        <v>1140</v>
      </c>
      <c r="S30" s="11">
        <v>50441.119999999995</v>
      </c>
      <c r="T30" s="53">
        <f t="shared" ref="T30:T40" si="16">N30+L30+J30+H30+D30+P30+F30+R30</f>
        <v>2580294</v>
      </c>
      <c r="U30" s="54">
        <f t="shared" si="10"/>
        <v>112519288.85999997</v>
      </c>
      <c r="V30" s="2" t="s">
        <v>57</v>
      </c>
      <c r="AE30" s="2" t="s">
        <v>6</v>
      </c>
      <c r="AF30" s="2">
        <v>2023</v>
      </c>
      <c r="AG30" s="1">
        <f t="shared" si="11"/>
        <v>784997</v>
      </c>
      <c r="AH30" s="11">
        <f t="shared" si="11"/>
        <v>35779891.219999999</v>
      </c>
      <c r="AI30" s="1">
        <f t="shared" si="12"/>
        <v>1771594</v>
      </c>
      <c r="AJ30" s="11">
        <f t="shared" si="12"/>
        <v>75695436.48999998</v>
      </c>
      <c r="AK30" s="8">
        <f t="shared" si="12"/>
        <v>10375</v>
      </c>
      <c r="AL30" s="11">
        <f t="shared" si="12"/>
        <v>458882.52999999997</v>
      </c>
      <c r="AM30" s="8">
        <f t="shared" si="12"/>
        <v>12130</v>
      </c>
      <c r="AN30" s="11">
        <f t="shared" si="12"/>
        <v>529712.68999999994</v>
      </c>
      <c r="AO30" s="8">
        <f t="shared" si="12"/>
        <v>58</v>
      </c>
      <c r="AP30" s="11">
        <f t="shared" si="12"/>
        <v>4924.8099999999995</v>
      </c>
      <c r="AQ30" s="11">
        <f t="shared" si="12"/>
        <v>1140</v>
      </c>
      <c r="AR30" s="11">
        <f t="shared" si="12"/>
        <v>50441.119999999995</v>
      </c>
      <c r="AS30" s="8">
        <f t="shared" ref="AS30:AS40" si="17">AO30+AM30+AK30+AI30+AG30+AQ30</f>
        <v>2580294</v>
      </c>
      <c r="AT30" s="11">
        <f t="shared" si="13"/>
        <v>112519288.85999998</v>
      </c>
      <c r="AU30" s="2" t="str">
        <f t="shared" si="14"/>
        <v>VIADUCTO</v>
      </c>
      <c r="AV30" s="37">
        <f t="shared" si="15"/>
        <v>0</v>
      </c>
      <c r="AW30" s="37">
        <f t="shared" si="15"/>
        <v>0</v>
      </c>
    </row>
    <row r="31" spans="1:49" outlineLevel="1" x14ac:dyDescent="0.25">
      <c r="B31" s="2" t="s">
        <v>7</v>
      </c>
      <c r="C31" s="2">
        <v>2023</v>
      </c>
      <c r="D31" s="1">
        <v>605484</v>
      </c>
      <c r="E31" s="11">
        <v>28754379.679999989</v>
      </c>
      <c r="F31" s="1">
        <v>267598</v>
      </c>
      <c r="G31" s="11">
        <v>11585040.220000003</v>
      </c>
      <c r="H31" s="1">
        <v>10096</v>
      </c>
      <c r="I31" s="11">
        <v>507050.29999999993</v>
      </c>
      <c r="J31" s="1">
        <v>1991924</v>
      </c>
      <c r="K31" s="11">
        <v>86419016.289999992</v>
      </c>
      <c r="L31" s="8">
        <v>11553</v>
      </c>
      <c r="M31" s="11">
        <v>516501.74000000005</v>
      </c>
      <c r="N31" s="8">
        <v>13637</v>
      </c>
      <c r="O31" s="11">
        <v>589345.5</v>
      </c>
      <c r="P31" s="8">
        <v>86</v>
      </c>
      <c r="Q31" s="11">
        <v>5824.68</v>
      </c>
      <c r="R31" s="8">
        <v>1635</v>
      </c>
      <c r="S31" s="11">
        <v>72878.680000000008</v>
      </c>
      <c r="T31" s="53">
        <f t="shared" si="16"/>
        <v>2902013</v>
      </c>
      <c r="U31" s="54">
        <f t="shared" si="10"/>
        <v>128450037.08999999</v>
      </c>
      <c r="V31" s="2" t="s">
        <v>57</v>
      </c>
      <c r="AE31" s="2" t="s">
        <v>7</v>
      </c>
      <c r="AF31" s="2">
        <v>2023</v>
      </c>
      <c r="AG31" s="1">
        <f t="shared" si="11"/>
        <v>883178</v>
      </c>
      <c r="AH31" s="11">
        <f t="shared" si="11"/>
        <v>40846470.199999988</v>
      </c>
      <c r="AI31" s="1">
        <f t="shared" si="12"/>
        <v>1991924</v>
      </c>
      <c r="AJ31" s="11">
        <f t="shared" si="12"/>
        <v>86419016.289999992</v>
      </c>
      <c r="AK31" s="8">
        <f t="shared" si="12"/>
        <v>11553</v>
      </c>
      <c r="AL31" s="11">
        <f t="shared" si="12"/>
        <v>516501.74000000005</v>
      </c>
      <c r="AM31" s="8">
        <f t="shared" si="12"/>
        <v>13637</v>
      </c>
      <c r="AN31" s="11">
        <f t="shared" si="12"/>
        <v>589345.5</v>
      </c>
      <c r="AO31" s="8">
        <f t="shared" si="12"/>
        <v>86</v>
      </c>
      <c r="AP31" s="11">
        <f t="shared" si="12"/>
        <v>5824.68</v>
      </c>
      <c r="AQ31" s="11">
        <f t="shared" si="12"/>
        <v>1635</v>
      </c>
      <c r="AR31" s="11">
        <f t="shared" si="12"/>
        <v>72878.680000000008</v>
      </c>
      <c r="AS31" s="8">
        <f t="shared" si="17"/>
        <v>2902013</v>
      </c>
      <c r="AT31" s="11">
        <f t="shared" si="13"/>
        <v>128450037.08999999</v>
      </c>
      <c r="AU31" s="2" t="str">
        <f t="shared" si="14"/>
        <v>VIADUCTO</v>
      </c>
      <c r="AV31" s="37">
        <f t="shared" si="15"/>
        <v>0</v>
      </c>
      <c r="AW31" s="37">
        <f t="shared" si="15"/>
        <v>0</v>
      </c>
    </row>
    <row r="32" spans="1:49" outlineLevel="1" x14ac:dyDescent="0.25">
      <c r="B32" s="2" t="s">
        <v>8</v>
      </c>
      <c r="C32" s="2">
        <v>2023</v>
      </c>
      <c r="D32" s="1">
        <v>495020</v>
      </c>
      <c r="E32" s="11">
        <v>23432953.699999996</v>
      </c>
      <c r="F32" s="1">
        <v>225806</v>
      </c>
      <c r="G32" s="11">
        <v>9851828.540000001</v>
      </c>
      <c r="H32" s="1">
        <v>8431</v>
      </c>
      <c r="I32" s="11">
        <v>424996.11999999994</v>
      </c>
      <c r="J32" s="1">
        <v>1690049</v>
      </c>
      <c r="K32" s="11">
        <v>73542288.599999994</v>
      </c>
      <c r="L32" s="8">
        <v>9707</v>
      </c>
      <c r="M32" s="11">
        <v>437827.63999999996</v>
      </c>
      <c r="N32" s="8">
        <v>11487</v>
      </c>
      <c r="O32" s="11">
        <v>512824.91000000003</v>
      </c>
      <c r="P32" s="8">
        <v>70</v>
      </c>
      <c r="Q32" s="11">
        <v>5373.7500000000009</v>
      </c>
      <c r="R32" s="8">
        <v>1466</v>
      </c>
      <c r="S32" s="11">
        <v>65213.410000000011</v>
      </c>
      <c r="T32" s="53">
        <f t="shared" si="16"/>
        <v>2442036</v>
      </c>
      <c r="U32" s="54">
        <f t="shared" si="10"/>
        <v>108273306.67</v>
      </c>
      <c r="V32" s="2" t="s">
        <v>57</v>
      </c>
      <c r="AE32" s="2" t="s">
        <v>8</v>
      </c>
      <c r="AF32" s="2">
        <v>2023</v>
      </c>
      <c r="AG32" s="1">
        <f t="shared" si="11"/>
        <v>729257</v>
      </c>
      <c r="AH32" s="11">
        <f t="shared" si="11"/>
        <v>33709778.359999999</v>
      </c>
      <c r="AI32" s="1">
        <f t="shared" si="12"/>
        <v>1690049</v>
      </c>
      <c r="AJ32" s="11">
        <f t="shared" si="12"/>
        <v>73542288.599999994</v>
      </c>
      <c r="AK32" s="8">
        <f t="shared" si="12"/>
        <v>9707</v>
      </c>
      <c r="AL32" s="11">
        <f t="shared" si="12"/>
        <v>437827.63999999996</v>
      </c>
      <c r="AM32" s="8">
        <f t="shared" si="12"/>
        <v>11487</v>
      </c>
      <c r="AN32" s="11">
        <f t="shared" si="12"/>
        <v>512824.91000000003</v>
      </c>
      <c r="AO32" s="8">
        <f t="shared" si="12"/>
        <v>70</v>
      </c>
      <c r="AP32" s="11">
        <f t="shared" si="12"/>
        <v>5373.7500000000009</v>
      </c>
      <c r="AQ32" s="11">
        <f t="shared" si="12"/>
        <v>1466</v>
      </c>
      <c r="AR32" s="11">
        <f t="shared" si="12"/>
        <v>65213.410000000011</v>
      </c>
      <c r="AS32" s="8">
        <f t="shared" si="17"/>
        <v>2442036</v>
      </c>
      <c r="AT32" s="11">
        <f t="shared" si="13"/>
        <v>108273306.66999999</v>
      </c>
      <c r="AU32" s="2" t="str">
        <f t="shared" si="14"/>
        <v>VIADUCTO</v>
      </c>
      <c r="AV32" s="37">
        <f t="shared" si="15"/>
        <v>0</v>
      </c>
      <c r="AW32" s="37">
        <f t="shared" si="15"/>
        <v>0</v>
      </c>
    </row>
    <row r="33" spans="1:49" outlineLevel="1" x14ac:dyDescent="0.25">
      <c r="B33" s="2" t="s">
        <v>9</v>
      </c>
      <c r="C33" s="2">
        <v>2023</v>
      </c>
      <c r="D33" s="1">
        <v>597239</v>
      </c>
      <c r="E33" s="11">
        <v>28684817.419999998</v>
      </c>
      <c r="F33" s="1">
        <v>269013</v>
      </c>
      <c r="G33" s="11">
        <v>11720664.029999997</v>
      </c>
      <c r="H33" s="1">
        <v>9995</v>
      </c>
      <c r="I33" s="11">
        <v>509864.9699999998</v>
      </c>
      <c r="J33" s="1">
        <v>1992800</v>
      </c>
      <c r="K33" s="11">
        <v>86683412.399999991</v>
      </c>
      <c r="L33" s="8">
        <v>11086</v>
      </c>
      <c r="M33" s="11">
        <v>502256.1</v>
      </c>
      <c r="N33" s="8">
        <v>13369</v>
      </c>
      <c r="O33" s="11">
        <v>589665.66</v>
      </c>
      <c r="P33" s="8">
        <v>83</v>
      </c>
      <c r="Q33" s="11">
        <v>5429.06</v>
      </c>
      <c r="R33" s="8">
        <v>1891</v>
      </c>
      <c r="S33" s="11">
        <v>85924.34</v>
      </c>
      <c r="T33" s="53">
        <f t="shared" si="16"/>
        <v>2895476</v>
      </c>
      <c r="U33" s="54">
        <f t="shared" si="10"/>
        <v>128782033.98</v>
      </c>
      <c r="V33" s="2" t="s">
        <v>57</v>
      </c>
      <c r="AE33" s="2" t="s">
        <v>9</v>
      </c>
      <c r="AF33" s="2">
        <v>2023</v>
      </c>
      <c r="AG33" s="1">
        <f t="shared" si="11"/>
        <v>876247</v>
      </c>
      <c r="AH33" s="11">
        <f t="shared" si="11"/>
        <v>40915346.419999994</v>
      </c>
      <c r="AI33" s="1">
        <f t="shared" si="12"/>
        <v>1992800</v>
      </c>
      <c r="AJ33" s="11">
        <f t="shared" si="12"/>
        <v>86683412.399999991</v>
      </c>
      <c r="AK33" s="8">
        <f t="shared" si="12"/>
        <v>11086</v>
      </c>
      <c r="AL33" s="11">
        <f t="shared" si="12"/>
        <v>502256.1</v>
      </c>
      <c r="AM33" s="8">
        <f t="shared" si="12"/>
        <v>13369</v>
      </c>
      <c r="AN33" s="11">
        <f t="shared" si="12"/>
        <v>589665.66</v>
      </c>
      <c r="AO33" s="8">
        <f t="shared" si="12"/>
        <v>83</v>
      </c>
      <c r="AP33" s="11">
        <f t="shared" si="12"/>
        <v>5429.06</v>
      </c>
      <c r="AQ33" s="11">
        <f t="shared" si="12"/>
        <v>1891</v>
      </c>
      <c r="AR33" s="11">
        <f t="shared" si="12"/>
        <v>85924.34</v>
      </c>
      <c r="AS33" s="8">
        <f t="shared" si="17"/>
        <v>2895476</v>
      </c>
      <c r="AT33" s="11">
        <f t="shared" si="13"/>
        <v>128782033.97999999</v>
      </c>
      <c r="AU33" s="2" t="str">
        <f t="shared" si="14"/>
        <v>VIADUCTO</v>
      </c>
      <c r="AV33" s="37">
        <f t="shared" si="15"/>
        <v>0</v>
      </c>
      <c r="AW33" s="37">
        <f t="shared" si="15"/>
        <v>0</v>
      </c>
    </row>
    <row r="34" spans="1:49" outlineLevel="1" x14ac:dyDescent="0.25">
      <c r="B34" s="2" t="s">
        <v>10</v>
      </c>
      <c r="C34" s="2">
        <v>2023</v>
      </c>
      <c r="D34" s="1">
        <v>588821</v>
      </c>
      <c r="E34" s="11">
        <v>28317856.249999993</v>
      </c>
      <c r="F34" s="1">
        <v>261471</v>
      </c>
      <c r="G34" s="11">
        <v>11407571.230000004</v>
      </c>
      <c r="H34" s="1">
        <v>10497</v>
      </c>
      <c r="I34" s="11">
        <v>530726.66</v>
      </c>
      <c r="J34" s="1">
        <v>1953332</v>
      </c>
      <c r="K34" s="11">
        <v>85227476.940000013</v>
      </c>
      <c r="L34" s="8">
        <v>10543</v>
      </c>
      <c r="M34" s="11">
        <v>471379.85</v>
      </c>
      <c r="N34" s="8">
        <v>13386</v>
      </c>
      <c r="O34" s="11">
        <v>592376.52000000014</v>
      </c>
      <c r="P34" s="8">
        <v>81</v>
      </c>
      <c r="Q34" s="11">
        <v>5692.7400000000007</v>
      </c>
      <c r="R34" s="8">
        <v>1871</v>
      </c>
      <c r="S34" s="11">
        <v>83858.759999999995</v>
      </c>
      <c r="T34" s="53">
        <f t="shared" si="16"/>
        <v>2840002</v>
      </c>
      <c r="U34" s="54">
        <f t="shared" si="10"/>
        <v>126636938.95</v>
      </c>
      <c r="V34" s="2" t="s">
        <v>57</v>
      </c>
      <c r="AE34" s="2" t="s">
        <v>10</v>
      </c>
      <c r="AF34" s="2">
        <v>2023</v>
      </c>
      <c r="AG34" s="1">
        <f t="shared" si="11"/>
        <v>860789</v>
      </c>
      <c r="AH34" s="11">
        <f t="shared" si="11"/>
        <v>40256154.140000001</v>
      </c>
      <c r="AI34" s="1">
        <f t="shared" si="12"/>
        <v>1953332</v>
      </c>
      <c r="AJ34" s="11">
        <f t="shared" si="12"/>
        <v>85227476.940000013</v>
      </c>
      <c r="AK34" s="8">
        <f t="shared" si="12"/>
        <v>10543</v>
      </c>
      <c r="AL34" s="11">
        <f t="shared" si="12"/>
        <v>471379.85</v>
      </c>
      <c r="AM34" s="8">
        <f t="shared" si="12"/>
        <v>13386</v>
      </c>
      <c r="AN34" s="11">
        <f t="shared" si="12"/>
        <v>592376.52000000014</v>
      </c>
      <c r="AO34" s="8">
        <f t="shared" si="12"/>
        <v>81</v>
      </c>
      <c r="AP34" s="11">
        <f t="shared" si="12"/>
        <v>5692.7400000000007</v>
      </c>
      <c r="AQ34" s="11">
        <f t="shared" si="12"/>
        <v>1871</v>
      </c>
      <c r="AR34" s="11">
        <f t="shared" si="12"/>
        <v>83858.759999999995</v>
      </c>
      <c r="AS34" s="8">
        <f t="shared" si="17"/>
        <v>2840002</v>
      </c>
      <c r="AT34" s="11">
        <f t="shared" si="13"/>
        <v>126636938.95000002</v>
      </c>
      <c r="AU34" s="2" t="str">
        <f t="shared" si="14"/>
        <v>VIADUCTO</v>
      </c>
      <c r="AV34" s="37">
        <f t="shared" si="15"/>
        <v>0</v>
      </c>
      <c r="AW34" s="37">
        <f t="shared" si="15"/>
        <v>0</v>
      </c>
    </row>
    <row r="35" spans="1:49" outlineLevel="1" x14ac:dyDescent="0.25">
      <c r="B35" s="2" t="s">
        <v>11</v>
      </c>
      <c r="C35" s="2">
        <v>2023</v>
      </c>
      <c r="D35" s="1">
        <v>558638</v>
      </c>
      <c r="E35" s="11">
        <v>27112343.749999996</v>
      </c>
      <c r="F35" s="1">
        <v>248098</v>
      </c>
      <c r="G35" s="11">
        <v>10960897.970000003</v>
      </c>
      <c r="H35" s="1">
        <v>9728</v>
      </c>
      <c r="I35" s="11">
        <v>498506.16000000003</v>
      </c>
      <c r="J35" s="1">
        <v>1875127</v>
      </c>
      <c r="K35" s="11">
        <v>82857886.789999992</v>
      </c>
      <c r="L35" s="8">
        <v>9970</v>
      </c>
      <c r="M35" s="11">
        <v>442241.95000000007</v>
      </c>
      <c r="N35" s="8">
        <v>12439</v>
      </c>
      <c r="O35" s="11">
        <v>560278.48</v>
      </c>
      <c r="P35" s="8">
        <v>75</v>
      </c>
      <c r="Q35" s="11">
        <v>4783.2599999999993</v>
      </c>
      <c r="R35" s="8">
        <v>1875</v>
      </c>
      <c r="S35" s="11">
        <v>90730.31</v>
      </c>
      <c r="T35" s="53">
        <f t="shared" si="16"/>
        <v>2715950</v>
      </c>
      <c r="U35" s="54">
        <f t="shared" si="10"/>
        <v>122527668.67</v>
      </c>
      <c r="V35" s="2" t="s">
        <v>57</v>
      </c>
      <c r="AE35" s="2" t="s">
        <v>11</v>
      </c>
      <c r="AF35" s="2">
        <v>2023</v>
      </c>
      <c r="AG35" s="1">
        <f t="shared" si="11"/>
        <v>816464</v>
      </c>
      <c r="AH35" s="11">
        <f t="shared" si="11"/>
        <v>38571747.879999995</v>
      </c>
      <c r="AI35" s="1">
        <f t="shared" si="12"/>
        <v>1875127</v>
      </c>
      <c r="AJ35" s="11">
        <f t="shared" si="12"/>
        <v>82857886.789999992</v>
      </c>
      <c r="AK35" s="8">
        <f t="shared" si="12"/>
        <v>9970</v>
      </c>
      <c r="AL35" s="11">
        <f t="shared" si="12"/>
        <v>442241.95000000007</v>
      </c>
      <c r="AM35" s="8">
        <f t="shared" si="12"/>
        <v>12439</v>
      </c>
      <c r="AN35" s="11">
        <f t="shared" si="12"/>
        <v>560278.48</v>
      </c>
      <c r="AO35" s="8">
        <f t="shared" si="12"/>
        <v>75</v>
      </c>
      <c r="AP35" s="11">
        <f t="shared" si="12"/>
        <v>4783.2599999999993</v>
      </c>
      <c r="AQ35" s="11">
        <f t="shared" si="12"/>
        <v>1875</v>
      </c>
      <c r="AR35" s="11">
        <f t="shared" si="12"/>
        <v>90730.31</v>
      </c>
      <c r="AS35" s="8">
        <f t="shared" si="17"/>
        <v>2715950</v>
      </c>
      <c r="AT35" s="11">
        <f t="shared" si="13"/>
        <v>122527668.66999999</v>
      </c>
      <c r="AU35" s="2" t="str">
        <f t="shared" si="14"/>
        <v>VIADUCTO</v>
      </c>
      <c r="AV35" s="37">
        <f t="shared" si="15"/>
        <v>0</v>
      </c>
      <c r="AW35" s="37">
        <f t="shared" si="15"/>
        <v>0</v>
      </c>
    </row>
    <row r="36" spans="1:49" outlineLevel="1" x14ac:dyDescent="0.25">
      <c r="B36" s="2" t="s">
        <v>4</v>
      </c>
      <c r="C36" s="2">
        <v>2023</v>
      </c>
      <c r="D36" s="1">
        <v>609929</v>
      </c>
      <c r="E36" s="11">
        <v>29646820.530000001</v>
      </c>
      <c r="F36" s="1">
        <v>273019</v>
      </c>
      <c r="G36" s="11">
        <v>12114640.800000001</v>
      </c>
      <c r="H36" s="1">
        <v>10836</v>
      </c>
      <c r="I36" s="11">
        <v>550463.05999999994</v>
      </c>
      <c r="J36" s="1">
        <v>2043527</v>
      </c>
      <c r="K36" s="11">
        <v>90433275.399999991</v>
      </c>
      <c r="L36" s="8">
        <v>10628</v>
      </c>
      <c r="M36" s="11">
        <v>469978.24</v>
      </c>
      <c r="N36" s="8">
        <v>13547</v>
      </c>
      <c r="O36" s="11">
        <v>605125.80999999994</v>
      </c>
      <c r="P36" s="8">
        <v>88</v>
      </c>
      <c r="Q36" s="11">
        <v>5911.93</v>
      </c>
      <c r="R36" s="8">
        <v>2338</v>
      </c>
      <c r="S36" s="11">
        <v>117481.06000000001</v>
      </c>
      <c r="T36" s="53">
        <f t="shared" si="16"/>
        <v>2963912</v>
      </c>
      <c r="U36" s="54">
        <f t="shared" si="10"/>
        <v>133943696.83</v>
      </c>
      <c r="V36" s="2" t="s">
        <v>57</v>
      </c>
      <c r="AE36" s="2" t="s">
        <v>4</v>
      </c>
      <c r="AF36" s="2">
        <v>2023</v>
      </c>
      <c r="AG36" s="1">
        <f t="shared" si="11"/>
        <v>893784</v>
      </c>
      <c r="AH36" s="11">
        <f t="shared" si="11"/>
        <v>42311924.390000001</v>
      </c>
      <c r="AI36" s="1">
        <f t="shared" si="12"/>
        <v>2043527</v>
      </c>
      <c r="AJ36" s="11">
        <f t="shared" si="12"/>
        <v>90433275.399999991</v>
      </c>
      <c r="AK36" s="8">
        <f t="shared" si="12"/>
        <v>10628</v>
      </c>
      <c r="AL36" s="11">
        <f t="shared" si="12"/>
        <v>469978.24</v>
      </c>
      <c r="AM36" s="8">
        <f t="shared" si="12"/>
        <v>13547</v>
      </c>
      <c r="AN36" s="11">
        <f t="shared" si="12"/>
        <v>605125.80999999994</v>
      </c>
      <c r="AO36" s="8">
        <f t="shared" si="12"/>
        <v>88</v>
      </c>
      <c r="AP36" s="11">
        <f t="shared" si="12"/>
        <v>5911.93</v>
      </c>
      <c r="AQ36" s="11">
        <f t="shared" si="12"/>
        <v>2338</v>
      </c>
      <c r="AR36" s="11">
        <f t="shared" si="12"/>
        <v>117481.06000000001</v>
      </c>
      <c r="AS36" s="8">
        <f t="shared" si="17"/>
        <v>2963912</v>
      </c>
      <c r="AT36" s="11">
        <f t="shared" si="13"/>
        <v>133943696.83</v>
      </c>
      <c r="AU36" s="2" t="str">
        <f t="shared" si="14"/>
        <v>VIADUCTO</v>
      </c>
      <c r="AV36" s="37">
        <f t="shared" si="15"/>
        <v>0</v>
      </c>
      <c r="AW36" s="37">
        <f t="shared" si="15"/>
        <v>0</v>
      </c>
    </row>
    <row r="37" spans="1:49" outlineLevel="1" x14ac:dyDescent="0.25">
      <c r="B37" s="2" t="s">
        <v>28</v>
      </c>
      <c r="C37" s="2">
        <v>2023</v>
      </c>
      <c r="D37" s="1">
        <v>594094</v>
      </c>
      <c r="E37" s="11">
        <v>28583509.369999994</v>
      </c>
      <c r="F37" s="1">
        <v>266556</v>
      </c>
      <c r="G37" s="11">
        <v>11659876.140000004</v>
      </c>
      <c r="H37" s="1">
        <v>10765</v>
      </c>
      <c r="I37" s="11">
        <v>540332.67999999993</v>
      </c>
      <c r="J37" s="1">
        <v>1995982</v>
      </c>
      <c r="K37" s="11">
        <v>87244895.019999996</v>
      </c>
      <c r="L37" s="8">
        <v>9949</v>
      </c>
      <c r="M37" s="11">
        <v>434249.39999999997</v>
      </c>
      <c r="N37" s="8">
        <v>13275</v>
      </c>
      <c r="O37" s="11">
        <v>605900.54</v>
      </c>
      <c r="P37" s="8">
        <v>76</v>
      </c>
      <c r="Q37" s="11">
        <v>4746.43</v>
      </c>
      <c r="R37" s="8">
        <v>2481</v>
      </c>
      <c r="S37" s="11">
        <v>124364.43000000002</v>
      </c>
      <c r="T37" s="53">
        <f t="shared" si="16"/>
        <v>2893178</v>
      </c>
      <c r="U37" s="54">
        <f t="shared" si="10"/>
        <v>129197874.01000001</v>
      </c>
      <c r="V37" s="2" t="s">
        <v>57</v>
      </c>
      <c r="AE37" s="2" t="s">
        <v>28</v>
      </c>
      <c r="AF37" s="2">
        <v>2023</v>
      </c>
      <c r="AG37" s="1">
        <f t="shared" si="11"/>
        <v>871415</v>
      </c>
      <c r="AH37" s="11">
        <f t="shared" si="11"/>
        <v>40783718.189999998</v>
      </c>
      <c r="AI37" s="1">
        <f t="shared" si="12"/>
        <v>1995982</v>
      </c>
      <c r="AJ37" s="11">
        <f t="shared" si="12"/>
        <v>87244895.019999996</v>
      </c>
      <c r="AK37" s="8">
        <f t="shared" si="12"/>
        <v>9949</v>
      </c>
      <c r="AL37" s="11">
        <f t="shared" si="12"/>
        <v>434249.39999999997</v>
      </c>
      <c r="AM37" s="8">
        <f t="shared" si="12"/>
        <v>13275</v>
      </c>
      <c r="AN37" s="11">
        <f t="shared" si="12"/>
        <v>605900.54</v>
      </c>
      <c r="AO37" s="8">
        <f t="shared" si="12"/>
        <v>76</v>
      </c>
      <c r="AP37" s="11">
        <f t="shared" si="12"/>
        <v>4746.43</v>
      </c>
      <c r="AQ37" s="11">
        <f t="shared" si="12"/>
        <v>2481</v>
      </c>
      <c r="AR37" s="11">
        <f t="shared" si="12"/>
        <v>124364.43000000002</v>
      </c>
      <c r="AS37" s="8">
        <f t="shared" si="17"/>
        <v>2893178</v>
      </c>
      <c r="AT37" s="11">
        <f t="shared" si="13"/>
        <v>129197874.01000001</v>
      </c>
      <c r="AU37" s="2" t="str">
        <f t="shared" si="14"/>
        <v>VIADUCTO</v>
      </c>
      <c r="AV37" s="37">
        <f t="shared" si="15"/>
        <v>0</v>
      </c>
      <c r="AW37" s="37">
        <f t="shared" si="15"/>
        <v>0</v>
      </c>
    </row>
    <row r="38" spans="1:49" outlineLevel="1" x14ac:dyDescent="0.25">
      <c r="B38" s="2" t="s">
        <v>29</v>
      </c>
      <c r="C38" s="2">
        <v>2023</v>
      </c>
      <c r="D38" s="1">
        <v>599033</v>
      </c>
      <c r="E38" s="11">
        <v>28685985.879999999</v>
      </c>
      <c r="F38" s="1">
        <v>277810</v>
      </c>
      <c r="G38" s="11">
        <v>12220046.949999997</v>
      </c>
      <c r="H38" s="1">
        <v>11431</v>
      </c>
      <c r="I38" s="11">
        <v>569479.75999999989</v>
      </c>
      <c r="J38" s="1">
        <v>2082375</v>
      </c>
      <c r="K38" s="11">
        <v>90699276.040000007</v>
      </c>
      <c r="L38" s="8">
        <v>10196</v>
      </c>
      <c r="M38" s="11">
        <v>444728.49000000017</v>
      </c>
      <c r="N38" s="8">
        <v>13488</v>
      </c>
      <c r="O38" s="11">
        <v>611556.89</v>
      </c>
      <c r="P38" s="8">
        <v>60</v>
      </c>
      <c r="Q38" s="11">
        <v>3492.59</v>
      </c>
      <c r="R38" s="8">
        <v>2947</v>
      </c>
      <c r="S38" s="11">
        <v>145983.41999999998</v>
      </c>
      <c r="T38" s="53">
        <f>N38+L38+J38+H38+D38+P38+F38+R38</f>
        <v>2997340</v>
      </c>
      <c r="U38" s="54">
        <f t="shared" si="10"/>
        <v>133380550.02000001</v>
      </c>
      <c r="V38" s="2" t="s">
        <v>57</v>
      </c>
      <c r="AE38" s="2" t="s">
        <v>29</v>
      </c>
      <c r="AF38" s="2">
        <v>2023</v>
      </c>
      <c r="AG38" s="1">
        <f t="shared" si="11"/>
        <v>888274</v>
      </c>
      <c r="AH38" s="11">
        <f t="shared" si="11"/>
        <v>41475512.589999996</v>
      </c>
      <c r="AI38" s="1">
        <f t="shared" si="12"/>
        <v>2082375</v>
      </c>
      <c r="AJ38" s="11">
        <f t="shared" si="12"/>
        <v>90699276.040000007</v>
      </c>
      <c r="AK38" s="8">
        <f t="shared" si="12"/>
        <v>10196</v>
      </c>
      <c r="AL38" s="11">
        <f t="shared" si="12"/>
        <v>444728.49000000017</v>
      </c>
      <c r="AM38" s="8">
        <f t="shared" si="12"/>
        <v>13488</v>
      </c>
      <c r="AN38" s="11">
        <f t="shared" si="12"/>
        <v>611556.89</v>
      </c>
      <c r="AO38" s="8">
        <f t="shared" si="12"/>
        <v>60</v>
      </c>
      <c r="AP38" s="11">
        <f t="shared" si="12"/>
        <v>3492.59</v>
      </c>
      <c r="AQ38" s="11">
        <f t="shared" si="12"/>
        <v>2947</v>
      </c>
      <c r="AR38" s="11">
        <f t="shared" si="12"/>
        <v>145983.41999999998</v>
      </c>
      <c r="AS38" s="8">
        <f t="shared" si="17"/>
        <v>2997340</v>
      </c>
      <c r="AT38" s="11">
        <f t="shared" si="13"/>
        <v>133380550.02</v>
      </c>
      <c r="AU38" s="2" t="str">
        <f t="shared" si="14"/>
        <v>VIADUCTO</v>
      </c>
      <c r="AV38" s="37">
        <f t="shared" si="15"/>
        <v>0</v>
      </c>
      <c r="AW38" s="37">
        <f t="shared" si="15"/>
        <v>0</v>
      </c>
    </row>
    <row r="39" spans="1:49" outlineLevel="1" x14ac:dyDescent="0.25">
      <c r="B39" s="2" t="s">
        <v>30</v>
      </c>
      <c r="C39" s="2">
        <v>2023</v>
      </c>
      <c r="D39" s="1">
        <v>558089</v>
      </c>
      <c r="E39" s="11">
        <v>26749019.060000002</v>
      </c>
      <c r="F39" s="1">
        <v>267815</v>
      </c>
      <c r="G39" s="11">
        <v>11737525.939999999</v>
      </c>
      <c r="H39" s="1">
        <v>11873</v>
      </c>
      <c r="I39" s="11">
        <v>584350.47999999986</v>
      </c>
      <c r="J39" s="1">
        <v>1996319</v>
      </c>
      <c r="K39" s="11">
        <v>87292454.280000001</v>
      </c>
      <c r="L39" s="8">
        <v>9690</v>
      </c>
      <c r="M39" s="11">
        <v>421884.02999999997</v>
      </c>
      <c r="N39" s="8">
        <v>13257</v>
      </c>
      <c r="O39" s="11">
        <v>598846.92000000016</v>
      </c>
      <c r="P39" s="8">
        <v>69</v>
      </c>
      <c r="Q39" s="11">
        <v>4232.1699999999992</v>
      </c>
      <c r="R39" s="8">
        <v>3567</v>
      </c>
      <c r="S39" s="11">
        <v>176497.22</v>
      </c>
      <c r="T39" s="53">
        <f t="shared" si="16"/>
        <v>2860679</v>
      </c>
      <c r="U39" s="54">
        <f t="shared" si="10"/>
        <v>127564810.10000001</v>
      </c>
      <c r="V39" s="2" t="s">
        <v>57</v>
      </c>
      <c r="AE39" s="2" t="s">
        <v>30</v>
      </c>
      <c r="AF39" s="2">
        <v>2023</v>
      </c>
      <c r="AG39" s="1">
        <f t="shared" si="11"/>
        <v>837777</v>
      </c>
      <c r="AH39" s="11">
        <f t="shared" si="11"/>
        <v>39070895.480000004</v>
      </c>
      <c r="AI39" s="1">
        <f t="shared" si="12"/>
        <v>1996319</v>
      </c>
      <c r="AJ39" s="11">
        <f t="shared" si="12"/>
        <v>87292454.280000001</v>
      </c>
      <c r="AK39" s="8">
        <f t="shared" si="12"/>
        <v>9690</v>
      </c>
      <c r="AL39" s="11">
        <f t="shared" si="12"/>
        <v>421884.02999999997</v>
      </c>
      <c r="AM39" s="8">
        <f t="shared" si="12"/>
        <v>13257</v>
      </c>
      <c r="AN39" s="11">
        <f t="shared" si="12"/>
        <v>598846.92000000016</v>
      </c>
      <c r="AO39" s="8">
        <f t="shared" si="12"/>
        <v>69</v>
      </c>
      <c r="AP39" s="11">
        <f t="shared" si="12"/>
        <v>4232.1699999999992</v>
      </c>
      <c r="AQ39" s="11">
        <f t="shared" si="12"/>
        <v>3567</v>
      </c>
      <c r="AR39" s="11">
        <f t="shared" si="12"/>
        <v>176497.22</v>
      </c>
      <c r="AS39" s="8">
        <f t="shared" si="17"/>
        <v>2860679</v>
      </c>
      <c r="AT39" s="11">
        <f t="shared" si="13"/>
        <v>127564810.10000001</v>
      </c>
      <c r="AU39" s="2" t="str">
        <f t="shared" si="14"/>
        <v>VIADUCTO</v>
      </c>
      <c r="AV39" s="37">
        <f t="shared" si="15"/>
        <v>0</v>
      </c>
      <c r="AW39" s="37">
        <f t="shared" si="15"/>
        <v>0</v>
      </c>
    </row>
    <row r="40" spans="1:49" outlineLevel="1" x14ac:dyDescent="0.25">
      <c r="B40" s="2" t="s">
        <v>31</v>
      </c>
      <c r="C40" s="2">
        <v>2023</v>
      </c>
      <c r="D40" s="1">
        <v>526935</v>
      </c>
      <c r="E40" s="11">
        <v>25365028.030000005</v>
      </c>
      <c r="F40" s="1">
        <v>252369</v>
      </c>
      <c r="G40" s="11">
        <v>11077973.080000002</v>
      </c>
      <c r="H40" s="1">
        <v>11710</v>
      </c>
      <c r="I40" s="11">
        <v>576485.17999999993</v>
      </c>
      <c r="J40" s="1">
        <v>1880875</v>
      </c>
      <c r="K40" s="11">
        <v>82370476.070000008</v>
      </c>
      <c r="L40" s="8">
        <v>9111</v>
      </c>
      <c r="M40" s="11">
        <v>405643.25000000006</v>
      </c>
      <c r="N40" s="8">
        <v>12512</v>
      </c>
      <c r="O40" s="11">
        <v>561008.72999999986</v>
      </c>
      <c r="P40" s="8">
        <v>67</v>
      </c>
      <c r="Q40" s="11">
        <v>4016.5800000000008</v>
      </c>
      <c r="R40" s="8">
        <v>4534</v>
      </c>
      <c r="S40" s="11">
        <v>219539.96999999997</v>
      </c>
      <c r="T40" s="53">
        <f t="shared" si="16"/>
        <v>2698113</v>
      </c>
      <c r="U40" s="54">
        <f t="shared" si="10"/>
        <v>120580170.89000002</v>
      </c>
      <c r="V40" s="2" t="s">
        <v>57</v>
      </c>
      <c r="X40" s="13"/>
      <c r="AE40" s="2" t="s">
        <v>31</v>
      </c>
      <c r="AF40" s="2">
        <v>2023</v>
      </c>
      <c r="AG40" s="1">
        <f t="shared" si="11"/>
        <v>791014</v>
      </c>
      <c r="AH40" s="11">
        <f t="shared" si="11"/>
        <v>37019486.290000007</v>
      </c>
      <c r="AI40" s="1">
        <f t="shared" si="12"/>
        <v>1880875</v>
      </c>
      <c r="AJ40" s="11">
        <f t="shared" si="12"/>
        <v>82370476.070000008</v>
      </c>
      <c r="AK40" s="8">
        <f t="shared" si="12"/>
        <v>9111</v>
      </c>
      <c r="AL40" s="11">
        <f t="shared" si="12"/>
        <v>405643.25000000006</v>
      </c>
      <c r="AM40" s="8">
        <f t="shared" si="12"/>
        <v>12512</v>
      </c>
      <c r="AN40" s="11">
        <f t="shared" si="12"/>
        <v>561008.72999999986</v>
      </c>
      <c r="AO40" s="8">
        <f t="shared" si="12"/>
        <v>67</v>
      </c>
      <c r="AP40" s="11">
        <f t="shared" si="12"/>
        <v>4016.5800000000008</v>
      </c>
      <c r="AQ40" s="11">
        <f t="shared" si="12"/>
        <v>4534</v>
      </c>
      <c r="AR40" s="11">
        <f t="shared" si="12"/>
        <v>219539.96999999997</v>
      </c>
      <c r="AS40" s="8">
        <f t="shared" si="17"/>
        <v>2698113</v>
      </c>
      <c r="AT40" s="11">
        <f t="shared" si="13"/>
        <v>120580170.89000002</v>
      </c>
      <c r="AU40" s="2" t="str">
        <f t="shared" si="14"/>
        <v>VIADUCTO</v>
      </c>
      <c r="AV40" s="37">
        <f t="shared" si="15"/>
        <v>0</v>
      </c>
      <c r="AW40" s="37">
        <f t="shared" si="15"/>
        <v>0</v>
      </c>
    </row>
    <row r="41" spans="1:49" outlineLevel="1" x14ac:dyDescent="0.25">
      <c r="AH41" s="9"/>
      <c r="AJ41" s="9"/>
      <c r="AL41" s="9"/>
      <c r="AN41" s="9"/>
      <c r="AO41" s="9"/>
      <c r="AP41" s="9"/>
      <c r="AQ41" s="9"/>
      <c r="AR41" s="9"/>
      <c r="AT41" s="9"/>
    </row>
    <row r="42" spans="1:49" outlineLevel="1" x14ac:dyDescent="0.25">
      <c r="B42" s="3" t="s">
        <v>12</v>
      </c>
      <c r="C42" s="3"/>
      <c r="D42" s="4">
        <f t="shared" ref="D42:U42" si="18">SUM(D29:D41)</f>
        <v>6830956</v>
      </c>
      <c r="E42" s="12">
        <f t="shared" si="18"/>
        <v>325097773.35000002</v>
      </c>
      <c r="F42" s="4">
        <f t="shared" si="18"/>
        <v>3074606</v>
      </c>
      <c r="G42" s="12">
        <f t="shared" si="18"/>
        <v>133711795.47</v>
      </c>
      <c r="H42" s="4">
        <f t="shared" si="18"/>
        <v>122374</v>
      </c>
      <c r="I42" s="12">
        <f t="shared" si="18"/>
        <v>6109301.2399999993</v>
      </c>
      <c r="J42" s="4">
        <f t="shared" si="18"/>
        <v>23084198</v>
      </c>
      <c r="K42" s="12">
        <f t="shared" si="18"/>
        <v>1001505590.1299999</v>
      </c>
      <c r="L42" s="4">
        <f t="shared" si="18"/>
        <v>123565</v>
      </c>
      <c r="M42" s="12">
        <f t="shared" si="18"/>
        <v>5451954.0899999999</v>
      </c>
      <c r="N42" s="4">
        <f t="shared" si="18"/>
        <v>155111</v>
      </c>
      <c r="O42" s="12">
        <f t="shared" si="18"/>
        <v>6874718.5499999989</v>
      </c>
      <c r="P42" s="4">
        <f>SUM(P29:P41)</f>
        <v>867</v>
      </c>
      <c r="Q42" s="12">
        <f>SUM(Q29:Q41)</f>
        <v>59493.260000000009</v>
      </c>
      <c r="R42" s="4">
        <f>SUM(R29:R41)</f>
        <v>26951</v>
      </c>
      <c r="S42" s="12">
        <f>SUM(S29:S41)</f>
        <v>1281581.79</v>
      </c>
      <c r="T42" s="4">
        <f t="shared" si="18"/>
        <v>33418628</v>
      </c>
      <c r="U42" s="12">
        <f t="shared" si="18"/>
        <v>1480092207.8800001</v>
      </c>
      <c r="AE42" s="3" t="s">
        <v>12</v>
      </c>
      <c r="AF42" s="3"/>
      <c r="AG42" s="4">
        <f t="shared" ref="AG42:AT42" si="19">SUM(AG29:AG41)</f>
        <v>10027936</v>
      </c>
      <c r="AH42" s="12">
        <f t="shared" si="19"/>
        <v>464918870.06</v>
      </c>
      <c r="AI42" s="4">
        <f t="shared" si="19"/>
        <v>23084198</v>
      </c>
      <c r="AJ42" s="12">
        <f t="shared" si="19"/>
        <v>1001505590.1299999</v>
      </c>
      <c r="AK42" s="4">
        <f t="shared" si="19"/>
        <v>123565</v>
      </c>
      <c r="AL42" s="12">
        <f t="shared" si="19"/>
        <v>5451954.0899999999</v>
      </c>
      <c r="AM42" s="4">
        <f t="shared" si="19"/>
        <v>155111</v>
      </c>
      <c r="AN42" s="12">
        <f t="shared" si="19"/>
        <v>6874718.5499999989</v>
      </c>
      <c r="AO42" s="4">
        <f t="shared" si="19"/>
        <v>867</v>
      </c>
      <c r="AP42" s="12">
        <f t="shared" si="19"/>
        <v>59493.260000000009</v>
      </c>
      <c r="AQ42" s="4">
        <f t="shared" si="19"/>
        <v>26951</v>
      </c>
      <c r="AR42" s="12">
        <f t="shared" si="19"/>
        <v>1281581.79</v>
      </c>
      <c r="AS42" s="4">
        <f t="shared" si="19"/>
        <v>33418628</v>
      </c>
      <c r="AT42" s="12">
        <f t="shared" si="19"/>
        <v>1480092207.8800001</v>
      </c>
    </row>
    <row r="43" spans="1:49" outlineLevel="1" x14ac:dyDescent="0.25">
      <c r="J43" s="46" t="str">
        <f>+$A$24</f>
        <v>Aforo e Ingreso - VIADUCTO</v>
      </c>
      <c r="K43" s="9" t="s">
        <v>84</v>
      </c>
      <c r="L43" s="15">
        <f>AVERAGE(L29:L40)</f>
        <v>10297.083333333334</v>
      </c>
      <c r="M43" s="60">
        <f>AVERAGE(M29:M40)</f>
        <v>454329.50750000001</v>
      </c>
      <c r="T43" s="15">
        <f>AVERAGE(T29:T40)</f>
        <v>2784885.6666666665</v>
      </c>
      <c r="U43" s="28">
        <f>AVERAGE(U29:U40)</f>
        <v>123341017.32333334</v>
      </c>
    </row>
    <row r="44" spans="1:49" outlineLevel="1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+L43/$L$337</f>
        <v>7.7095665010553746E-2</v>
      </c>
      <c r="M44" s="36">
        <f>+M43/$M$337</f>
        <v>2.257431062792244E-2</v>
      </c>
      <c r="N44" s="18"/>
      <c r="O44" s="19"/>
      <c r="P44" s="19"/>
      <c r="Q44" s="19"/>
      <c r="R44" s="19"/>
      <c r="S44" s="19"/>
      <c r="T44" s="36">
        <f>+L43/T43</f>
        <v>3.6974887179689127E-3</v>
      </c>
      <c r="U44" s="62">
        <f>+M43/U43</f>
        <v>3.6835232703569662E-3</v>
      </c>
    </row>
    <row r="45" spans="1:49" outlineLevel="1" x14ac:dyDescent="0.25">
      <c r="A45" s="67" t="s">
        <v>21</v>
      </c>
      <c r="L45" s="26"/>
      <c r="M45" s="26"/>
    </row>
    <row r="46" spans="1:49" outlineLevel="1" x14ac:dyDescent="0.25">
      <c r="B46" s="5"/>
    </row>
    <row r="47" spans="1:49" outlineLevel="1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87</v>
      </c>
      <c r="S47" s="93"/>
      <c r="T47" s="89" t="s">
        <v>12</v>
      </c>
      <c r="U47" s="93"/>
      <c r="AG47" s="89" t="s">
        <v>69</v>
      </c>
      <c r="AH47" s="90"/>
      <c r="AI47" s="89" t="s">
        <v>17</v>
      </c>
      <c r="AJ47" s="93"/>
      <c r="AK47" s="89" t="s">
        <v>18</v>
      </c>
      <c r="AL47" s="93"/>
      <c r="AM47" s="89" t="s">
        <v>13</v>
      </c>
      <c r="AN47" s="93"/>
      <c r="AO47" s="89" t="s">
        <v>34</v>
      </c>
      <c r="AP47" s="93"/>
      <c r="AQ47" s="89" t="s">
        <v>87</v>
      </c>
      <c r="AR47" s="93"/>
      <c r="AS47" s="89" t="s">
        <v>12</v>
      </c>
      <c r="AT47" s="93"/>
    </row>
    <row r="48" spans="1:49" ht="15" customHeight="1" outlineLevel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AE48" s="7" t="s">
        <v>0</v>
      </c>
      <c r="AF48" s="7" t="s">
        <v>1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</row>
    <row r="49" spans="2:49" outlineLevel="1" x14ac:dyDescent="0.25">
      <c r="AH49" s="9"/>
      <c r="AJ49" s="9"/>
      <c r="AL49" s="9"/>
      <c r="AN49" s="9"/>
      <c r="AO49" s="9"/>
      <c r="AP49" s="9"/>
      <c r="AQ49" s="9"/>
      <c r="AR49" s="9"/>
      <c r="AT49" s="9"/>
    </row>
    <row r="50" spans="2:49" outlineLevel="1" x14ac:dyDescent="0.25">
      <c r="B50" s="2" t="s">
        <v>5</v>
      </c>
      <c r="C50" s="2">
        <v>2023</v>
      </c>
      <c r="D50" s="1">
        <v>238853</v>
      </c>
      <c r="E50" s="11">
        <v>10542623</v>
      </c>
      <c r="F50" s="1">
        <v>202473</v>
      </c>
      <c r="G50" s="11">
        <v>9062869</v>
      </c>
      <c r="H50" s="1">
        <v>5987</v>
      </c>
      <c r="I50" s="11">
        <v>267635</v>
      </c>
      <c r="J50" s="1">
        <v>1707289</v>
      </c>
      <c r="K50" s="11">
        <v>74523498</v>
      </c>
      <c r="L50" s="8">
        <v>13165</v>
      </c>
      <c r="M50" s="11">
        <v>566691</v>
      </c>
      <c r="N50" s="8">
        <v>27410</v>
      </c>
      <c r="O50" s="11">
        <v>1187715</v>
      </c>
      <c r="P50" s="8">
        <v>4</v>
      </c>
      <c r="Q50" s="11">
        <v>204</v>
      </c>
      <c r="R50" s="8">
        <v>1344</v>
      </c>
      <c r="S50" s="11">
        <v>68090</v>
      </c>
      <c r="T50" s="53">
        <f>N50+L50+J50+H50+D50+P50+F50+R50</f>
        <v>2196525</v>
      </c>
      <c r="U50" s="54">
        <f t="shared" ref="U50:U61" si="20">O50+M50+K50+I50+E50+Q50+G50+S50</f>
        <v>96219325</v>
      </c>
      <c r="V50" s="2" t="s">
        <v>58</v>
      </c>
      <c r="W50" s="15">
        <v>1419013</v>
      </c>
      <c r="X50" s="9">
        <v>96219325</v>
      </c>
      <c r="Y50" s="13">
        <f>+X50-U50</f>
        <v>0</v>
      </c>
      <c r="AE50" s="2" t="s">
        <v>5</v>
      </c>
      <c r="AF50" s="2">
        <v>2023</v>
      </c>
      <c r="AG50" s="1">
        <f t="shared" ref="AG50:AH61" si="21">D50+H50+F50</f>
        <v>447313</v>
      </c>
      <c r="AH50" s="11">
        <f t="shared" si="21"/>
        <v>19873127</v>
      </c>
      <c r="AI50" s="1">
        <f t="shared" ref="AI50:AR61" si="22">+J50</f>
        <v>1707289</v>
      </c>
      <c r="AJ50" s="11">
        <f t="shared" si="22"/>
        <v>74523498</v>
      </c>
      <c r="AK50" s="8">
        <f t="shared" si="22"/>
        <v>13165</v>
      </c>
      <c r="AL50" s="11">
        <f t="shared" si="22"/>
        <v>566691</v>
      </c>
      <c r="AM50" s="8">
        <f t="shared" si="22"/>
        <v>27410</v>
      </c>
      <c r="AN50" s="11">
        <f t="shared" si="22"/>
        <v>1187715</v>
      </c>
      <c r="AO50" s="8">
        <f t="shared" si="22"/>
        <v>4</v>
      </c>
      <c r="AP50" s="11">
        <f t="shared" si="22"/>
        <v>204</v>
      </c>
      <c r="AQ50" s="11">
        <f t="shared" si="22"/>
        <v>1344</v>
      </c>
      <c r="AR50" s="11">
        <f t="shared" si="22"/>
        <v>68090</v>
      </c>
      <c r="AS50" s="8">
        <f>AO50+AM50+AK50+AI50+AG50+AQ50</f>
        <v>2196525</v>
      </c>
      <c r="AT50" s="11">
        <f t="shared" ref="AT50:AT61" si="23">AP50+AN50+AL50+AJ50+AH50+AR50</f>
        <v>96219325</v>
      </c>
      <c r="AU50" s="2" t="str">
        <f t="shared" ref="AU50:AU61" si="24">+V50</f>
        <v>SUPERVIA</v>
      </c>
      <c r="AV50" s="37">
        <f t="shared" ref="AV50:AW61" si="25">+AS50-T50</f>
        <v>0</v>
      </c>
      <c r="AW50" s="37">
        <f t="shared" si="25"/>
        <v>0</v>
      </c>
    </row>
    <row r="51" spans="2:49" outlineLevel="1" x14ac:dyDescent="0.25">
      <c r="B51" s="2" t="s">
        <v>6</v>
      </c>
      <c r="C51" s="2">
        <v>2023</v>
      </c>
      <c r="D51" s="1">
        <v>236869</v>
      </c>
      <c r="E51" s="11">
        <v>10971923</v>
      </c>
      <c r="F51" s="1">
        <v>199468</v>
      </c>
      <c r="G51" s="11">
        <v>9382571</v>
      </c>
      <c r="H51" s="1">
        <v>6489</v>
      </c>
      <c r="I51" s="11">
        <v>304229</v>
      </c>
      <c r="J51" s="1">
        <v>1714557</v>
      </c>
      <c r="K51" s="11">
        <v>78484682</v>
      </c>
      <c r="L51" s="8">
        <v>12683</v>
      </c>
      <c r="M51" s="11">
        <v>573431</v>
      </c>
      <c r="N51" s="8">
        <v>26818</v>
      </c>
      <c r="O51" s="11">
        <v>1219046</v>
      </c>
      <c r="P51" s="8">
        <v>0</v>
      </c>
      <c r="Q51" s="11">
        <v>0</v>
      </c>
      <c r="R51" s="8">
        <v>1187</v>
      </c>
      <c r="S51" s="11">
        <v>60910</v>
      </c>
      <c r="T51" s="53">
        <f t="shared" ref="T51:T61" si="26">N51+L51+J51+H51+D51+P51+F51+R51</f>
        <v>2198071</v>
      </c>
      <c r="U51" s="54">
        <f t="shared" si="20"/>
        <v>100996792</v>
      </c>
      <c r="V51" s="2" t="s">
        <v>58</v>
      </c>
      <c r="W51" s="15">
        <v>1427657</v>
      </c>
      <c r="X51" s="9">
        <v>100996792</v>
      </c>
      <c r="Y51" s="13">
        <f t="shared" ref="Y51:Y61" si="27">+X51-U51</f>
        <v>0</v>
      </c>
      <c r="AE51" s="2" t="s">
        <v>6</v>
      </c>
      <c r="AF51" s="2">
        <v>2023</v>
      </c>
      <c r="AG51" s="1">
        <f t="shared" si="21"/>
        <v>442826</v>
      </c>
      <c r="AH51" s="11">
        <f t="shared" si="21"/>
        <v>20658723</v>
      </c>
      <c r="AI51" s="1">
        <f t="shared" si="22"/>
        <v>1714557</v>
      </c>
      <c r="AJ51" s="11">
        <f t="shared" si="22"/>
        <v>78484682</v>
      </c>
      <c r="AK51" s="8">
        <f t="shared" si="22"/>
        <v>12683</v>
      </c>
      <c r="AL51" s="11">
        <f t="shared" si="22"/>
        <v>573431</v>
      </c>
      <c r="AM51" s="8">
        <f t="shared" si="22"/>
        <v>26818</v>
      </c>
      <c r="AN51" s="11">
        <f t="shared" si="22"/>
        <v>1219046</v>
      </c>
      <c r="AO51" s="8">
        <f t="shared" si="22"/>
        <v>0</v>
      </c>
      <c r="AP51" s="11">
        <f t="shared" si="22"/>
        <v>0</v>
      </c>
      <c r="AQ51" s="11">
        <f t="shared" si="22"/>
        <v>1187</v>
      </c>
      <c r="AR51" s="11">
        <f t="shared" si="22"/>
        <v>60910</v>
      </c>
      <c r="AS51" s="8">
        <f t="shared" ref="AS51:AS61" si="28">AO51+AM51+AK51+AI51+AG51+AQ51</f>
        <v>2198071</v>
      </c>
      <c r="AT51" s="11">
        <f t="shared" si="23"/>
        <v>100996792</v>
      </c>
      <c r="AU51" s="2" t="str">
        <f t="shared" si="24"/>
        <v>SUPERVIA</v>
      </c>
      <c r="AV51" s="37">
        <f t="shared" si="25"/>
        <v>0</v>
      </c>
      <c r="AW51" s="37">
        <f t="shared" si="25"/>
        <v>0</v>
      </c>
    </row>
    <row r="52" spans="2:49" outlineLevel="1" x14ac:dyDescent="0.25">
      <c r="B52" s="2" t="s">
        <v>7</v>
      </c>
      <c r="C52" s="2">
        <v>2023</v>
      </c>
      <c r="D52" s="1">
        <v>264528</v>
      </c>
      <c r="E52" s="11">
        <v>12415368</v>
      </c>
      <c r="F52" s="1">
        <v>226617</v>
      </c>
      <c r="G52" s="11">
        <v>10763050</v>
      </c>
      <c r="H52" s="1">
        <v>7689</v>
      </c>
      <c r="I52" s="11">
        <v>363272</v>
      </c>
      <c r="J52" s="1">
        <v>1930352</v>
      </c>
      <c r="K52" s="11">
        <v>89443270</v>
      </c>
      <c r="L52" s="8">
        <v>14456</v>
      </c>
      <c r="M52" s="11">
        <v>665104</v>
      </c>
      <c r="N52" s="8">
        <v>30869</v>
      </c>
      <c r="O52" s="11">
        <v>1419483</v>
      </c>
      <c r="P52" s="8">
        <v>0</v>
      </c>
      <c r="Q52" s="11">
        <v>0</v>
      </c>
      <c r="R52" s="8">
        <v>1332</v>
      </c>
      <c r="S52" s="11">
        <v>66885</v>
      </c>
      <c r="T52" s="53">
        <f t="shared" si="26"/>
        <v>2475843</v>
      </c>
      <c r="U52" s="54">
        <f t="shared" si="20"/>
        <v>115136432</v>
      </c>
      <c r="V52" s="2" t="s">
        <v>58</v>
      </c>
      <c r="W52" s="15">
        <v>1599201</v>
      </c>
      <c r="X52" s="9">
        <v>115136432</v>
      </c>
      <c r="Y52" s="13">
        <f t="shared" si="27"/>
        <v>0</v>
      </c>
      <c r="AE52" s="2" t="s">
        <v>7</v>
      </c>
      <c r="AF52" s="2">
        <v>2023</v>
      </c>
      <c r="AG52" s="1">
        <f t="shared" si="21"/>
        <v>498834</v>
      </c>
      <c r="AH52" s="11">
        <f t="shared" si="21"/>
        <v>23541690</v>
      </c>
      <c r="AI52" s="1">
        <f t="shared" si="22"/>
        <v>1930352</v>
      </c>
      <c r="AJ52" s="11">
        <f t="shared" si="22"/>
        <v>89443270</v>
      </c>
      <c r="AK52" s="8">
        <f t="shared" si="22"/>
        <v>14456</v>
      </c>
      <c r="AL52" s="11">
        <f t="shared" si="22"/>
        <v>665104</v>
      </c>
      <c r="AM52" s="8">
        <f t="shared" si="22"/>
        <v>30869</v>
      </c>
      <c r="AN52" s="11">
        <f t="shared" si="22"/>
        <v>1419483</v>
      </c>
      <c r="AO52" s="8">
        <f t="shared" si="22"/>
        <v>0</v>
      </c>
      <c r="AP52" s="11">
        <f t="shared" si="22"/>
        <v>0</v>
      </c>
      <c r="AQ52" s="11">
        <f t="shared" si="22"/>
        <v>1332</v>
      </c>
      <c r="AR52" s="11">
        <f t="shared" si="22"/>
        <v>66885</v>
      </c>
      <c r="AS52" s="8">
        <f t="shared" si="28"/>
        <v>2475843</v>
      </c>
      <c r="AT52" s="11">
        <f t="shared" si="23"/>
        <v>115136432</v>
      </c>
      <c r="AU52" s="2" t="str">
        <f t="shared" si="24"/>
        <v>SUPERVIA</v>
      </c>
      <c r="AV52" s="37">
        <f t="shared" si="25"/>
        <v>0</v>
      </c>
      <c r="AW52" s="37">
        <f t="shared" si="25"/>
        <v>0</v>
      </c>
    </row>
    <row r="53" spans="2:49" outlineLevel="1" x14ac:dyDescent="0.25">
      <c r="B53" s="2" t="s">
        <v>8</v>
      </c>
      <c r="C53" s="2">
        <v>2023</v>
      </c>
      <c r="D53" s="1">
        <v>220957</v>
      </c>
      <c r="E53" s="11">
        <v>10293790</v>
      </c>
      <c r="F53" s="1">
        <v>185996</v>
      </c>
      <c r="G53" s="11">
        <v>8779855</v>
      </c>
      <c r="H53" s="1">
        <v>6210</v>
      </c>
      <c r="I53" s="11">
        <v>291207</v>
      </c>
      <c r="J53" s="1">
        <v>1614722</v>
      </c>
      <c r="K53" s="11">
        <v>74491271</v>
      </c>
      <c r="L53" s="8">
        <v>11629</v>
      </c>
      <c r="M53" s="11">
        <v>528803</v>
      </c>
      <c r="N53" s="8">
        <v>26296</v>
      </c>
      <c r="O53" s="11">
        <v>1203458</v>
      </c>
      <c r="P53" s="8">
        <v>0</v>
      </c>
      <c r="Q53" s="11">
        <v>0</v>
      </c>
      <c r="R53" s="8">
        <v>1011</v>
      </c>
      <c r="S53" s="11">
        <v>49438</v>
      </c>
      <c r="T53" s="53">
        <f t="shared" si="26"/>
        <v>2066821</v>
      </c>
      <c r="U53" s="54">
        <f t="shared" si="20"/>
        <v>95637822</v>
      </c>
      <c r="V53" s="2" t="s">
        <v>58</v>
      </c>
      <c r="W53" s="15">
        <v>1328467</v>
      </c>
      <c r="X53" s="9">
        <v>95637822</v>
      </c>
      <c r="Y53" s="13">
        <f t="shared" si="27"/>
        <v>0</v>
      </c>
      <c r="AE53" s="2" t="s">
        <v>8</v>
      </c>
      <c r="AF53" s="2">
        <v>2023</v>
      </c>
      <c r="AG53" s="1">
        <f t="shared" si="21"/>
        <v>413163</v>
      </c>
      <c r="AH53" s="11">
        <f t="shared" si="21"/>
        <v>19364852</v>
      </c>
      <c r="AI53" s="1">
        <f t="shared" si="22"/>
        <v>1614722</v>
      </c>
      <c r="AJ53" s="11">
        <f t="shared" si="22"/>
        <v>74491271</v>
      </c>
      <c r="AK53" s="8">
        <f t="shared" si="22"/>
        <v>11629</v>
      </c>
      <c r="AL53" s="11">
        <f t="shared" si="22"/>
        <v>528803</v>
      </c>
      <c r="AM53" s="8">
        <f t="shared" si="22"/>
        <v>26296</v>
      </c>
      <c r="AN53" s="11">
        <f t="shared" si="22"/>
        <v>1203458</v>
      </c>
      <c r="AO53" s="8">
        <f t="shared" si="22"/>
        <v>0</v>
      </c>
      <c r="AP53" s="11">
        <f t="shared" si="22"/>
        <v>0</v>
      </c>
      <c r="AQ53" s="11">
        <f t="shared" si="22"/>
        <v>1011</v>
      </c>
      <c r="AR53" s="11">
        <f t="shared" si="22"/>
        <v>49438</v>
      </c>
      <c r="AS53" s="8">
        <f t="shared" si="28"/>
        <v>2066821</v>
      </c>
      <c r="AT53" s="11">
        <f t="shared" si="23"/>
        <v>95637822</v>
      </c>
      <c r="AU53" s="2" t="str">
        <f t="shared" si="24"/>
        <v>SUPERVIA</v>
      </c>
      <c r="AV53" s="37">
        <f t="shared" si="25"/>
        <v>0</v>
      </c>
      <c r="AW53" s="37">
        <f t="shared" si="25"/>
        <v>0</v>
      </c>
    </row>
    <row r="54" spans="2:49" outlineLevel="1" x14ac:dyDescent="0.25">
      <c r="B54" s="2" t="s">
        <v>9</v>
      </c>
      <c r="C54" s="2">
        <v>2023</v>
      </c>
      <c r="D54" s="1">
        <v>260595</v>
      </c>
      <c r="E54" s="11">
        <v>12067474</v>
      </c>
      <c r="F54" s="1">
        <v>222195</v>
      </c>
      <c r="G54" s="11">
        <v>10432905</v>
      </c>
      <c r="H54" s="1">
        <v>7494</v>
      </c>
      <c r="I54" s="11">
        <v>350136</v>
      </c>
      <c r="J54" s="1">
        <v>1903455</v>
      </c>
      <c r="K54" s="11">
        <v>87419823</v>
      </c>
      <c r="L54" s="8">
        <v>13449</v>
      </c>
      <c r="M54" s="11">
        <v>609369</v>
      </c>
      <c r="N54" s="8">
        <v>31239</v>
      </c>
      <c r="O54" s="11">
        <v>1431615</v>
      </c>
      <c r="P54" s="8">
        <v>0</v>
      </c>
      <c r="Q54" s="11">
        <v>0</v>
      </c>
      <c r="R54" s="8">
        <v>1257</v>
      </c>
      <c r="S54" s="11">
        <v>62322</v>
      </c>
      <c r="T54" s="53">
        <f t="shared" si="26"/>
        <v>2439684</v>
      </c>
      <c r="U54" s="54">
        <f t="shared" si="20"/>
        <v>112373644</v>
      </c>
      <c r="V54" s="2" t="s">
        <v>58</v>
      </c>
      <c r="W54" s="15">
        <v>1572832</v>
      </c>
      <c r="X54" s="9">
        <v>112373644</v>
      </c>
      <c r="Y54" s="13">
        <f t="shared" si="27"/>
        <v>0</v>
      </c>
      <c r="AE54" s="2" t="s">
        <v>9</v>
      </c>
      <c r="AF54" s="2">
        <v>2023</v>
      </c>
      <c r="AG54" s="1">
        <f t="shared" si="21"/>
        <v>490284</v>
      </c>
      <c r="AH54" s="11">
        <f t="shared" si="21"/>
        <v>22850515</v>
      </c>
      <c r="AI54" s="1">
        <f t="shared" si="22"/>
        <v>1903455</v>
      </c>
      <c r="AJ54" s="11">
        <f t="shared" si="22"/>
        <v>87419823</v>
      </c>
      <c r="AK54" s="8">
        <f t="shared" si="22"/>
        <v>13449</v>
      </c>
      <c r="AL54" s="11">
        <f t="shared" si="22"/>
        <v>609369</v>
      </c>
      <c r="AM54" s="8">
        <f t="shared" si="22"/>
        <v>31239</v>
      </c>
      <c r="AN54" s="11">
        <f t="shared" si="22"/>
        <v>1431615</v>
      </c>
      <c r="AO54" s="8">
        <f t="shared" si="22"/>
        <v>0</v>
      </c>
      <c r="AP54" s="11">
        <f t="shared" si="22"/>
        <v>0</v>
      </c>
      <c r="AQ54" s="11">
        <f t="shared" si="22"/>
        <v>1257</v>
      </c>
      <c r="AR54" s="11">
        <f t="shared" si="22"/>
        <v>62322</v>
      </c>
      <c r="AS54" s="8">
        <f t="shared" si="28"/>
        <v>2439684</v>
      </c>
      <c r="AT54" s="11">
        <f t="shared" si="23"/>
        <v>112373644</v>
      </c>
      <c r="AU54" s="2" t="str">
        <f t="shared" si="24"/>
        <v>SUPERVIA</v>
      </c>
      <c r="AV54" s="37">
        <f t="shared" si="25"/>
        <v>0</v>
      </c>
      <c r="AW54" s="37">
        <f t="shared" si="25"/>
        <v>0</v>
      </c>
    </row>
    <row r="55" spans="2:49" outlineLevel="1" x14ac:dyDescent="0.25">
      <c r="B55" s="2" t="s">
        <v>10</v>
      </c>
      <c r="C55" s="2">
        <v>2023</v>
      </c>
      <c r="D55" s="1">
        <v>257890</v>
      </c>
      <c r="E55" s="11">
        <v>11984720</v>
      </c>
      <c r="F55" s="1">
        <v>222452</v>
      </c>
      <c r="G55" s="11">
        <v>10450362</v>
      </c>
      <c r="H55" s="1">
        <v>8228</v>
      </c>
      <c r="I55" s="11">
        <v>385594</v>
      </c>
      <c r="J55" s="1">
        <v>1852176</v>
      </c>
      <c r="K55" s="11">
        <v>85200020</v>
      </c>
      <c r="L55" s="8">
        <v>12737</v>
      </c>
      <c r="M55" s="11">
        <v>578616</v>
      </c>
      <c r="N55" s="8">
        <v>30247</v>
      </c>
      <c r="O55" s="11">
        <v>1390064</v>
      </c>
      <c r="P55" s="8">
        <v>0</v>
      </c>
      <c r="Q55" s="11">
        <v>0</v>
      </c>
      <c r="R55" s="8">
        <v>1518</v>
      </c>
      <c r="S55" s="11">
        <v>75158</v>
      </c>
      <c r="T55" s="53">
        <f t="shared" si="26"/>
        <v>2385248</v>
      </c>
      <c r="U55" s="54">
        <f t="shared" si="20"/>
        <v>110064534</v>
      </c>
      <c r="V55" s="2" t="s">
        <v>58</v>
      </c>
      <c r="W55" s="15">
        <v>1540801</v>
      </c>
      <c r="X55" s="9">
        <v>110064534</v>
      </c>
      <c r="Y55" s="13">
        <f t="shared" si="27"/>
        <v>0</v>
      </c>
      <c r="AE55" s="2" t="s">
        <v>10</v>
      </c>
      <c r="AF55" s="2">
        <v>2023</v>
      </c>
      <c r="AG55" s="1">
        <f t="shared" si="21"/>
        <v>488570</v>
      </c>
      <c r="AH55" s="11">
        <f t="shared" si="21"/>
        <v>22820676</v>
      </c>
      <c r="AI55" s="1">
        <f t="shared" si="22"/>
        <v>1852176</v>
      </c>
      <c r="AJ55" s="11">
        <f t="shared" si="22"/>
        <v>85200020</v>
      </c>
      <c r="AK55" s="8">
        <f t="shared" si="22"/>
        <v>12737</v>
      </c>
      <c r="AL55" s="11">
        <f t="shared" si="22"/>
        <v>578616</v>
      </c>
      <c r="AM55" s="8">
        <f t="shared" si="22"/>
        <v>30247</v>
      </c>
      <c r="AN55" s="11">
        <f t="shared" si="22"/>
        <v>1390064</v>
      </c>
      <c r="AO55" s="8">
        <f t="shared" si="22"/>
        <v>0</v>
      </c>
      <c r="AP55" s="11">
        <f t="shared" si="22"/>
        <v>0</v>
      </c>
      <c r="AQ55" s="11">
        <f t="shared" si="22"/>
        <v>1518</v>
      </c>
      <c r="AR55" s="11">
        <f t="shared" si="22"/>
        <v>75158</v>
      </c>
      <c r="AS55" s="8">
        <f t="shared" si="28"/>
        <v>2385248</v>
      </c>
      <c r="AT55" s="11">
        <f t="shared" si="23"/>
        <v>110064534</v>
      </c>
      <c r="AU55" s="2" t="str">
        <f t="shared" si="24"/>
        <v>SUPERVIA</v>
      </c>
      <c r="AV55" s="37">
        <f t="shared" si="25"/>
        <v>0</v>
      </c>
      <c r="AW55" s="37">
        <f t="shared" si="25"/>
        <v>0</v>
      </c>
    </row>
    <row r="56" spans="2:49" outlineLevel="1" x14ac:dyDescent="0.25">
      <c r="B56" s="2" t="s">
        <v>11</v>
      </c>
      <c r="C56" s="2">
        <v>2023</v>
      </c>
      <c r="D56" s="1">
        <v>229306</v>
      </c>
      <c r="E56" s="11">
        <v>10657370</v>
      </c>
      <c r="F56" s="1">
        <v>192960</v>
      </c>
      <c r="G56" s="11">
        <v>9078837</v>
      </c>
      <c r="H56" s="1">
        <v>6624</v>
      </c>
      <c r="I56" s="11">
        <v>310412</v>
      </c>
      <c r="J56" s="1">
        <v>1619398</v>
      </c>
      <c r="K56" s="11">
        <v>74422356</v>
      </c>
      <c r="L56" s="8">
        <v>10874</v>
      </c>
      <c r="M56" s="11">
        <v>493456</v>
      </c>
      <c r="N56" s="8">
        <v>28373</v>
      </c>
      <c r="O56" s="11">
        <v>1297858</v>
      </c>
      <c r="P56" s="8">
        <v>0</v>
      </c>
      <c r="Q56" s="11">
        <v>0</v>
      </c>
      <c r="R56" s="8">
        <v>1955</v>
      </c>
      <c r="S56" s="11">
        <v>92726</v>
      </c>
      <c r="T56" s="53">
        <f t="shared" si="26"/>
        <v>2089490</v>
      </c>
      <c r="U56" s="54">
        <f t="shared" si="20"/>
        <v>96353015</v>
      </c>
      <c r="V56" s="2" t="s">
        <v>58</v>
      </c>
      <c r="W56" s="15">
        <v>1341017</v>
      </c>
      <c r="X56" s="9">
        <v>96353015</v>
      </c>
      <c r="Y56" s="13">
        <f t="shared" si="27"/>
        <v>0</v>
      </c>
      <c r="AE56" s="2" t="s">
        <v>11</v>
      </c>
      <c r="AF56" s="2">
        <v>2023</v>
      </c>
      <c r="AG56" s="1">
        <f t="shared" si="21"/>
        <v>428890</v>
      </c>
      <c r="AH56" s="11">
        <f t="shared" si="21"/>
        <v>20046619</v>
      </c>
      <c r="AI56" s="1">
        <f t="shared" si="22"/>
        <v>1619398</v>
      </c>
      <c r="AJ56" s="11">
        <f t="shared" si="22"/>
        <v>74422356</v>
      </c>
      <c r="AK56" s="8">
        <f t="shared" si="22"/>
        <v>10874</v>
      </c>
      <c r="AL56" s="11">
        <f t="shared" si="22"/>
        <v>493456</v>
      </c>
      <c r="AM56" s="8">
        <f t="shared" si="22"/>
        <v>28373</v>
      </c>
      <c r="AN56" s="11">
        <f t="shared" si="22"/>
        <v>1297858</v>
      </c>
      <c r="AO56" s="8">
        <f t="shared" si="22"/>
        <v>0</v>
      </c>
      <c r="AP56" s="11">
        <f t="shared" si="22"/>
        <v>0</v>
      </c>
      <c r="AQ56" s="11">
        <f t="shared" si="22"/>
        <v>1955</v>
      </c>
      <c r="AR56" s="11">
        <f t="shared" si="22"/>
        <v>92726</v>
      </c>
      <c r="AS56" s="8">
        <f t="shared" si="28"/>
        <v>2089490</v>
      </c>
      <c r="AT56" s="11">
        <f t="shared" si="23"/>
        <v>96353015</v>
      </c>
      <c r="AU56" s="2" t="str">
        <f t="shared" si="24"/>
        <v>SUPERVIA</v>
      </c>
      <c r="AV56" s="37">
        <f t="shared" si="25"/>
        <v>0</v>
      </c>
      <c r="AW56" s="37">
        <f t="shared" si="25"/>
        <v>0</v>
      </c>
    </row>
    <row r="57" spans="2:49" outlineLevel="1" x14ac:dyDescent="0.25">
      <c r="B57" s="2" t="s">
        <v>4</v>
      </c>
      <c r="C57" s="2">
        <v>2023</v>
      </c>
      <c r="D57" s="1">
        <v>255413</v>
      </c>
      <c r="E57" s="11">
        <v>11975212</v>
      </c>
      <c r="F57" s="1">
        <v>215883</v>
      </c>
      <c r="G57" s="11">
        <v>10228371</v>
      </c>
      <c r="H57" s="1">
        <v>8212</v>
      </c>
      <c r="I57" s="11">
        <v>388336</v>
      </c>
      <c r="J57" s="1">
        <v>1835228</v>
      </c>
      <c r="K57" s="11">
        <v>85055911</v>
      </c>
      <c r="L57" s="8">
        <v>12104</v>
      </c>
      <c r="M57" s="11">
        <v>553631</v>
      </c>
      <c r="N57" s="8">
        <v>30492</v>
      </c>
      <c r="O57" s="11">
        <v>1402894</v>
      </c>
      <c r="P57" s="8">
        <v>0</v>
      </c>
      <c r="Q57" s="11">
        <v>0</v>
      </c>
      <c r="R57" s="8">
        <v>2279</v>
      </c>
      <c r="S57" s="11">
        <v>108944</v>
      </c>
      <c r="T57" s="53">
        <f t="shared" si="26"/>
        <v>2359611</v>
      </c>
      <c r="U57" s="54">
        <f t="shared" si="20"/>
        <v>109713299</v>
      </c>
      <c r="V57" s="2" t="s">
        <v>58</v>
      </c>
      <c r="W57" s="15">
        <v>1517421</v>
      </c>
      <c r="X57" s="9">
        <v>109713299</v>
      </c>
      <c r="Y57" s="13">
        <f t="shared" si="27"/>
        <v>0</v>
      </c>
      <c r="AE57" s="2" t="s">
        <v>4</v>
      </c>
      <c r="AF57" s="2">
        <v>2023</v>
      </c>
      <c r="AG57" s="1">
        <f t="shared" si="21"/>
        <v>479508</v>
      </c>
      <c r="AH57" s="11">
        <f t="shared" si="21"/>
        <v>22591919</v>
      </c>
      <c r="AI57" s="1">
        <f t="shared" si="22"/>
        <v>1835228</v>
      </c>
      <c r="AJ57" s="11">
        <f t="shared" si="22"/>
        <v>85055911</v>
      </c>
      <c r="AK57" s="8">
        <f t="shared" si="22"/>
        <v>12104</v>
      </c>
      <c r="AL57" s="11">
        <f t="shared" si="22"/>
        <v>553631</v>
      </c>
      <c r="AM57" s="8">
        <f t="shared" si="22"/>
        <v>30492</v>
      </c>
      <c r="AN57" s="11">
        <f t="shared" si="22"/>
        <v>1402894</v>
      </c>
      <c r="AO57" s="8">
        <f t="shared" si="22"/>
        <v>0</v>
      </c>
      <c r="AP57" s="11">
        <f t="shared" si="22"/>
        <v>0</v>
      </c>
      <c r="AQ57" s="11">
        <f t="shared" si="22"/>
        <v>2279</v>
      </c>
      <c r="AR57" s="11">
        <f t="shared" si="22"/>
        <v>108944</v>
      </c>
      <c r="AS57" s="8">
        <f t="shared" si="28"/>
        <v>2359611</v>
      </c>
      <c r="AT57" s="11">
        <f t="shared" si="23"/>
        <v>109713299</v>
      </c>
      <c r="AU57" s="2" t="str">
        <f t="shared" si="24"/>
        <v>SUPERVIA</v>
      </c>
      <c r="AV57" s="37">
        <f t="shared" si="25"/>
        <v>0</v>
      </c>
      <c r="AW57" s="37">
        <f t="shared" si="25"/>
        <v>0</v>
      </c>
    </row>
    <row r="58" spans="2:49" outlineLevel="1" x14ac:dyDescent="0.25">
      <c r="B58" s="2" t="s">
        <v>28</v>
      </c>
      <c r="C58" s="2">
        <v>2023</v>
      </c>
      <c r="D58" s="1">
        <v>258728</v>
      </c>
      <c r="E58" s="11">
        <v>12112572</v>
      </c>
      <c r="F58" s="1">
        <v>216836</v>
      </c>
      <c r="G58" s="11">
        <v>10251471</v>
      </c>
      <c r="H58" s="1">
        <v>8474</v>
      </c>
      <c r="I58" s="11">
        <v>400067</v>
      </c>
      <c r="J58" s="1">
        <v>1859598</v>
      </c>
      <c r="K58" s="11">
        <v>86036789</v>
      </c>
      <c r="L58" s="8">
        <v>11111</v>
      </c>
      <c r="M58" s="11">
        <v>509024</v>
      </c>
      <c r="N58" s="8">
        <v>29800</v>
      </c>
      <c r="O58" s="11">
        <v>1367565</v>
      </c>
      <c r="P58" s="8">
        <v>0</v>
      </c>
      <c r="Q58" s="11">
        <v>0</v>
      </c>
      <c r="R58" s="8">
        <v>3177</v>
      </c>
      <c r="S58" s="11">
        <v>151916</v>
      </c>
      <c r="T58" s="53">
        <f t="shared" si="26"/>
        <v>2387724</v>
      </c>
      <c r="U58" s="54">
        <f t="shared" si="20"/>
        <v>110829404</v>
      </c>
      <c r="V58" s="2" t="s">
        <v>58</v>
      </c>
      <c r="W58" s="15">
        <v>1546612</v>
      </c>
      <c r="X58" s="9">
        <v>110829404</v>
      </c>
      <c r="Y58" s="13">
        <f t="shared" si="27"/>
        <v>0</v>
      </c>
      <c r="AE58" s="2" t="s">
        <v>28</v>
      </c>
      <c r="AF58" s="2">
        <v>2023</v>
      </c>
      <c r="AG58" s="1">
        <f t="shared" si="21"/>
        <v>484038</v>
      </c>
      <c r="AH58" s="11">
        <f t="shared" si="21"/>
        <v>22764110</v>
      </c>
      <c r="AI58" s="1">
        <f t="shared" si="22"/>
        <v>1859598</v>
      </c>
      <c r="AJ58" s="11">
        <f t="shared" si="22"/>
        <v>86036789</v>
      </c>
      <c r="AK58" s="8">
        <f t="shared" si="22"/>
        <v>11111</v>
      </c>
      <c r="AL58" s="11">
        <f t="shared" si="22"/>
        <v>509024</v>
      </c>
      <c r="AM58" s="8">
        <f t="shared" si="22"/>
        <v>29800</v>
      </c>
      <c r="AN58" s="11">
        <f t="shared" si="22"/>
        <v>1367565</v>
      </c>
      <c r="AO58" s="8">
        <f t="shared" si="22"/>
        <v>0</v>
      </c>
      <c r="AP58" s="11">
        <f t="shared" si="22"/>
        <v>0</v>
      </c>
      <c r="AQ58" s="11">
        <f t="shared" si="22"/>
        <v>3177</v>
      </c>
      <c r="AR58" s="11">
        <f t="shared" si="22"/>
        <v>151916</v>
      </c>
      <c r="AS58" s="8">
        <f t="shared" si="28"/>
        <v>2387724</v>
      </c>
      <c r="AT58" s="11">
        <f t="shared" si="23"/>
        <v>110829404</v>
      </c>
      <c r="AU58" s="2" t="str">
        <f t="shared" si="24"/>
        <v>SUPERVIA</v>
      </c>
      <c r="AV58" s="37">
        <f t="shared" si="25"/>
        <v>0</v>
      </c>
      <c r="AW58" s="37">
        <f t="shared" si="25"/>
        <v>0</v>
      </c>
    </row>
    <row r="59" spans="2:49" outlineLevel="1" x14ac:dyDescent="0.25">
      <c r="B59" s="2" t="s">
        <v>29</v>
      </c>
      <c r="C59" s="2">
        <v>2023</v>
      </c>
      <c r="D59" s="1">
        <v>270240</v>
      </c>
      <c r="E59" s="11">
        <v>12647828</v>
      </c>
      <c r="F59" s="1">
        <v>230469</v>
      </c>
      <c r="G59" s="11">
        <v>10914668</v>
      </c>
      <c r="H59" s="1">
        <v>9491</v>
      </c>
      <c r="I59" s="11">
        <v>447798</v>
      </c>
      <c r="J59" s="1">
        <v>1973713</v>
      </c>
      <c r="K59" s="11">
        <v>91391180</v>
      </c>
      <c r="L59" s="8">
        <v>11491</v>
      </c>
      <c r="M59" s="11">
        <v>526846</v>
      </c>
      <c r="N59" s="8">
        <v>31365</v>
      </c>
      <c r="O59" s="11">
        <v>1438577</v>
      </c>
      <c r="P59" s="8">
        <v>0</v>
      </c>
      <c r="Q59" s="11">
        <v>0</v>
      </c>
      <c r="R59" s="8">
        <v>5344</v>
      </c>
      <c r="S59" s="11">
        <v>252919</v>
      </c>
      <c r="T59" s="53">
        <f>N59+L59+J59+H59+D59+P59+F59+R59</f>
        <v>2532113</v>
      </c>
      <c r="U59" s="54">
        <f t="shared" si="20"/>
        <v>117619816</v>
      </c>
      <c r="V59" s="2" t="s">
        <v>58</v>
      </c>
      <c r="W59" s="15">
        <v>1643256</v>
      </c>
      <c r="X59" s="9">
        <v>117619816</v>
      </c>
      <c r="Y59" s="13">
        <f t="shared" si="27"/>
        <v>0</v>
      </c>
      <c r="AE59" s="2" t="s">
        <v>29</v>
      </c>
      <c r="AF59" s="2">
        <v>2023</v>
      </c>
      <c r="AG59" s="1">
        <f t="shared" si="21"/>
        <v>510200</v>
      </c>
      <c r="AH59" s="11">
        <f t="shared" si="21"/>
        <v>24010294</v>
      </c>
      <c r="AI59" s="1">
        <f t="shared" si="22"/>
        <v>1973713</v>
      </c>
      <c r="AJ59" s="11">
        <f t="shared" si="22"/>
        <v>91391180</v>
      </c>
      <c r="AK59" s="8">
        <f t="shared" si="22"/>
        <v>11491</v>
      </c>
      <c r="AL59" s="11">
        <f t="shared" si="22"/>
        <v>526846</v>
      </c>
      <c r="AM59" s="8">
        <f t="shared" si="22"/>
        <v>31365</v>
      </c>
      <c r="AN59" s="11">
        <f t="shared" si="22"/>
        <v>1438577</v>
      </c>
      <c r="AO59" s="8">
        <f t="shared" si="22"/>
        <v>0</v>
      </c>
      <c r="AP59" s="11">
        <f t="shared" si="22"/>
        <v>0</v>
      </c>
      <c r="AQ59" s="11">
        <f t="shared" si="22"/>
        <v>5344</v>
      </c>
      <c r="AR59" s="11">
        <f t="shared" si="22"/>
        <v>252919</v>
      </c>
      <c r="AS59" s="8">
        <f t="shared" si="28"/>
        <v>2532113</v>
      </c>
      <c r="AT59" s="11">
        <f t="shared" si="23"/>
        <v>117619816</v>
      </c>
      <c r="AU59" s="2" t="str">
        <f t="shared" si="24"/>
        <v>SUPERVIA</v>
      </c>
      <c r="AV59" s="37">
        <f t="shared" si="25"/>
        <v>0</v>
      </c>
      <c r="AW59" s="37">
        <f t="shared" si="25"/>
        <v>0</v>
      </c>
    </row>
    <row r="60" spans="2:49" outlineLevel="1" x14ac:dyDescent="0.25">
      <c r="B60" s="2" t="s">
        <v>30</v>
      </c>
      <c r="C60" s="2">
        <v>2023</v>
      </c>
      <c r="D60" s="1">
        <v>257934</v>
      </c>
      <c r="E60" s="11">
        <v>12092442</v>
      </c>
      <c r="F60" s="1">
        <v>223728</v>
      </c>
      <c r="G60" s="11">
        <v>10596398</v>
      </c>
      <c r="H60" s="1">
        <v>9971</v>
      </c>
      <c r="I60" s="11">
        <v>469141</v>
      </c>
      <c r="J60" s="1">
        <v>1933195</v>
      </c>
      <c r="K60" s="11">
        <v>89502205</v>
      </c>
      <c r="L60" s="8">
        <v>11114</v>
      </c>
      <c r="M60" s="11">
        <v>509022</v>
      </c>
      <c r="N60" s="8">
        <v>31217</v>
      </c>
      <c r="O60" s="11">
        <v>1433538</v>
      </c>
      <c r="P60" s="8">
        <v>0</v>
      </c>
      <c r="Q60" s="11">
        <v>0</v>
      </c>
      <c r="R60" s="8">
        <v>6615</v>
      </c>
      <c r="S60" s="11">
        <v>315030</v>
      </c>
      <c r="T60" s="53">
        <f t="shared" si="26"/>
        <v>2473774</v>
      </c>
      <c r="U60" s="54">
        <f t="shared" si="20"/>
        <v>114917776</v>
      </c>
      <c r="V60" s="2" t="s">
        <v>58</v>
      </c>
      <c r="W60" s="15">
        <v>1598718</v>
      </c>
      <c r="X60" s="9">
        <v>114917776</v>
      </c>
      <c r="Y60" s="13">
        <f t="shared" si="27"/>
        <v>0</v>
      </c>
      <c r="AE60" s="2" t="s">
        <v>30</v>
      </c>
      <c r="AF60" s="2">
        <v>2023</v>
      </c>
      <c r="AG60" s="1">
        <f t="shared" si="21"/>
        <v>491633</v>
      </c>
      <c r="AH60" s="11">
        <f t="shared" si="21"/>
        <v>23157981</v>
      </c>
      <c r="AI60" s="1">
        <f t="shared" si="22"/>
        <v>1933195</v>
      </c>
      <c r="AJ60" s="11">
        <f t="shared" si="22"/>
        <v>89502205</v>
      </c>
      <c r="AK60" s="8">
        <f t="shared" si="22"/>
        <v>11114</v>
      </c>
      <c r="AL60" s="11">
        <f t="shared" si="22"/>
        <v>509022</v>
      </c>
      <c r="AM60" s="8">
        <f t="shared" si="22"/>
        <v>31217</v>
      </c>
      <c r="AN60" s="11">
        <f t="shared" si="22"/>
        <v>1433538</v>
      </c>
      <c r="AO60" s="8">
        <f t="shared" si="22"/>
        <v>0</v>
      </c>
      <c r="AP60" s="11">
        <f t="shared" si="22"/>
        <v>0</v>
      </c>
      <c r="AQ60" s="11">
        <f t="shared" si="22"/>
        <v>6615</v>
      </c>
      <c r="AR60" s="11">
        <f t="shared" si="22"/>
        <v>315030</v>
      </c>
      <c r="AS60" s="8">
        <f t="shared" si="28"/>
        <v>2473774</v>
      </c>
      <c r="AT60" s="11">
        <f t="shared" si="23"/>
        <v>114917776</v>
      </c>
      <c r="AU60" s="2" t="str">
        <f t="shared" si="24"/>
        <v>SUPERVIA</v>
      </c>
      <c r="AV60" s="37">
        <f t="shared" si="25"/>
        <v>0</v>
      </c>
      <c r="AW60" s="37">
        <f t="shared" si="25"/>
        <v>0</v>
      </c>
    </row>
    <row r="61" spans="2:49" outlineLevel="1" x14ac:dyDescent="0.25">
      <c r="B61" s="2" t="s">
        <v>31</v>
      </c>
      <c r="C61" s="2">
        <v>2023</v>
      </c>
      <c r="D61" s="1">
        <v>266526</v>
      </c>
      <c r="E61" s="11">
        <v>12698222</v>
      </c>
      <c r="F61" s="1">
        <v>213972</v>
      </c>
      <c r="G61" s="11">
        <v>10133418</v>
      </c>
      <c r="H61" s="1">
        <v>9789</v>
      </c>
      <c r="I61" s="11">
        <v>460004</v>
      </c>
      <c r="J61" s="1">
        <v>1758706</v>
      </c>
      <c r="K61" s="11">
        <v>81339110</v>
      </c>
      <c r="L61" s="8">
        <v>9844</v>
      </c>
      <c r="M61" s="11">
        <v>450531</v>
      </c>
      <c r="N61" s="8">
        <v>29166</v>
      </c>
      <c r="O61" s="11">
        <v>1337326</v>
      </c>
      <c r="P61" s="8">
        <v>1</v>
      </c>
      <c r="Q61" s="11">
        <v>65</v>
      </c>
      <c r="R61" s="8">
        <v>8031</v>
      </c>
      <c r="S61" s="11">
        <v>384430</v>
      </c>
      <c r="T61" s="53">
        <f t="shared" si="26"/>
        <v>2296035</v>
      </c>
      <c r="U61" s="54">
        <f t="shared" si="20"/>
        <v>106803106</v>
      </c>
      <c r="V61" s="2" t="s">
        <v>58</v>
      </c>
      <c r="W61" s="15">
        <v>1481083</v>
      </c>
      <c r="X61" s="9">
        <v>106803106</v>
      </c>
      <c r="Y61" s="13">
        <f t="shared" si="27"/>
        <v>0</v>
      </c>
      <c r="AE61" s="2" t="s">
        <v>31</v>
      </c>
      <c r="AF61" s="2">
        <v>2023</v>
      </c>
      <c r="AG61" s="1">
        <f t="shared" si="21"/>
        <v>490287</v>
      </c>
      <c r="AH61" s="11">
        <f t="shared" si="21"/>
        <v>23291644</v>
      </c>
      <c r="AI61" s="1">
        <f t="shared" si="22"/>
        <v>1758706</v>
      </c>
      <c r="AJ61" s="11">
        <f t="shared" si="22"/>
        <v>81339110</v>
      </c>
      <c r="AK61" s="8">
        <f t="shared" si="22"/>
        <v>9844</v>
      </c>
      <c r="AL61" s="11">
        <f t="shared" si="22"/>
        <v>450531</v>
      </c>
      <c r="AM61" s="8">
        <f t="shared" si="22"/>
        <v>29166</v>
      </c>
      <c r="AN61" s="11">
        <f t="shared" si="22"/>
        <v>1337326</v>
      </c>
      <c r="AO61" s="8">
        <f t="shared" si="22"/>
        <v>1</v>
      </c>
      <c r="AP61" s="11">
        <f t="shared" si="22"/>
        <v>65</v>
      </c>
      <c r="AQ61" s="11">
        <f t="shared" si="22"/>
        <v>8031</v>
      </c>
      <c r="AR61" s="11">
        <f t="shared" si="22"/>
        <v>384430</v>
      </c>
      <c r="AS61" s="8">
        <f t="shared" si="28"/>
        <v>2296035</v>
      </c>
      <c r="AT61" s="11">
        <f t="shared" si="23"/>
        <v>106803106</v>
      </c>
      <c r="AU61" s="2" t="str">
        <f t="shared" si="24"/>
        <v>SUPERVIA</v>
      </c>
      <c r="AV61" s="37">
        <f>+AS61-T61</f>
        <v>0</v>
      </c>
      <c r="AW61" s="37">
        <f t="shared" si="25"/>
        <v>0</v>
      </c>
    </row>
    <row r="62" spans="2:49" outlineLevel="1" x14ac:dyDescent="0.25">
      <c r="D62" s="39"/>
      <c r="AH62" s="9"/>
      <c r="AJ62" s="9"/>
      <c r="AL62" s="9"/>
      <c r="AN62" s="9"/>
      <c r="AO62" s="9"/>
      <c r="AP62" s="9"/>
      <c r="AQ62" s="9"/>
      <c r="AR62" s="9"/>
      <c r="AT62" s="9"/>
    </row>
    <row r="63" spans="2:49" outlineLevel="1" x14ac:dyDescent="0.25">
      <c r="B63" s="3" t="s">
        <v>12</v>
      </c>
      <c r="C63" s="3"/>
      <c r="D63" s="4">
        <f t="shared" ref="D63:O63" si="29">SUM(D50:D62)</f>
        <v>3017839</v>
      </c>
      <c r="E63" s="12">
        <f t="shared" si="29"/>
        <v>140459544</v>
      </c>
      <c r="F63" s="4">
        <f t="shared" si="29"/>
        <v>2553049</v>
      </c>
      <c r="G63" s="12">
        <f t="shared" si="29"/>
        <v>120074775</v>
      </c>
      <c r="H63" s="4">
        <f t="shared" si="29"/>
        <v>94658</v>
      </c>
      <c r="I63" s="12">
        <f t="shared" si="29"/>
        <v>4437831</v>
      </c>
      <c r="J63" s="4">
        <f t="shared" si="29"/>
        <v>21702389</v>
      </c>
      <c r="K63" s="12">
        <f t="shared" si="29"/>
        <v>997310115</v>
      </c>
      <c r="L63" s="4">
        <f t="shared" si="29"/>
        <v>144657</v>
      </c>
      <c r="M63" s="12">
        <f>SUM(M50:M62)</f>
        <v>6564524</v>
      </c>
      <c r="N63" s="4">
        <f t="shared" si="29"/>
        <v>353292</v>
      </c>
      <c r="O63" s="12">
        <f t="shared" si="29"/>
        <v>16129139</v>
      </c>
      <c r="P63" s="4">
        <f>SUM(P50:P62)</f>
        <v>5</v>
      </c>
      <c r="Q63" s="12">
        <f>SUM(Q50:Q62)</f>
        <v>269</v>
      </c>
      <c r="R63" s="4">
        <f>SUM(R50:R62)</f>
        <v>35050</v>
      </c>
      <c r="S63" s="12">
        <f>SUM(S50:S62)</f>
        <v>1688768</v>
      </c>
      <c r="T63" s="4">
        <f t="shared" ref="T63:U63" si="30">SUM(T50:T62)</f>
        <v>27900939</v>
      </c>
      <c r="U63" s="12">
        <f t="shared" si="30"/>
        <v>1286664965</v>
      </c>
      <c r="AE63" s="3" t="s">
        <v>12</v>
      </c>
      <c r="AF63" s="3"/>
      <c r="AG63" s="4">
        <f t="shared" ref="AG63:AT63" si="31">SUM(AG50:AG62)</f>
        <v>5665546</v>
      </c>
      <c r="AH63" s="12">
        <f t="shared" si="31"/>
        <v>264972150</v>
      </c>
      <c r="AI63" s="4">
        <f t="shared" si="31"/>
        <v>21702389</v>
      </c>
      <c r="AJ63" s="12">
        <f t="shared" si="31"/>
        <v>997310115</v>
      </c>
      <c r="AK63" s="4">
        <f t="shared" si="31"/>
        <v>144657</v>
      </c>
      <c r="AL63" s="12">
        <f t="shared" si="31"/>
        <v>6564524</v>
      </c>
      <c r="AM63" s="4">
        <f t="shared" si="31"/>
        <v>353292</v>
      </c>
      <c r="AN63" s="12">
        <f t="shared" si="31"/>
        <v>16129139</v>
      </c>
      <c r="AO63" s="4">
        <f t="shared" si="31"/>
        <v>5</v>
      </c>
      <c r="AP63" s="12">
        <f t="shared" si="31"/>
        <v>269</v>
      </c>
      <c r="AQ63" s="4">
        <f t="shared" si="31"/>
        <v>35050</v>
      </c>
      <c r="AR63" s="12">
        <f t="shared" si="31"/>
        <v>1688768</v>
      </c>
      <c r="AS63" s="4">
        <f t="shared" si="31"/>
        <v>27900939</v>
      </c>
      <c r="AT63" s="12">
        <f t="shared" si="31"/>
        <v>1286664965</v>
      </c>
    </row>
    <row r="64" spans="2:49" outlineLevel="1" x14ac:dyDescent="0.25">
      <c r="J64" s="46" t="str">
        <f>+$A$45</f>
        <v>Aforo e Ingreso - SUPERVIA</v>
      </c>
      <c r="K64" s="9" t="s">
        <v>84</v>
      </c>
      <c r="L64" s="15">
        <f>AVERAGE(L50:L61)</f>
        <v>12054.75</v>
      </c>
      <c r="M64" s="60">
        <f>AVERAGE(M50:M61)</f>
        <v>547043.66666666663</v>
      </c>
      <c r="T64" s="15">
        <f>AVERAGE(T50:T61)</f>
        <v>2325078.25</v>
      </c>
      <c r="U64" s="28">
        <f>AVERAGE(U50:U61)</f>
        <v>107222080.41666667</v>
      </c>
    </row>
    <row r="65" spans="1:49" outlineLevel="1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+L64/$L$337</f>
        <v>9.0255554675123806E-2</v>
      </c>
      <c r="M65" s="36">
        <f>+M64/$M$337</f>
        <v>2.718100729649613E-2</v>
      </c>
      <c r="N65" s="18"/>
      <c r="O65" s="19"/>
      <c r="P65" s="19"/>
      <c r="Q65" s="19"/>
      <c r="R65" s="19"/>
      <c r="S65" s="19"/>
      <c r="T65" s="36">
        <f>+L64/T64</f>
        <v>5.1846642150645897E-3</v>
      </c>
      <c r="U65" s="62">
        <f>+M64/U64</f>
        <v>5.1019684055825668E-3</v>
      </c>
    </row>
    <row r="66" spans="1:49" outlineLevel="1" x14ac:dyDescent="0.25">
      <c r="A66" s="67" t="s">
        <v>22</v>
      </c>
      <c r="L66" s="26"/>
      <c r="M66" s="26"/>
    </row>
    <row r="67" spans="1:49" outlineLevel="1" x14ac:dyDescent="0.25">
      <c r="B67" s="5"/>
    </row>
    <row r="68" spans="1:49" outlineLevel="1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87</v>
      </c>
      <c r="S68" s="93"/>
      <c r="T68" s="89" t="s">
        <v>12</v>
      </c>
      <c r="U68" s="93"/>
      <c r="AG68" s="89" t="s">
        <v>69</v>
      </c>
      <c r="AH68" s="90"/>
      <c r="AI68" s="89" t="s">
        <v>17</v>
      </c>
      <c r="AJ68" s="93"/>
      <c r="AK68" s="89" t="s">
        <v>18</v>
      </c>
      <c r="AL68" s="93"/>
      <c r="AM68" s="89" t="s">
        <v>13</v>
      </c>
      <c r="AN68" s="93"/>
      <c r="AO68" s="89" t="s">
        <v>34</v>
      </c>
      <c r="AP68" s="93"/>
      <c r="AQ68" s="89" t="s">
        <v>87</v>
      </c>
      <c r="AR68" s="93"/>
      <c r="AS68" s="89" t="s">
        <v>12</v>
      </c>
      <c r="AT68" s="93"/>
    </row>
    <row r="69" spans="1:49" outlineLevel="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Z69" s="33">
        <v>2021</v>
      </c>
      <c r="AA69" s="34">
        <v>0.60381181018303132</v>
      </c>
      <c r="AB69" s="33">
        <f>+Z69</f>
        <v>2021</v>
      </c>
      <c r="AC69" s="35">
        <v>6.8858394255157792E-3</v>
      </c>
      <c r="AE69" s="7" t="s">
        <v>0</v>
      </c>
      <c r="AF69" s="7" t="s">
        <v>1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</row>
    <row r="70" spans="1:49" outlineLevel="1" x14ac:dyDescent="0.25">
      <c r="AH70" s="9"/>
      <c r="AJ70" s="9"/>
      <c r="AL70" s="9"/>
      <c r="AN70" s="9"/>
      <c r="AO70" s="9"/>
      <c r="AP70" s="9"/>
      <c r="AQ70" s="9"/>
      <c r="AR70" s="9"/>
      <c r="AT70" s="9"/>
    </row>
    <row r="71" spans="1:49" outlineLevel="1" x14ac:dyDescent="0.25">
      <c r="B71" s="2" t="s">
        <v>5</v>
      </c>
      <c r="C71" s="2">
        <v>2023</v>
      </c>
      <c r="D71" s="1">
        <v>444823</v>
      </c>
      <c r="E71" s="11">
        <v>30165117</v>
      </c>
      <c r="F71" s="1">
        <v>243830</v>
      </c>
      <c r="G71" s="11">
        <v>17172011</v>
      </c>
      <c r="H71" s="1">
        <v>86348</v>
      </c>
      <c r="I71" s="11">
        <v>15694037</v>
      </c>
      <c r="J71" s="1">
        <v>2511784</v>
      </c>
      <c r="K71" s="11">
        <v>319750401</v>
      </c>
      <c r="L71" s="8">
        <v>55092</v>
      </c>
      <c r="M71" s="11">
        <v>9713843</v>
      </c>
      <c r="N71" s="8">
        <v>104042</v>
      </c>
      <c r="O71" s="11">
        <v>16538841</v>
      </c>
      <c r="P71" s="8">
        <v>32</v>
      </c>
      <c r="Q71" s="11">
        <v>10353</v>
      </c>
      <c r="R71" s="8">
        <v>2023</v>
      </c>
      <c r="S71" s="11">
        <v>155446</v>
      </c>
      <c r="T71" s="53">
        <f>N71+L71+J71+H71+D71+P71+F71+R71</f>
        <v>3447974</v>
      </c>
      <c r="U71" s="54">
        <f t="shared" ref="U71:U82" si="32">O71+M71+K71+I71+E71+Q71+G71+S71</f>
        <v>409200049</v>
      </c>
      <c r="V71" s="2" t="s">
        <v>59</v>
      </c>
      <c r="Z71" s="30">
        <v>1229966.98</v>
      </c>
      <c r="AA71" s="30">
        <f>+Z71/J71</f>
        <v>0.48967864274953576</v>
      </c>
      <c r="AB71" s="31">
        <v>1520777.8524999998</v>
      </c>
      <c r="AC71" s="32">
        <f>+AB71/K71</f>
        <v>4.7561405638393544E-3</v>
      </c>
      <c r="AE71" s="2" t="s">
        <v>5</v>
      </c>
      <c r="AF71" s="2">
        <v>2023</v>
      </c>
      <c r="AG71" s="1">
        <f t="shared" ref="AG71:AH82" si="33">D71+H71+F71</f>
        <v>775001</v>
      </c>
      <c r="AH71" s="11">
        <f t="shared" si="33"/>
        <v>63031165</v>
      </c>
      <c r="AI71" s="1">
        <f t="shared" ref="AI71:AR82" si="34">+J71</f>
        <v>2511784</v>
      </c>
      <c r="AJ71" s="11">
        <f t="shared" si="34"/>
        <v>319750401</v>
      </c>
      <c r="AK71" s="8">
        <f t="shared" si="34"/>
        <v>55092</v>
      </c>
      <c r="AL71" s="11">
        <f t="shared" si="34"/>
        <v>9713843</v>
      </c>
      <c r="AM71" s="8">
        <f t="shared" si="34"/>
        <v>104042</v>
      </c>
      <c r="AN71" s="11">
        <f t="shared" si="34"/>
        <v>16538841</v>
      </c>
      <c r="AO71" s="8">
        <f t="shared" si="34"/>
        <v>32</v>
      </c>
      <c r="AP71" s="11">
        <f t="shared" si="34"/>
        <v>10353</v>
      </c>
      <c r="AQ71" s="11">
        <f t="shared" si="34"/>
        <v>2023</v>
      </c>
      <c r="AR71" s="11">
        <f t="shared" si="34"/>
        <v>155446</v>
      </c>
      <c r="AS71" s="8">
        <f>AO71+AM71+AK71+AI71+AG71+AQ71</f>
        <v>3447974</v>
      </c>
      <c r="AT71" s="11">
        <f t="shared" ref="AT71:AT82" si="35">AP71+AN71+AL71+AJ71+AH71+AR71</f>
        <v>409200049</v>
      </c>
      <c r="AU71" s="2" t="str">
        <f t="shared" ref="AU71:AU82" si="36">+V71</f>
        <v>CONMEX</v>
      </c>
      <c r="AV71" s="37">
        <f t="shared" ref="AV71:AW82" si="37">+AS71-T71</f>
        <v>0</v>
      </c>
      <c r="AW71" s="37">
        <f t="shared" si="37"/>
        <v>0</v>
      </c>
    </row>
    <row r="72" spans="1:49" outlineLevel="1" x14ac:dyDescent="0.25">
      <c r="B72" s="2" t="s">
        <v>6</v>
      </c>
      <c r="C72" s="2">
        <v>2023</v>
      </c>
      <c r="D72" s="1">
        <v>408502</v>
      </c>
      <c r="E72" s="11">
        <v>29945400</v>
      </c>
      <c r="F72" s="1">
        <v>231089</v>
      </c>
      <c r="G72" s="11">
        <v>17692928</v>
      </c>
      <c r="H72" s="1">
        <v>79560</v>
      </c>
      <c r="I72" s="11">
        <v>14792555</v>
      </c>
      <c r="J72" s="1">
        <v>2351360</v>
      </c>
      <c r="K72" s="11">
        <v>344343844</v>
      </c>
      <c r="L72" s="8">
        <v>50244</v>
      </c>
      <c r="M72" s="11">
        <v>10059843</v>
      </c>
      <c r="N72" s="8">
        <v>94956</v>
      </c>
      <c r="O72" s="11">
        <v>18419416</v>
      </c>
      <c r="P72" s="8">
        <v>23</v>
      </c>
      <c r="Q72" s="11">
        <v>6341</v>
      </c>
      <c r="R72" s="8">
        <v>1498</v>
      </c>
      <c r="S72" s="11">
        <v>124026</v>
      </c>
      <c r="T72" s="53">
        <f t="shared" ref="T72:T82" si="38">N72+L72+J72+H72+D72+P72+F72+R72</f>
        <v>3217232</v>
      </c>
      <c r="U72" s="54">
        <f t="shared" si="32"/>
        <v>435384353</v>
      </c>
      <c r="V72" s="2" t="s">
        <v>59</v>
      </c>
      <c r="Z72" s="30">
        <v>1217844.94</v>
      </c>
      <c r="AA72" s="30">
        <f>+Z72/J72</f>
        <v>0.51793214990473591</v>
      </c>
      <c r="AB72" s="31">
        <v>1498419.5049999999</v>
      </c>
      <c r="AC72" s="32">
        <f>+AB72/K72</f>
        <v>4.3515211063276625E-3</v>
      </c>
      <c r="AE72" s="2" t="s">
        <v>6</v>
      </c>
      <c r="AF72" s="2">
        <v>2023</v>
      </c>
      <c r="AG72" s="1">
        <f t="shared" si="33"/>
        <v>719151</v>
      </c>
      <c r="AH72" s="11">
        <f t="shared" si="33"/>
        <v>62430883</v>
      </c>
      <c r="AI72" s="1">
        <f t="shared" si="34"/>
        <v>2351360</v>
      </c>
      <c r="AJ72" s="11">
        <f t="shared" si="34"/>
        <v>344343844</v>
      </c>
      <c r="AK72" s="8">
        <f t="shared" si="34"/>
        <v>50244</v>
      </c>
      <c r="AL72" s="11">
        <f t="shared" si="34"/>
        <v>10059843</v>
      </c>
      <c r="AM72" s="8">
        <f t="shared" si="34"/>
        <v>94956</v>
      </c>
      <c r="AN72" s="11">
        <f t="shared" si="34"/>
        <v>18419416</v>
      </c>
      <c r="AO72" s="8">
        <f t="shared" si="34"/>
        <v>23</v>
      </c>
      <c r="AP72" s="11">
        <f t="shared" si="34"/>
        <v>6341</v>
      </c>
      <c r="AQ72" s="11">
        <f t="shared" si="34"/>
        <v>1498</v>
      </c>
      <c r="AR72" s="11">
        <f t="shared" si="34"/>
        <v>124026</v>
      </c>
      <c r="AS72" s="8">
        <f t="shared" ref="AS72:AS82" si="39">AO72+AM72+AK72+AI72+AG72+AQ72</f>
        <v>3217232</v>
      </c>
      <c r="AT72" s="11">
        <f t="shared" si="35"/>
        <v>435384353</v>
      </c>
      <c r="AU72" s="2" t="str">
        <f t="shared" si="36"/>
        <v>CONMEX</v>
      </c>
      <c r="AV72" s="37">
        <f t="shared" si="37"/>
        <v>0</v>
      </c>
      <c r="AW72" s="37">
        <f t="shared" si="37"/>
        <v>0</v>
      </c>
    </row>
    <row r="73" spans="1:49" outlineLevel="1" x14ac:dyDescent="0.25">
      <c r="B73" s="2" t="s">
        <v>7</v>
      </c>
      <c r="C73" s="2">
        <v>2023</v>
      </c>
      <c r="D73" s="1">
        <v>472138</v>
      </c>
      <c r="E73" s="11">
        <v>35748289</v>
      </c>
      <c r="F73" s="1">
        <v>265277</v>
      </c>
      <c r="G73" s="11">
        <v>21229579.759999998</v>
      </c>
      <c r="H73" s="1">
        <v>94358</v>
      </c>
      <c r="I73" s="11">
        <v>17685287</v>
      </c>
      <c r="J73" s="1">
        <v>2691891</v>
      </c>
      <c r="K73" s="11">
        <v>407330540</v>
      </c>
      <c r="L73" s="8">
        <v>57465</v>
      </c>
      <c r="M73" s="11">
        <v>11983614</v>
      </c>
      <c r="N73" s="8">
        <v>107309</v>
      </c>
      <c r="O73" s="11">
        <v>21599263.719999999</v>
      </c>
      <c r="P73" s="8">
        <v>16</v>
      </c>
      <c r="Q73" s="11">
        <v>4232</v>
      </c>
      <c r="R73" s="8">
        <v>2150</v>
      </c>
      <c r="S73" s="11">
        <v>176090</v>
      </c>
      <c r="T73" s="53">
        <f t="shared" si="38"/>
        <v>3690604</v>
      </c>
      <c r="U73" s="54">
        <f t="shared" si="32"/>
        <v>515756895.48000002</v>
      </c>
      <c r="V73" s="2" t="s">
        <v>59</v>
      </c>
      <c r="Z73" s="30">
        <v>1432073.9</v>
      </c>
      <c r="AA73" s="30">
        <f>+Z73/J73</f>
        <v>0.53199550056075817</v>
      </c>
      <c r="AB73" s="31">
        <v>2100757.4875000003</v>
      </c>
      <c r="AC73" s="32">
        <f>+AB73/K73</f>
        <v>5.1573778079591097E-3</v>
      </c>
      <c r="AD73" s="13"/>
      <c r="AE73" s="2" t="s">
        <v>7</v>
      </c>
      <c r="AF73" s="2">
        <v>2023</v>
      </c>
      <c r="AG73" s="1">
        <f t="shared" si="33"/>
        <v>831773</v>
      </c>
      <c r="AH73" s="11">
        <f t="shared" si="33"/>
        <v>74663155.75999999</v>
      </c>
      <c r="AI73" s="1">
        <f t="shared" si="34"/>
        <v>2691891</v>
      </c>
      <c r="AJ73" s="11">
        <f t="shared" si="34"/>
        <v>407330540</v>
      </c>
      <c r="AK73" s="8">
        <f t="shared" si="34"/>
        <v>57465</v>
      </c>
      <c r="AL73" s="11">
        <f t="shared" si="34"/>
        <v>11983614</v>
      </c>
      <c r="AM73" s="8">
        <f t="shared" si="34"/>
        <v>107309</v>
      </c>
      <c r="AN73" s="11">
        <f t="shared" si="34"/>
        <v>21599263.719999999</v>
      </c>
      <c r="AO73" s="8">
        <f t="shared" si="34"/>
        <v>16</v>
      </c>
      <c r="AP73" s="11">
        <f t="shared" si="34"/>
        <v>4232</v>
      </c>
      <c r="AQ73" s="11">
        <f t="shared" si="34"/>
        <v>2150</v>
      </c>
      <c r="AR73" s="11">
        <f t="shared" si="34"/>
        <v>176090</v>
      </c>
      <c r="AS73" s="8">
        <f t="shared" si="39"/>
        <v>3690604</v>
      </c>
      <c r="AT73" s="11">
        <f t="shared" si="35"/>
        <v>515756895.48000002</v>
      </c>
      <c r="AU73" s="2" t="str">
        <f t="shared" si="36"/>
        <v>CONMEX</v>
      </c>
      <c r="AV73" s="37">
        <f t="shared" si="37"/>
        <v>0</v>
      </c>
      <c r="AW73" s="37">
        <f t="shared" si="37"/>
        <v>0</v>
      </c>
    </row>
    <row r="74" spans="1:49" outlineLevel="1" x14ac:dyDescent="0.25">
      <c r="B74" s="2" t="s">
        <v>8</v>
      </c>
      <c r="C74" s="2">
        <v>2023</v>
      </c>
      <c r="D74" s="1">
        <v>438383</v>
      </c>
      <c r="E74" s="11">
        <v>33076591</v>
      </c>
      <c r="F74" s="1">
        <v>254283</v>
      </c>
      <c r="G74" s="11">
        <v>19952610</v>
      </c>
      <c r="H74" s="1">
        <v>92971</v>
      </c>
      <c r="I74" s="11">
        <v>17922976</v>
      </c>
      <c r="J74" s="1">
        <v>2458880</v>
      </c>
      <c r="K74" s="11">
        <v>372101079</v>
      </c>
      <c r="L74" s="8">
        <v>49407</v>
      </c>
      <c r="M74" s="11">
        <v>10404959</v>
      </c>
      <c r="N74" s="8">
        <v>97441</v>
      </c>
      <c r="O74" s="11">
        <v>20064145</v>
      </c>
      <c r="P74" s="8">
        <v>39</v>
      </c>
      <c r="Q74" s="11">
        <v>10775</v>
      </c>
      <c r="R74" s="8">
        <v>1871</v>
      </c>
      <c r="S74" s="11">
        <v>160126</v>
      </c>
      <c r="T74" s="53">
        <f t="shared" si="38"/>
        <v>3393275</v>
      </c>
      <c r="U74" s="54">
        <f t="shared" si="32"/>
        <v>473693261</v>
      </c>
      <c r="V74" s="2" t="s">
        <v>59</v>
      </c>
      <c r="Z74" s="30">
        <v>1359376.54</v>
      </c>
      <c r="AA74" s="30">
        <f>+Z74/J74</f>
        <v>0.55284379066892242</v>
      </c>
      <c r="AB74" s="31">
        <v>1979878.6324999998</v>
      </c>
      <c r="AC74" s="32">
        <f>+AB74/K74</f>
        <v>5.3208086303345543E-3</v>
      </c>
      <c r="AD74" s="13"/>
      <c r="AE74" s="2" t="s">
        <v>8</v>
      </c>
      <c r="AF74" s="2">
        <v>2023</v>
      </c>
      <c r="AG74" s="1">
        <f t="shared" si="33"/>
        <v>785637</v>
      </c>
      <c r="AH74" s="11">
        <f t="shared" si="33"/>
        <v>70952177</v>
      </c>
      <c r="AI74" s="1">
        <f t="shared" si="34"/>
        <v>2458880</v>
      </c>
      <c r="AJ74" s="11">
        <f t="shared" si="34"/>
        <v>372101079</v>
      </c>
      <c r="AK74" s="8">
        <f t="shared" si="34"/>
        <v>49407</v>
      </c>
      <c r="AL74" s="11">
        <f t="shared" si="34"/>
        <v>10404959</v>
      </c>
      <c r="AM74" s="8">
        <f t="shared" si="34"/>
        <v>97441</v>
      </c>
      <c r="AN74" s="11">
        <f t="shared" si="34"/>
        <v>20064145</v>
      </c>
      <c r="AO74" s="8">
        <f t="shared" si="34"/>
        <v>39</v>
      </c>
      <c r="AP74" s="11">
        <f t="shared" si="34"/>
        <v>10775</v>
      </c>
      <c r="AQ74" s="11">
        <f t="shared" si="34"/>
        <v>1871</v>
      </c>
      <c r="AR74" s="11">
        <f t="shared" si="34"/>
        <v>160126</v>
      </c>
      <c r="AS74" s="8">
        <f t="shared" si="39"/>
        <v>3393275</v>
      </c>
      <c r="AT74" s="11">
        <f t="shared" si="35"/>
        <v>473693261</v>
      </c>
      <c r="AU74" s="2" t="str">
        <f t="shared" si="36"/>
        <v>CONMEX</v>
      </c>
      <c r="AV74" s="37">
        <f t="shared" si="37"/>
        <v>0</v>
      </c>
      <c r="AW74" s="37">
        <f t="shared" si="37"/>
        <v>0</v>
      </c>
    </row>
    <row r="75" spans="1:49" outlineLevel="1" x14ac:dyDescent="0.25">
      <c r="B75" s="2" t="s">
        <v>9</v>
      </c>
      <c r="C75" s="2">
        <v>2023</v>
      </c>
      <c r="D75" s="1">
        <v>477481</v>
      </c>
      <c r="E75" s="11">
        <v>35690859</v>
      </c>
      <c r="F75" s="1">
        <v>276112</v>
      </c>
      <c r="G75" s="11">
        <v>21722395</v>
      </c>
      <c r="H75" s="1">
        <v>108024</v>
      </c>
      <c r="I75" s="11">
        <v>19358893</v>
      </c>
      <c r="J75" s="1">
        <v>2688788</v>
      </c>
      <c r="K75" s="11">
        <v>406285048</v>
      </c>
      <c r="L75" s="8">
        <v>53320</v>
      </c>
      <c r="M75" s="11">
        <v>11047855</v>
      </c>
      <c r="N75" s="8">
        <v>106897</v>
      </c>
      <c r="O75" s="11">
        <v>21713175</v>
      </c>
      <c r="P75" s="8">
        <v>23</v>
      </c>
      <c r="Q75" s="11">
        <v>6035</v>
      </c>
      <c r="R75" s="8">
        <v>1879</v>
      </c>
      <c r="S75" s="11">
        <v>159838</v>
      </c>
      <c r="T75" s="53">
        <f t="shared" si="38"/>
        <v>3712524</v>
      </c>
      <c r="U75" s="54">
        <f t="shared" si="32"/>
        <v>515984098</v>
      </c>
      <c r="V75" s="2" t="s">
        <v>59</v>
      </c>
      <c r="Z75" s="30">
        <v>1460232.12</v>
      </c>
      <c r="AA75" s="30">
        <f>+Z75/J75</f>
        <v>0.54308190902369402</v>
      </c>
      <c r="AB75" s="31">
        <v>2126593.94</v>
      </c>
      <c r="AC75" s="32">
        <f>+AB75/K75</f>
        <v>5.2342412069272112E-3</v>
      </c>
      <c r="AD75" s="13"/>
      <c r="AE75" s="2" t="s">
        <v>9</v>
      </c>
      <c r="AF75" s="2">
        <v>2023</v>
      </c>
      <c r="AG75" s="1">
        <f t="shared" si="33"/>
        <v>861617</v>
      </c>
      <c r="AH75" s="11">
        <f t="shared" si="33"/>
        <v>76772147</v>
      </c>
      <c r="AI75" s="1">
        <f t="shared" si="34"/>
        <v>2688788</v>
      </c>
      <c r="AJ75" s="11">
        <f t="shared" si="34"/>
        <v>406285048</v>
      </c>
      <c r="AK75" s="8">
        <f t="shared" si="34"/>
        <v>53320</v>
      </c>
      <c r="AL75" s="11">
        <f t="shared" si="34"/>
        <v>11047855</v>
      </c>
      <c r="AM75" s="8">
        <f t="shared" si="34"/>
        <v>106897</v>
      </c>
      <c r="AN75" s="11">
        <f t="shared" si="34"/>
        <v>21713175</v>
      </c>
      <c r="AO75" s="8">
        <f t="shared" si="34"/>
        <v>23</v>
      </c>
      <c r="AP75" s="11">
        <f t="shared" si="34"/>
        <v>6035</v>
      </c>
      <c r="AQ75" s="11">
        <f t="shared" si="34"/>
        <v>1879</v>
      </c>
      <c r="AR75" s="11">
        <f t="shared" si="34"/>
        <v>159838</v>
      </c>
      <c r="AS75" s="8">
        <f t="shared" si="39"/>
        <v>3712524</v>
      </c>
      <c r="AT75" s="11">
        <f t="shared" si="35"/>
        <v>515984098</v>
      </c>
      <c r="AU75" s="2" t="str">
        <f t="shared" si="36"/>
        <v>CONMEX</v>
      </c>
      <c r="AV75" s="37">
        <f t="shared" si="37"/>
        <v>0</v>
      </c>
      <c r="AW75" s="37">
        <f t="shared" si="37"/>
        <v>0</v>
      </c>
    </row>
    <row r="76" spans="1:49" outlineLevel="1" x14ac:dyDescent="0.25">
      <c r="B76" s="2" t="s">
        <v>10</v>
      </c>
      <c r="C76" s="2">
        <v>2023</v>
      </c>
      <c r="D76" s="1">
        <v>456738</v>
      </c>
      <c r="E76" s="11">
        <v>33860450</v>
      </c>
      <c r="F76" s="1">
        <v>268104</v>
      </c>
      <c r="G76" s="11">
        <v>21636852</v>
      </c>
      <c r="H76" s="1">
        <v>95668</v>
      </c>
      <c r="I76" s="11">
        <v>17719778</v>
      </c>
      <c r="J76" s="1">
        <v>2656180</v>
      </c>
      <c r="K76" s="11">
        <v>399188370</v>
      </c>
      <c r="L76" s="8">
        <v>54078</v>
      </c>
      <c r="M76" s="11">
        <v>11114299</v>
      </c>
      <c r="N76" s="8">
        <v>106953</v>
      </c>
      <c r="O76" s="11">
        <v>21708123</v>
      </c>
      <c r="P76" s="8">
        <v>26</v>
      </c>
      <c r="Q76" s="11">
        <v>6614</v>
      </c>
      <c r="R76" s="8">
        <v>2542</v>
      </c>
      <c r="S76" s="11">
        <v>193486</v>
      </c>
      <c r="T76" s="53">
        <f t="shared" si="38"/>
        <v>3640289</v>
      </c>
      <c r="U76" s="54">
        <f t="shared" si="32"/>
        <v>505427972</v>
      </c>
      <c r="V76" s="2" t="s">
        <v>59</v>
      </c>
      <c r="Z76" s="30"/>
      <c r="AA76" s="30"/>
      <c r="AB76" s="31"/>
      <c r="AC76" s="32"/>
      <c r="AE76" s="2" t="s">
        <v>10</v>
      </c>
      <c r="AF76" s="2">
        <v>2023</v>
      </c>
      <c r="AG76" s="1">
        <f t="shared" si="33"/>
        <v>820510</v>
      </c>
      <c r="AH76" s="11">
        <f t="shared" si="33"/>
        <v>73217080</v>
      </c>
      <c r="AI76" s="1">
        <f t="shared" si="34"/>
        <v>2656180</v>
      </c>
      <c r="AJ76" s="11">
        <f t="shared" si="34"/>
        <v>399188370</v>
      </c>
      <c r="AK76" s="8">
        <f t="shared" si="34"/>
        <v>54078</v>
      </c>
      <c r="AL76" s="11">
        <f t="shared" si="34"/>
        <v>11114299</v>
      </c>
      <c r="AM76" s="8">
        <f t="shared" si="34"/>
        <v>106953</v>
      </c>
      <c r="AN76" s="11">
        <f t="shared" si="34"/>
        <v>21708123</v>
      </c>
      <c r="AO76" s="8">
        <f t="shared" si="34"/>
        <v>26</v>
      </c>
      <c r="AP76" s="11">
        <f t="shared" si="34"/>
        <v>6614</v>
      </c>
      <c r="AQ76" s="11">
        <f t="shared" si="34"/>
        <v>2542</v>
      </c>
      <c r="AR76" s="11">
        <f t="shared" si="34"/>
        <v>193486</v>
      </c>
      <c r="AS76" s="8">
        <f t="shared" si="39"/>
        <v>3640289</v>
      </c>
      <c r="AT76" s="11">
        <f t="shared" si="35"/>
        <v>505427972</v>
      </c>
      <c r="AU76" s="2" t="str">
        <f t="shared" si="36"/>
        <v>CONMEX</v>
      </c>
      <c r="AV76" s="37">
        <f t="shared" si="37"/>
        <v>0</v>
      </c>
      <c r="AW76" s="37">
        <f t="shared" si="37"/>
        <v>0</v>
      </c>
    </row>
    <row r="77" spans="1:49" outlineLevel="1" x14ac:dyDescent="0.25">
      <c r="B77" s="2" t="s">
        <v>11</v>
      </c>
      <c r="C77" s="2">
        <v>2023</v>
      </c>
      <c r="D77" s="1">
        <v>459699</v>
      </c>
      <c r="E77" s="11">
        <v>34076580</v>
      </c>
      <c r="F77" s="1">
        <v>272277</v>
      </c>
      <c r="G77" s="11">
        <v>21507802</v>
      </c>
      <c r="H77" s="1">
        <v>97522</v>
      </c>
      <c r="I77" s="11">
        <v>18321362</v>
      </c>
      <c r="J77" s="1">
        <v>2679704</v>
      </c>
      <c r="K77" s="11">
        <v>402629034</v>
      </c>
      <c r="L77" s="8">
        <v>51499</v>
      </c>
      <c r="M77" s="11">
        <v>10491120</v>
      </c>
      <c r="N77" s="8">
        <v>105571</v>
      </c>
      <c r="O77" s="11">
        <v>22050509</v>
      </c>
      <c r="P77" s="8">
        <v>648</v>
      </c>
      <c r="Q77" s="11">
        <v>210105</v>
      </c>
      <c r="R77" s="8">
        <v>3149</v>
      </c>
      <c r="S77" s="11">
        <v>232447</v>
      </c>
      <c r="T77" s="53">
        <f t="shared" si="38"/>
        <v>3670069</v>
      </c>
      <c r="U77" s="54">
        <f t="shared" si="32"/>
        <v>509518959</v>
      </c>
      <c r="V77" s="2" t="s">
        <v>59</v>
      </c>
      <c r="Z77" s="30"/>
      <c r="AA77" s="30"/>
      <c r="AB77" s="31"/>
      <c r="AC77" s="32"/>
      <c r="AE77" s="2" t="s">
        <v>11</v>
      </c>
      <c r="AF77" s="2">
        <v>2023</v>
      </c>
      <c r="AG77" s="1">
        <f t="shared" si="33"/>
        <v>829498</v>
      </c>
      <c r="AH77" s="11">
        <f t="shared" si="33"/>
        <v>73905744</v>
      </c>
      <c r="AI77" s="1">
        <f t="shared" si="34"/>
        <v>2679704</v>
      </c>
      <c r="AJ77" s="11">
        <f t="shared" si="34"/>
        <v>402629034</v>
      </c>
      <c r="AK77" s="8">
        <f t="shared" si="34"/>
        <v>51499</v>
      </c>
      <c r="AL77" s="11">
        <f t="shared" si="34"/>
        <v>10491120</v>
      </c>
      <c r="AM77" s="8">
        <f t="shared" si="34"/>
        <v>105571</v>
      </c>
      <c r="AN77" s="11">
        <f t="shared" si="34"/>
        <v>22050509</v>
      </c>
      <c r="AO77" s="8">
        <f t="shared" si="34"/>
        <v>648</v>
      </c>
      <c r="AP77" s="11">
        <f t="shared" si="34"/>
        <v>210105</v>
      </c>
      <c r="AQ77" s="11">
        <f t="shared" si="34"/>
        <v>3149</v>
      </c>
      <c r="AR77" s="11">
        <f t="shared" si="34"/>
        <v>232447</v>
      </c>
      <c r="AS77" s="8">
        <f t="shared" si="39"/>
        <v>3670069</v>
      </c>
      <c r="AT77" s="11">
        <f t="shared" si="35"/>
        <v>509518959</v>
      </c>
      <c r="AU77" s="2" t="str">
        <f t="shared" si="36"/>
        <v>CONMEX</v>
      </c>
      <c r="AV77" s="37">
        <f t="shared" si="37"/>
        <v>0</v>
      </c>
      <c r="AW77" s="37">
        <f t="shared" si="37"/>
        <v>0</v>
      </c>
    </row>
    <row r="78" spans="1:49" outlineLevel="1" x14ac:dyDescent="0.25">
      <c r="B78" s="2" t="s">
        <v>4</v>
      </c>
      <c r="C78" s="2">
        <v>2023</v>
      </c>
      <c r="D78" s="1">
        <v>466254</v>
      </c>
      <c r="E78" s="11">
        <v>35145788</v>
      </c>
      <c r="F78" s="1">
        <v>272923</v>
      </c>
      <c r="G78" s="11">
        <v>22427144</v>
      </c>
      <c r="H78" s="1">
        <v>104428</v>
      </c>
      <c r="I78" s="11">
        <v>19477953</v>
      </c>
      <c r="J78" s="1">
        <v>2776605</v>
      </c>
      <c r="K78" s="11">
        <v>417858154</v>
      </c>
      <c r="L78" s="8">
        <v>53808</v>
      </c>
      <c r="M78" s="11">
        <v>10952861</v>
      </c>
      <c r="N78" s="8">
        <v>115305</v>
      </c>
      <c r="O78" s="11">
        <v>23949640</v>
      </c>
      <c r="P78" s="8">
        <v>833</v>
      </c>
      <c r="Q78" s="11">
        <v>288814</v>
      </c>
      <c r="R78" s="8">
        <v>4502</v>
      </c>
      <c r="S78" s="11">
        <v>325558</v>
      </c>
      <c r="T78" s="53">
        <f t="shared" si="38"/>
        <v>3794658</v>
      </c>
      <c r="U78" s="54">
        <f t="shared" si="32"/>
        <v>530425912</v>
      </c>
      <c r="V78" s="2" t="s">
        <v>59</v>
      </c>
      <c r="Z78" s="30"/>
      <c r="AA78" s="30"/>
      <c r="AB78" s="31"/>
      <c r="AC78" s="32"/>
      <c r="AE78" s="2" t="s">
        <v>4</v>
      </c>
      <c r="AF78" s="2">
        <v>2023</v>
      </c>
      <c r="AG78" s="1">
        <f t="shared" si="33"/>
        <v>843605</v>
      </c>
      <c r="AH78" s="11">
        <f t="shared" si="33"/>
        <v>77050885</v>
      </c>
      <c r="AI78" s="1">
        <f t="shared" si="34"/>
        <v>2776605</v>
      </c>
      <c r="AJ78" s="11">
        <f t="shared" si="34"/>
        <v>417858154</v>
      </c>
      <c r="AK78" s="8">
        <f t="shared" si="34"/>
        <v>53808</v>
      </c>
      <c r="AL78" s="11">
        <f t="shared" si="34"/>
        <v>10952861</v>
      </c>
      <c r="AM78" s="8">
        <f t="shared" si="34"/>
        <v>115305</v>
      </c>
      <c r="AN78" s="11">
        <f t="shared" si="34"/>
        <v>23949640</v>
      </c>
      <c r="AO78" s="8">
        <f t="shared" si="34"/>
        <v>833</v>
      </c>
      <c r="AP78" s="11">
        <f t="shared" si="34"/>
        <v>288814</v>
      </c>
      <c r="AQ78" s="11">
        <f t="shared" si="34"/>
        <v>4502</v>
      </c>
      <c r="AR78" s="11">
        <f t="shared" si="34"/>
        <v>325558</v>
      </c>
      <c r="AS78" s="8">
        <f t="shared" si="39"/>
        <v>3794658</v>
      </c>
      <c r="AT78" s="11">
        <f t="shared" si="35"/>
        <v>530425912</v>
      </c>
      <c r="AU78" s="2" t="str">
        <f t="shared" si="36"/>
        <v>CONMEX</v>
      </c>
      <c r="AV78" s="37">
        <f t="shared" si="37"/>
        <v>0</v>
      </c>
      <c r="AW78" s="37">
        <f t="shared" si="37"/>
        <v>0</v>
      </c>
    </row>
    <row r="79" spans="1:49" outlineLevel="1" x14ac:dyDescent="0.25">
      <c r="B79" s="2" t="s">
        <v>28</v>
      </c>
      <c r="C79" s="2">
        <v>2023</v>
      </c>
      <c r="D79" s="1">
        <v>363784</v>
      </c>
      <c r="E79" s="11">
        <v>30027048</v>
      </c>
      <c r="F79" s="1">
        <v>223691</v>
      </c>
      <c r="G79" s="11">
        <v>19800234</v>
      </c>
      <c r="H79" s="1">
        <v>88758</v>
      </c>
      <c r="I79" s="11">
        <v>17572143</v>
      </c>
      <c r="J79" s="69">
        <f>(2212807)+116</f>
        <v>2212923</v>
      </c>
      <c r="K79" s="70">
        <f>(366756258)+193406</f>
        <v>366949664</v>
      </c>
      <c r="L79" s="71">
        <f>(44159)+2</f>
        <v>44161</v>
      </c>
      <c r="M79" s="70">
        <f>(9357331)+3360</f>
        <v>9360691</v>
      </c>
      <c r="N79" s="71">
        <f>(99374)+7</f>
        <v>99381</v>
      </c>
      <c r="O79" s="70">
        <f>(22262022)+14926</f>
        <v>22276948</v>
      </c>
      <c r="P79" s="8">
        <v>491</v>
      </c>
      <c r="Q79" s="11">
        <v>188431</v>
      </c>
      <c r="R79" s="71">
        <f>(4922)+7</f>
        <v>4929</v>
      </c>
      <c r="S79" s="70">
        <f>(343265)+347</f>
        <v>343612</v>
      </c>
      <c r="T79" s="53">
        <f t="shared" si="38"/>
        <v>3038118</v>
      </c>
      <c r="U79" s="54">
        <f t="shared" si="32"/>
        <v>466518771</v>
      </c>
      <c r="V79" s="2" t="s">
        <v>59</v>
      </c>
      <c r="Z79" s="30"/>
      <c r="AA79" s="30"/>
      <c r="AB79" s="31"/>
      <c r="AC79" s="32"/>
      <c r="AE79" s="2" t="s">
        <v>28</v>
      </c>
      <c r="AF79" s="2">
        <v>2023</v>
      </c>
      <c r="AG79" s="1">
        <f t="shared" si="33"/>
        <v>676233</v>
      </c>
      <c r="AH79" s="11">
        <f t="shared" si="33"/>
        <v>67399425</v>
      </c>
      <c r="AI79" s="1">
        <f t="shared" si="34"/>
        <v>2212923</v>
      </c>
      <c r="AJ79" s="11">
        <f t="shared" si="34"/>
        <v>366949664</v>
      </c>
      <c r="AK79" s="8">
        <f t="shared" si="34"/>
        <v>44161</v>
      </c>
      <c r="AL79" s="11">
        <f t="shared" si="34"/>
        <v>9360691</v>
      </c>
      <c r="AM79" s="8">
        <f t="shared" si="34"/>
        <v>99381</v>
      </c>
      <c r="AN79" s="11">
        <f t="shared" si="34"/>
        <v>22276948</v>
      </c>
      <c r="AO79" s="8">
        <f t="shared" si="34"/>
        <v>491</v>
      </c>
      <c r="AP79" s="11">
        <f t="shared" si="34"/>
        <v>188431</v>
      </c>
      <c r="AQ79" s="11">
        <f t="shared" si="34"/>
        <v>4929</v>
      </c>
      <c r="AR79" s="11">
        <f t="shared" si="34"/>
        <v>343612</v>
      </c>
      <c r="AS79" s="8">
        <f t="shared" si="39"/>
        <v>3038118</v>
      </c>
      <c r="AT79" s="11">
        <f t="shared" si="35"/>
        <v>466518771</v>
      </c>
      <c r="AU79" s="2" t="str">
        <f t="shared" si="36"/>
        <v>CONMEX</v>
      </c>
      <c r="AV79" s="37">
        <f t="shared" si="37"/>
        <v>0</v>
      </c>
      <c r="AW79" s="37">
        <f t="shared" si="37"/>
        <v>0</v>
      </c>
    </row>
    <row r="80" spans="1:49" outlineLevel="1" x14ac:dyDescent="0.25">
      <c r="B80" s="2" t="s">
        <v>29</v>
      </c>
      <c r="C80" s="2">
        <v>2023</v>
      </c>
      <c r="D80" s="1">
        <v>577249</v>
      </c>
      <c r="E80" s="11">
        <v>39871804</v>
      </c>
      <c r="F80" s="1">
        <v>345667</v>
      </c>
      <c r="G80" s="11">
        <v>26472691</v>
      </c>
      <c r="H80" s="1">
        <v>114661</v>
      </c>
      <c r="I80" s="11">
        <v>20016497</v>
      </c>
      <c r="J80" s="1">
        <f>(3327673)+7080</f>
        <v>3334753</v>
      </c>
      <c r="K80" s="11">
        <f>(457618632)+1228429</f>
        <v>458847061</v>
      </c>
      <c r="L80" s="8">
        <v>59018</v>
      </c>
      <c r="M80" s="11">
        <v>10765775</v>
      </c>
      <c r="N80" s="8">
        <v>138412</v>
      </c>
      <c r="O80" s="11">
        <v>27062142</v>
      </c>
      <c r="P80" s="8">
        <v>736</v>
      </c>
      <c r="Q80" s="11">
        <v>253841</v>
      </c>
      <c r="R80" s="8">
        <v>9111</v>
      </c>
      <c r="S80" s="11">
        <v>544777</v>
      </c>
      <c r="T80" s="53">
        <f>N80+L80+J80+H80+D80+P80+F80+R80</f>
        <v>4579607</v>
      </c>
      <c r="U80" s="54">
        <f t="shared" si="32"/>
        <v>583834588</v>
      </c>
      <c r="V80" s="2" t="s">
        <v>59</v>
      </c>
      <c r="Z80" s="30"/>
      <c r="AA80" s="30"/>
      <c r="AB80" s="31"/>
      <c r="AC80" s="32"/>
      <c r="AE80" s="2" t="s">
        <v>29</v>
      </c>
      <c r="AF80" s="2">
        <v>2023</v>
      </c>
      <c r="AG80" s="1">
        <f t="shared" si="33"/>
        <v>1037577</v>
      </c>
      <c r="AH80" s="11">
        <f t="shared" si="33"/>
        <v>86360992</v>
      </c>
      <c r="AI80" s="1">
        <f t="shared" si="34"/>
        <v>3334753</v>
      </c>
      <c r="AJ80" s="11">
        <f t="shared" si="34"/>
        <v>458847061</v>
      </c>
      <c r="AK80" s="8">
        <f t="shared" si="34"/>
        <v>59018</v>
      </c>
      <c r="AL80" s="11">
        <f t="shared" si="34"/>
        <v>10765775</v>
      </c>
      <c r="AM80" s="8">
        <f t="shared" si="34"/>
        <v>138412</v>
      </c>
      <c r="AN80" s="11">
        <f t="shared" si="34"/>
        <v>27062142</v>
      </c>
      <c r="AO80" s="8">
        <f t="shared" si="34"/>
        <v>736</v>
      </c>
      <c r="AP80" s="11">
        <f t="shared" si="34"/>
        <v>253841</v>
      </c>
      <c r="AQ80" s="11">
        <f t="shared" si="34"/>
        <v>9111</v>
      </c>
      <c r="AR80" s="11">
        <f t="shared" si="34"/>
        <v>544777</v>
      </c>
      <c r="AS80" s="8">
        <f t="shared" si="39"/>
        <v>4579607</v>
      </c>
      <c r="AT80" s="11">
        <f t="shared" si="35"/>
        <v>583834588</v>
      </c>
      <c r="AU80" s="2" t="str">
        <f t="shared" si="36"/>
        <v>CONMEX</v>
      </c>
      <c r="AV80" s="37">
        <f t="shared" si="37"/>
        <v>0</v>
      </c>
      <c r="AW80" s="37">
        <f t="shared" si="37"/>
        <v>0</v>
      </c>
    </row>
    <row r="81" spans="1:49" outlineLevel="1" x14ac:dyDescent="0.25">
      <c r="B81" s="2" t="s">
        <v>30</v>
      </c>
      <c r="C81" s="2">
        <v>2023</v>
      </c>
      <c r="D81" s="1">
        <v>462887</v>
      </c>
      <c r="E81" s="11">
        <v>35358521</v>
      </c>
      <c r="F81" s="1">
        <v>292389</v>
      </c>
      <c r="G81" s="11">
        <v>24970015.719999999</v>
      </c>
      <c r="H81" s="1">
        <v>101972</v>
      </c>
      <c r="I81" s="11">
        <v>18451504</v>
      </c>
      <c r="J81" s="1">
        <v>2791276</v>
      </c>
      <c r="K81" s="11">
        <v>417606030.25</v>
      </c>
      <c r="L81" s="8">
        <v>52286</v>
      </c>
      <c r="M81" s="11">
        <v>10090693</v>
      </c>
      <c r="N81" s="8">
        <v>122916</v>
      </c>
      <c r="O81" s="11">
        <v>26039329.440000001</v>
      </c>
      <c r="P81" s="8">
        <v>562</v>
      </c>
      <c r="Q81" s="11">
        <v>219195</v>
      </c>
      <c r="R81" s="11">
        <v>8573</v>
      </c>
      <c r="S81" s="11">
        <v>519359</v>
      </c>
      <c r="T81" s="53">
        <f t="shared" si="38"/>
        <v>3832861</v>
      </c>
      <c r="U81" s="54">
        <f t="shared" si="32"/>
        <v>533254647.40999997</v>
      </c>
      <c r="V81" s="2" t="s">
        <v>59</v>
      </c>
      <c r="Z81" s="30"/>
      <c r="AA81" s="30"/>
      <c r="AB81" s="31"/>
      <c r="AC81" s="32"/>
      <c r="AE81" s="2" t="s">
        <v>30</v>
      </c>
      <c r="AF81" s="2">
        <v>2023</v>
      </c>
      <c r="AG81" s="1">
        <f t="shared" si="33"/>
        <v>857248</v>
      </c>
      <c r="AH81" s="11">
        <f t="shared" si="33"/>
        <v>78780040.719999999</v>
      </c>
      <c r="AI81" s="1">
        <f t="shared" si="34"/>
        <v>2791276</v>
      </c>
      <c r="AJ81" s="11">
        <f t="shared" si="34"/>
        <v>417606030.25</v>
      </c>
      <c r="AK81" s="8">
        <f t="shared" si="34"/>
        <v>52286</v>
      </c>
      <c r="AL81" s="11">
        <f t="shared" si="34"/>
        <v>10090693</v>
      </c>
      <c r="AM81" s="8">
        <f t="shared" si="34"/>
        <v>122916</v>
      </c>
      <c r="AN81" s="11">
        <f t="shared" si="34"/>
        <v>26039329.440000001</v>
      </c>
      <c r="AO81" s="8">
        <f t="shared" si="34"/>
        <v>562</v>
      </c>
      <c r="AP81" s="11">
        <f t="shared" si="34"/>
        <v>219195</v>
      </c>
      <c r="AQ81" s="11">
        <f t="shared" si="34"/>
        <v>8573</v>
      </c>
      <c r="AR81" s="11">
        <f t="shared" si="34"/>
        <v>519359</v>
      </c>
      <c r="AS81" s="8">
        <f t="shared" si="39"/>
        <v>3832861</v>
      </c>
      <c r="AT81" s="11">
        <f t="shared" si="35"/>
        <v>533254647.40999997</v>
      </c>
      <c r="AU81" s="2" t="str">
        <f t="shared" si="36"/>
        <v>CONMEX</v>
      </c>
      <c r="AV81" s="37">
        <f t="shared" si="37"/>
        <v>0</v>
      </c>
      <c r="AW81" s="37">
        <f t="shared" si="37"/>
        <v>0</v>
      </c>
    </row>
    <row r="82" spans="1:49" outlineLevel="1" x14ac:dyDescent="0.25">
      <c r="B82" s="2" t="s">
        <v>31</v>
      </c>
      <c r="C82" s="2">
        <v>2023</v>
      </c>
      <c r="D82" s="1">
        <v>465459</v>
      </c>
      <c r="E82" s="11">
        <v>35480217</v>
      </c>
      <c r="F82" s="1">
        <v>321017</v>
      </c>
      <c r="G82" s="11">
        <v>26670486</v>
      </c>
      <c r="H82" s="1">
        <v>108353</v>
      </c>
      <c r="I82" s="11">
        <v>20335021</v>
      </c>
      <c r="J82" s="1">
        <v>2800444</v>
      </c>
      <c r="K82" s="11">
        <v>410861276</v>
      </c>
      <c r="L82" s="8">
        <v>52005</v>
      </c>
      <c r="M82" s="11">
        <v>10232206</v>
      </c>
      <c r="N82" s="8">
        <v>118081</v>
      </c>
      <c r="O82" s="11">
        <v>24597687</v>
      </c>
      <c r="P82" s="8">
        <v>440</v>
      </c>
      <c r="Q82" s="11">
        <v>170665</v>
      </c>
      <c r="R82" s="11">
        <v>10054</v>
      </c>
      <c r="S82" s="11">
        <v>657954</v>
      </c>
      <c r="T82" s="53">
        <f t="shared" si="38"/>
        <v>3875853</v>
      </c>
      <c r="U82" s="54">
        <f t="shared" si="32"/>
        <v>529005512</v>
      </c>
      <c r="V82" s="2" t="s">
        <v>59</v>
      </c>
      <c r="X82" s="13"/>
      <c r="Z82" s="30"/>
      <c r="AA82" s="30"/>
      <c r="AB82" s="31"/>
      <c r="AC82" s="32"/>
      <c r="AE82" s="2" t="s">
        <v>31</v>
      </c>
      <c r="AF82" s="2">
        <v>2023</v>
      </c>
      <c r="AG82" s="1">
        <f t="shared" si="33"/>
        <v>894829</v>
      </c>
      <c r="AH82" s="11">
        <f t="shared" si="33"/>
        <v>82485724</v>
      </c>
      <c r="AI82" s="1">
        <f t="shared" si="34"/>
        <v>2800444</v>
      </c>
      <c r="AJ82" s="11">
        <f t="shared" si="34"/>
        <v>410861276</v>
      </c>
      <c r="AK82" s="8">
        <f t="shared" si="34"/>
        <v>52005</v>
      </c>
      <c r="AL82" s="11">
        <f t="shared" si="34"/>
        <v>10232206</v>
      </c>
      <c r="AM82" s="8">
        <f t="shared" si="34"/>
        <v>118081</v>
      </c>
      <c r="AN82" s="11">
        <f t="shared" si="34"/>
        <v>24597687</v>
      </c>
      <c r="AO82" s="8">
        <f t="shared" si="34"/>
        <v>440</v>
      </c>
      <c r="AP82" s="11">
        <f t="shared" si="34"/>
        <v>170665</v>
      </c>
      <c r="AQ82" s="11">
        <f t="shared" si="34"/>
        <v>10054</v>
      </c>
      <c r="AR82" s="11">
        <f t="shared" si="34"/>
        <v>657954</v>
      </c>
      <c r="AS82" s="8">
        <f t="shared" si="39"/>
        <v>3875853</v>
      </c>
      <c r="AT82" s="11">
        <f t="shared" si="35"/>
        <v>529005512</v>
      </c>
      <c r="AU82" s="2" t="str">
        <f t="shared" si="36"/>
        <v>CONMEX</v>
      </c>
      <c r="AV82" s="37">
        <f t="shared" si="37"/>
        <v>0</v>
      </c>
      <c r="AW82" s="37">
        <f t="shared" si="37"/>
        <v>0</v>
      </c>
    </row>
    <row r="83" spans="1:49" outlineLevel="1" x14ac:dyDescent="0.25"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AH83" s="9"/>
      <c r="AJ83" s="9"/>
      <c r="AL83" s="9"/>
      <c r="AN83" s="9"/>
      <c r="AO83" s="9"/>
      <c r="AP83" s="9"/>
      <c r="AQ83" s="9"/>
      <c r="AR83" s="9"/>
      <c r="AT83" s="9"/>
    </row>
    <row r="84" spans="1:49" outlineLevel="1" x14ac:dyDescent="0.25">
      <c r="B84" s="3" t="s">
        <v>12</v>
      </c>
      <c r="C84" s="3"/>
      <c r="D84" s="4">
        <f t="shared" ref="D84:O84" si="40">SUM(D71:D83)</f>
        <v>5493397</v>
      </c>
      <c r="E84" s="12">
        <f t="shared" si="40"/>
        <v>408446664</v>
      </c>
      <c r="F84" s="4">
        <f t="shared" si="40"/>
        <v>3266659</v>
      </c>
      <c r="G84" s="12">
        <f t="shared" si="40"/>
        <v>261254748.47999999</v>
      </c>
      <c r="H84" s="4">
        <f t="shared" si="40"/>
        <v>1172623</v>
      </c>
      <c r="I84" s="12">
        <f t="shared" si="40"/>
        <v>217348006</v>
      </c>
      <c r="J84" s="4">
        <f t="shared" si="40"/>
        <v>31954588</v>
      </c>
      <c r="K84" s="12">
        <f t="shared" si="40"/>
        <v>4723750501.25</v>
      </c>
      <c r="L84" s="4">
        <f t="shared" si="40"/>
        <v>632383</v>
      </c>
      <c r="M84" s="12">
        <f t="shared" si="40"/>
        <v>126217759</v>
      </c>
      <c r="N84" s="4">
        <f t="shared" si="40"/>
        <v>1317264</v>
      </c>
      <c r="O84" s="12">
        <f t="shared" si="40"/>
        <v>266019219.16</v>
      </c>
      <c r="P84" s="4">
        <f>SUM(P71:P83)</f>
        <v>3869</v>
      </c>
      <c r="Q84" s="12">
        <f>SUM(Q71:Q83)</f>
        <v>1375401</v>
      </c>
      <c r="R84" s="4">
        <f>SUM(R71:R83)</f>
        <v>52281</v>
      </c>
      <c r="S84" s="12">
        <f>SUM(S71:S83)</f>
        <v>3592719</v>
      </c>
      <c r="T84" s="4">
        <f t="shared" ref="T84:U84" si="41">SUM(T71:T83)</f>
        <v>43893064</v>
      </c>
      <c r="U84" s="12">
        <f t="shared" si="41"/>
        <v>6008005017.8899994</v>
      </c>
      <c r="Z84" s="12">
        <f>AVERAGE(Z71:Z83)</f>
        <v>1339898.8959999999</v>
      </c>
      <c r="AA84" s="12">
        <f t="shared" ref="AA84:AC84" si="42">AVERAGE(AA71:AA83)</f>
        <v>0.52710639858152919</v>
      </c>
      <c r="AB84" s="12">
        <f t="shared" si="42"/>
        <v>1845285.4835000001</v>
      </c>
      <c r="AC84" s="16">
        <f t="shared" si="42"/>
        <v>4.9640178630775784E-3</v>
      </c>
      <c r="AE84" s="3" t="s">
        <v>12</v>
      </c>
      <c r="AF84" s="3"/>
      <c r="AG84" s="4">
        <f t="shared" ref="AG84:AT84" si="43">SUM(AG71:AG83)</f>
        <v>9932679</v>
      </c>
      <c r="AH84" s="12">
        <f t="shared" si="43"/>
        <v>887049418.48000002</v>
      </c>
      <c r="AI84" s="4">
        <f t="shared" si="43"/>
        <v>31954588</v>
      </c>
      <c r="AJ84" s="12">
        <f t="shared" si="43"/>
        <v>4723750501.25</v>
      </c>
      <c r="AK84" s="4">
        <f t="shared" si="43"/>
        <v>632383</v>
      </c>
      <c r="AL84" s="12">
        <f t="shared" si="43"/>
        <v>126217759</v>
      </c>
      <c r="AM84" s="4">
        <f t="shared" si="43"/>
        <v>1317264</v>
      </c>
      <c r="AN84" s="12">
        <f t="shared" si="43"/>
        <v>266019219.16</v>
      </c>
      <c r="AO84" s="4">
        <f t="shared" si="43"/>
        <v>3869</v>
      </c>
      <c r="AP84" s="12">
        <f t="shared" si="43"/>
        <v>1375401</v>
      </c>
      <c r="AQ84" s="4">
        <f t="shared" si="43"/>
        <v>52281</v>
      </c>
      <c r="AR84" s="12">
        <f t="shared" si="43"/>
        <v>3592719</v>
      </c>
      <c r="AS84" s="4">
        <f t="shared" si="43"/>
        <v>43893064</v>
      </c>
      <c r="AT84" s="12">
        <f t="shared" si="43"/>
        <v>6008005017.8899994</v>
      </c>
    </row>
    <row r="85" spans="1:49" outlineLevel="1" x14ac:dyDescent="0.25">
      <c r="J85" s="46" t="str">
        <f>+$A$66</f>
        <v>Aforo e Ingreso - CONMEX</v>
      </c>
      <c r="K85" s="9" t="s">
        <v>84</v>
      </c>
      <c r="L85" s="15">
        <f>AVERAGE(L71:L82)</f>
        <v>52698.583333333336</v>
      </c>
      <c r="M85" s="60">
        <f>AVERAGE(M71:M82)</f>
        <v>10518146.583333334</v>
      </c>
      <c r="T85" s="15">
        <f>AVERAGE(T71:T82)</f>
        <v>3657755.3333333335</v>
      </c>
      <c r="U85" s="28">
        <f>AVERAGE(U71:U82)</f>
        <v>500667084.8241666</v>
      </c>
      <c r="V85" s="13">
        <f>+U84/365</f>
        <v>16460287.720246574</v>
      </c>
    </row>
    <row r="86" spans="1:49" outlineLevel="1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+L85/$L$337</f>
        <v>0.39456146907594392</v>
      </c>
      <c r="M86" s="36">
        <f>+M85/$M$337</f>
        <v>0.52261608432330975</v>
      </c>
      <c r="N86" s="18"/>
      <c r="O86" s="19"/>
      <c r="P86" s="19"/>
      <c r="Q86" s="19"/>
      <c r="R86" s="19"/>
      <c r="S86" s="19"/>
      <c r="T86" s="36">
        <f>+L85/T85</f>
        <v>1.4407356023266E-2</v>
      </c>
      <c r="U86" s="62">
        <f>+M85/U85</f>
        <v>2.1008264577702943E-2</v>
      </c>
    </row>
    <row r="87" spans="1:49" outlineLevel="1" x14ac:dyDescent="0.25">
      <c r="A87" s="67" t="s">
        <v>94</v>
      </c>
      <c r="J87" s="46"/>
      <c r="M87"/>
      <c r="O87"/>
      <c r="P87"/>
      <c r="Q87"/>
      <c r="R87"/>
      <c r="S87"/>
      <c r="U87"/>
    </row>
    <row r="88" spans="1:49" outlineLevel="1" x14ac:dyDescent="0.25">
      <c r="A88" s="67"/>
      <c r="J88" s="46"/>
      <c r="M88"/>
      <c r="O88"/>
      <c r="P88"/>
      <c r="Q88"/>
      <c r="R88"/>
      <c r="S88"/>
      <c r="U88"/>
    </row>
    <row r="89" spans="1:49" outlineLevel="1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87</v>
      </c>
      <c r="S89" s="93"/>
      <c r="T89" s="89" t="s">
        <v>12</v>
      </c>
      <c r="U89" s="93"/>
    </row>
    <row r="90" spans="1:49" outlineLevel="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</row>
    <row r="91" spans="1:49" outlineLevel="1" x14ac:dyDescent="0.25"/>
    <row r="92" spans="1:49" outlineLevel="1" x14ac:dyDescent="0.25">
      <c r="B92" s="2" t="s">
        <v>5</v>
      </c>
      <c r="C92" s="2">
        <v>2023</v>
      </c>
      <c r="D92" s="1"/>
      <c r="E92" s="11"/>
      <c r="F92" s="1"/>
      <c r="G92" s="11"/>
      <c r="H92" s="1"/>
      <c r="I92" s="11"/>
      <c r="J92" s="1"/>
      <c r="K92" s="11"/>
      <c r="L92" s="8"/>
      <c r="M92" s="11"/>
      <c r="N92" s="8"/>
      <c r="O92" s="11"/>
      <c r="P92" s="8"/>
      <c r="Q92" s="11"/>
      <c r="R92" s="8"/>
      <c r="S92" s="11"/>
      <c r="T92" s="53">
        <f>N92+L92+J92+H92+D92+P92+F92+R92</f>
        <v>0</v>
      </c>
      <c r="U92" s="54">
        <f t="shared" ref="U92:U103" si="44">O92+M92+K92+I92+E92+Q92+G92+S92</f>
        <v>0</v>
      </c>
      <c r="V92" s="2" t="s">
        <v>93</v>
      </c>
    </row>
    <row r="93" spans="1:49" outlineLevel="1" x14ac:dyDescent="0.25">
      <c r="B93" s="2" t="s">
        <v>6</v>
      </c>
      <c r="C93" s="2">
        <v>2023</v>
      </c>
      <c r="D93" s="1"/>
      <c r="E93" s="11"/>
      <c r="F93" s="1"/>
      <c r="G93" s="11"/>
      <c r="H93" s="1"/>
      <c r="I93" s="11"/>
      <c r="J93" s="1"/>
      <c r="K93" s="11"/>
      <c r="L93" s="8"/>
      <c r="M93" s="11"/>
      <c r="N93" s="8"/>
      <c r="O93" s="11"/>
      <c r="P93" s="8"/>
      <c r="Q93" s="11"/>
      <c r="R93" s="8"/>
      <c r="S93" s="11"/>
      <c r="T93" s="53">
        <f t="shared" ref="T93:T100" si="45">N93+L93+J93+H93+D93+P93+F93+R93</f>
        <v>0</v>
      </c>
      <c r="U93" s="54">
        <f t="shared" si="44"/>
        <v>0</v>
      </c>
      <c r="V93" s="2" t="s">
        <v>93</v>
      </c>
    </row>
    <row r="94" spans="1:49" outlineLevel="1" x14ac:dyDescent="0.25">
      <c r="B94" s="2" t="s">
        <v>7</v>
      </c>
      <c r="C94" s="2">
        <v>2023</v>
      </c>
      <c r="D94" s="1">
        <v>20862</v>
      </c>
      <c r="E94" s="11">
        <v>681660</v>
      </c>
      <c r="F94" s="1">
        <v>13735</v>
      </c>
      <c r="G94" s="11">
        <v>464290</v>
      </c>
      <c r="H94" s="1">
        <v>3022</v>
      </c>
      <c r="I94" s="11">
        <v>165417</v>
      </c>
      <c r="J94" s="1">
        <v>156705</v>
      </c>
      <c r="K94" s="11">
        <v>7053645</v>
      </c>
      <c r="L94" s="8">
        <v>2387</v>
      </c>
      <c r="M94" s="11">
        <v>143952</v>
      </c>
      <c r="N94" s="8">
        <v>6521</v>
      </c>
      <c r="O94" s="11">
        <v>386358</v>
      </c>
      <c r="P94" s="8">
        <v>0</v>
      </c>
      <c r="Q94" s="11">
        <v>0</v>
      </c>
      <c r="R94" s="8">
        <v>81</v>
      </c>
      <c r="S94" s="11">
        <v>3028</v>
      </c>
      <c r="T94" s="53">
        <f t="shared" si="45"/>
        <v>203313</v>
      </c>
      <c r="U94" s="54">
        <f t="shared" si="44"/>
        <v>8898350</v>
      </c>
      <c r="V94" s="2" t="s">
        <v>93</v>
      </c>
    </row>
    <row r="95" spans="1:49" outlineLevel="1" x14ac:dyDescent="0.25">
      <c r="B95" s="2" t="s">
        <v>8</v>
      </c>
      <c r="C95" s="2">
        <v>2023</v>
      </c>
      <c r="D95" s="1">
        <v>38256</v>
      </c>
      <c r="E95" s="11">
        <v>1242936</v>
      </c>
      <c r="F95" s="1">
        <v>25964</v>
      </c>
      <c r="G95" s="11">
        <v>854686</v>
      </c>
      <c r="H95" s="1">
        <v>5531</v>
      </c>
      <c r="I95" s="11">
        <v>310287</v>
      </c>
      <c r="J95" s="1">
        <v>285813</v>
      </c>
      <c r="K95" s="11">
        <v>12762517</v>
      </c>
      <c r="L95" s="8">
        <v>4435</v>
      </c>
      <c r="M95" s="11">
        <v>281194</v>
      </c>
      <c r="N95" s="8">
        <v>11805</v>
      </c>
      <c r="O95" s="11">
        <v>722878</v>
      </c>
      <c r="P95" s="8">
        <v>1</v>
      </c>
      <c r="Q95" s="11">
        <v>27</v>
      </c>
      <c r="R95" s="8">
        <v>185</v>
      </c>
      <c r="S95" s="11">
        <v>6598</v>
      </c>
      <c r="T95" s="53">
        <f t="shared" si="45"/>
        <v>371990</v>
      </c>
      <c r="U95" s="54">
        <f t="shared" si="44"/>
        <v>16181123</v>
      </c>
      <c r="V95" s="2" t="s">
        <v>93</v>
      </c>
    </row>
    <row r="96" spans="1:49" outlineLevel="1" x14ac:dyDescent="0.25">
      <c r="B96" s="2" t="s">
        <v>9</v>
      </c>
      <c r="C96" s="2">
        <v>2023</v>
      </c>
      <c r="D96" s="1">
        <v>42846</v>
      </c>
      <c r="E96" s="11">
        <v>1394414</v>
      </c>
      <c r="F96" s="1">
        <v>28762</v>
      </c>
      <c r="G96" s="11">
        <v>950121</v>
      </c>
      <c r="H96" s="1">
        <v>6359</v>
      </c>
      <c r="I96" s="11">
        <v>348052</v>
      </c>
      <c r="J96" s="1">
        <v>323146</v>
      </c>
      <c r="K96" s="11">
        <v>14203505</v>
      </c>
      <c r="L96" s="8">
        <v>5048</v>
      </c>
      <c r="M96" s="11">
        <v>302656</v>
      </c>
      <c r="N96" s="8">
        <v>13697</v>
      </c>
      <c r="O96" s="11">
        <v>826306</v>
      </c>
      <c r="P96" s="8">
        <v>0</v>
      </c>
      <c r="Q96" s="11">
        <v>0</v>
      </c>
      <c r="R96" s="8">
        <v>243</v>
      </c>
      <c r="S96" s="11">
        <v>8509</v>
      </c>
      <c r="T96" s="53">
        <f t="shared" si="45"/>
        <v>420101</v>
      </c>
      <c r="U96" s="54">
        <f t="shared" si="44"/>
        <v>18033563</v>
      </c>
      <c r="V96" s="2" t="s">
        <v>93</v>
      </c>
    </row>
    <row r="97" spans="1:49" outlineLevel="1" x14ac:dyDescent="0.25">
      <c r="B97" s="2" t="s">
        <v>10</v>
      </c>
      <c r="C97" s="2">
        <v>2023</v>
      </c>
      <c r="D97" s="1">
        <v>41715</v>
      </c>
      <c r="E97" s="11">
        <v>1349484</v>
      </c>
      <c r="F97" s="1">
        <v>28297</v>
      </c>
      <c r="G97" s="11">
        <v>950021</v>
      </c>
      <c r="H97" s="1">
        <v>6622</v>
      </c>
      <c r="I97" s="11">
        <v>363272</v>
      </c>
      <c r="J97" s="1">
        <v>316637</v>
      </c>
      <c r="K97" s="11">
        <v>14006199</v>
      </c>
      <c r="L97" s="8">
        <v>5170</v>
      </c>
      <c r="M97" s="11">
        <v>314560</v>
      </c>
      <c r="N97" s="8">
        <v>13018</v>
      </c>
      <c r="O97" s="11">
        <v>783179</v>
      </c>
      <c r="P97" s="8">
        <v>4</v>
      </c>
      <c r="Q97" s="11">
        <v>237</v>
      </c>
      <c r="R97" s="8">
        <v>248</v>
      </c>
      <c r="S97" s="11">
        <v>8026</v>
      </c>
      <c r="T97" s="53">
        <f t="shared" si="45"/>
        <v>411711</v>
      </c>
      <c r="U97" s="54">
        <f t="shared" si="44"/>
        <v>17774978</v>
      </c>
      <c r="V97" s="2" t="s">
        <v>93</v>
      </c>
    </row>
    <row r="98" spans="1:49" outlineLevel="1" x14ac:dyDescent="0.25">
      <c r="B98" s="2" t="s">
        <v>11</v>
      </c>
      <c r="C98" s="2">
        <v>2023</v>
      </c>
      <c r="D98" s="1">
        <v>41688</v>
      </c>
      <c r="E98" s="11">
        <v>1334399</v>
      </c>
      <c r="F98" s="1">
        <v>26606</v>
      </c>
      <c r="G98" s="11">
        <v>883897</v>
      </c>
      <c r="H98" s="1">
        <v>6118</v>
      </c>
      <c r="I98" s="11">
        <v>338895</v>
      </c>
      <c r="J98" s="1">
        <v>307097</v>
      </c>
      <c r="K98" s="11">
        <v>13677779</v>
      </c>
      <c r="L98" s="8">
        <v>4577</v>
      </c>
      <c r="M98" s="11">
        <v>279953</v>
      </c>
      <c r="N98" s="8">
        <v>11983</v>
      </c>
      <c r="O98" s="11">
        <v>741979</v>
      </c>
      <c r="P98" s="8">
        <v>539</v>
      </c>
      <c r="Q98" s="11">
        <v>55098</v>
      </c>
      <c r="R98" s="8">
        <v>285</v>
      </c>
      <c r="S98" s="11">
        <v>10111</v>
      </c>
      <c r="T98" s="53">
        <f t="shared" si="45"/>
        <v>398893</v>
      </c>
      <c r="U98" s="54">
        <f t="shared" si="44"/>
        <v>17322111</v>
      </c>
      <c r="V98" s="2" t="s">
        <v>93</v>
      </c>
    </row>
    <row r="99" spans="1:49" outlineLevel="1" x14ac:dyDescent="0.25">
      <c r="B99" s="2" t="s">
        <v>4</v>
      </c>
      <c r="C99" s="2">
        <v>2023</v>
      </c>
      <c r="D99" s="1">
        <v>42993</v>
      </c>
      <c r="E99" s="11">
        <v>1379047</v>
      </c>
      <c r="F99" s="1">
        <v>28973</v>
      </c>
      <c r="G99" s="11">
        <v>978748</v>
      </c>
      <c r="H99" s="1">
        <v>6946</v>
      </c>
      <c r="I99" s="11">
        <v>376730</v>
      </c>
      <c r="J99" s="1">
        <v>329468</v>
      </c>
      <c r="K99" s="11">
        <v>14573248</v>
      </c>
      <c r="L99" s="8">
        <v>4976</v>
      </c>
      <c r="M99" s="11">
        <v>306660</v>
      </c>
      <c r="N99" s="8">
        <v>13371</v>
      </c>
      <c r="O99" s="11">
        <v>814170</v>
      </c>
      <c r="P99" s="8">
        <v>881</v>
      </c>
      <c r="Q99" s="11">
        <v>88107</v>
      </c>
      <c r="R99" s="8">
        <v>341</v>
      </c>
      <c r="S99" s="11">
        <v>11673</v>
      </c>
      <c r="T99" s="53">
        <f t="shared" si="45"/>
        <v>427949</v>
      </c>
      <c r="U99" s="54">
        <f t="shared" si="44"/>
        <v>18528383</v>
      </c>
      <c r="V99" s="2" t="s">
        <v>93</v>
      </c>
    </row>
    <row r="100" spans="1:49" outlineLevel="1" x14ac:dyDescent="0.25">
      <c r="B100" s="2" t="s">
        <v>28</v>
      </c>
      <c r="C100" s="2">
        <v>2023</v>
      </c>
      <c r="D100" s="69">
        <f>(41606)+1854</f>
        <v>43460</v>
      </c>
      <c r="E100" s="70">
        <f>(1334562)+50018</f>
        <v>1384580</v>
      </c>
      <c r="F100" s="69">
        <f>(28038)+702</f>
        <v>28740</v>
      </c>
      <c r="G100" s="70">
        <f>(947175)+10647</f>
        <v>957822</v>
      </c>
      <c r="H100" s="69">
        <f>(6722)+-188</f>
        <v>6534</v>
      </c>
      <c r="I100" s="70">
        <f>(364577)+-11227</f>
        <v>353350</v>
      </c>
      <c r="J100" s="69">
        <f>(318840)+-1004</f>
        <v>317836</v>
      </c>
      <c r="K100" s="70">
        <f>(14103143)+-121829</f>
        <v>13981314</v>
      </c>
      <c r="L100" s="71">
        <f>(4815)+-242</f>
        <v>4573</v>
      </c>
      <c r="M100" s="70">
        <f>(296768)+-21808</f>
        <v>274960</v>
      </c>
      <c r="N100" s="71">
        <f>(12940)+-137</f>
        <v>12803</v>
      </c>
      <c r="O100" s="70">
        <f>(787906)+-12903</f>
        <v>775003</v>
      </c>
      <c r="P100" s="71">
        <f>(853)+-26</f>
        <v>827</v>
      </c>
      <c r="Q100" s="70">
        <f>(85265)+425</f>
        <v>85690</v>
      </c>
      <c r="R100" s="71">
        <f>(330)+163</f>
        <v>493</v>
      </c>
      <c r="S100" s="70">
        <f>(11296)+3633</f>
        <v>14929</v>
      </c>
      <c r="T100" s="53">
        <f t="shared" si="45"/>
        <v>415266</v>
      </c>
      <c r="U100" s="54">
        <f t="shared" si="44"/>
        <v>17827648</v>
      </c>
      <c r="V100" s="2" t="s">
        <v>93</v>
      </c>
      <c r="AE100" s="2" t="s">
        <v>28</v>
      </c>
      <c r="AF100" s="2">
        <v>2023</v>
      </c>
      <c r="AG100" s="1">
        <f t="shared" ref="AG100" si="46">D100+H100+F100</f>
        <v>78734</v>
      </c>
      <c r="AH100" s="11">
        <f t="shared" ref="AH100" si="47">E100+I100+G100</f>
        <v>2695752</v>
      </c>
      <c r="AI100" s="1">
        <f t="shared" ref="AI100" si="48">+J100</f>
        <v>317836</v>
      </c>
      <c r="AJ100" s="11">
        <f t="shared" ref="AJ100" si="49">+K100</f>
        <v>13981314</v>
      </c>
      <c r="AK100" s="8">
        <f t="shared" ref="AK100" si="50">+L100</f>
        <v>4573</v>
      </c>
      <c r="AL100" s="11">
        <f t="shared" ref="AL100" si="51">+M100</f>
        <v>274960</v>
      </c>
      <c r="AM100" s="8">
        <f t="shared" ref="AM100" si="52">+N100</f>
        <v>12803</v>
      </c>
      <c r="AN100" s="11">
        <f t="shared" ref="AN100" si="53">+O100</f>
        <v>775003</v>
      </c>
      <c r="AO100" s="8">
        <f t="shared" ref="AO100" si="54">+P100</f>
        <v>827</v>
      </c>
      <c r="AP100" s="11">
        <f t="shared" ref="AP100" si="55">+Q100</f>
        <v>85690</v>
      </c>
      <c r="AQ100" s="11">
        <f t="shared" ref="AQ100" si="56">+R100</f>
        <v>493</v>
      </c>
      <c r="AR100" s="11">
        <f t="shared" ref="AR100" si="57">+S100</f>
        <v>14929</v>
      </c>
      <c r="AS100" s="8">
        <f t="shared" ref="AS100" si="58">AO100+AM100+AK100+AI100+AG100+AQ100</f>
        <v>415266</v>
      </c>
      <c r="AT100" s="11">
        <f t="shared" ref="AT100" si="59">AP100+AN100+AL100+AJ100+AH100+AR100</f>
        <v>17827648</v>
      </c>
      <c r="AU100" s="2" t="str">
        <f t="shared" ref="AU100" si="60">+V100</f>
        <v>CONMEX T6</v>
      </c>
      <c r="AV100" s="37">
        <f t="shared" ref="AV100" si="61">+AS100-T100</f>
        <v>0</v>
      </c>
      <c r="AW100" s="37">
        <f t="shared" ref="AW100" si="62">+AT100-U100</f>
        <v>0</v>
      </c>
    </row>
    <row r="101" spans="1:49" outlineLevel="1" x14ac:dyDescent="0.25">
      <c r="B101" s="2" t="s">
        <v>29</v>
      </c>
      <c r="C101" s="2">
        <v>2023</v>
      </c>
      <c r="D101" s="1">
        <v>42993</v>
      </c>
      <c r="E101" s="11">
        <v>1379047</v>
      </c>
      <c r="F101" s="1">
        <v>28973</v>
      </c>
      <c r="G101" s="11">
        <v>978748</v>
      </c>
      <c r="H101" s="1">
        <v>6946</v>
      </c>
      <c r="I101" s="11">
        <v>376730</v>
      </c>
      <c r="J101" s="1">
        <v>329468</v>
      </c>
      <c r="K101" s="11">
        <v>14573248</v>
      </c>
      <c r="L101" s="8">
        <v>4976</v>
      </c>
      <c r="M101" s="11">
        <v>306660</v>
      </c>
      <c r="N101" s="8">
        <v>13371</v>
      </c>
      <c r="O101" s="11">
        <v>814170</v>
      </c>
      <c r="P101" s="8">
        <v>881</v>
      </c>
      <c r="Q101" s="11">
        <v>88107</v>
      </c>
      <c r="R101" s="8">
        <v>341</v>
      </c>
      <c r="S101" s="11">
        <v>11673</v>
      </c>
      <c r="T101" s="53">
        <f>N101+L101+J101+H101+D101+P101+F101+R101</f>
        <v>427949</v>
      </c>
      <c r="U101" s="54">
        <f t="shared" si="44"/>
        <v>18528383</v>
      </c>
      <c r="V101" s="2" t="s">
        <v>93</v>
      </c>
    </row>
    <row r="102" spans="1:49" outlineLevel="1" x14ac:dyDescent="0.25">
      <c r="A102" t="s">
        <v>95</v>
      </c>
      <c r="B102" s="2" t="s">
        <v>30</v>
      </c>
      <c r="C102" s="2">
        <v>2023</v>
      </c>
      <c r="D102" s="1">
        <v>43460</v>
      </c>
      <c r="E102" s="11">
        <v>1384580</v>
      </c>
      <c r="F102" s="1">
        <v>28740</v>
      </c>
      <c r="G102" s="11">
        <v>957822</v>
      </c>
      <c r="H102" s="1">
        <v>6534</v>
      </c>
      <c r="I102" s="11">
        <v>353350</v>
      </c>
      <c r="J102" s="1">
        <v>317836</v>
      </c>
      <c r="K102" s="11">
        <v>14397431</v>
      </c>
      <c r="L102" s="8">
        <v>4573</v>
      </c>
      <c r="M102" s="11">
        <v>274960</v>
      </c>
      <c r="N102" s="8">
        <v>12803</v>
      </c>
      <c r="O102" s="11">
        <v>775003</v>
      </c>
      <c r="P102" s="8">
        <v>827</v>
      </c>
      <c r="Q102" s="11">
        <v>85690</v>
      </c>
      <c r="R102" s="8">
        <v>493</v>
      </c>
      <c r="S102" s="11">
        <v>14929</v>
      </c>
      <c r="T102" s="53">
        <f t="shared" ref="T102:T103" si="63">N102+L102+J102+H102+D102+P102+F102+R102</f>
        <v>415266</v>
      </c>
      <c r="U102" s="54">
        <f t="shared" si="44"/>
        <v>18243765</v>
      </c>
      <c r="V102" s="2" t="s">
        <v>93</v>
      </c>
    </row>
    <row r="103" spans="1:49" outlineLevel="1" x14ac:dyDescent="0.25">
      <c r="A103" t="s">
        <v>95</v>
      </c>
      <c r="B103" s="2" t="s">
        <v>31</v>
      </c>
      <c r="C103" s="2">
        <v>2023</v>
      </c>
      <c r="D103" s="1">
        <v>42993</v>
      </c>
      <c r="E103" s="11">
        <v>1379047</v>
      </c>
      <c r="F103" s="1">
        <v>28973</v>
      </c>
      <c r="G103" s="11">
        <v>978748</v>
      </c>
      <c r="H103" s="1">
        <v>6946</v>
      </c>
      <c r="I103" s="11">
        <v>376730</v>
      </c>
      <c r="J103" s="1">
        <v>329468</v>
      </c>
      <c r="K103" s="11">
        <v>14573248</v>
      </c>
      <c r="L103" s="8">
        <v>4976</v>
      </c>
      <c r="M103" s="11">
        <v>306660</v>
      </c>
      <c r="N103" s="8">
        <v>13371</v>
      </c>
      <c r="O103" s="11">
        <v>814170</v>
      </c>
      <c r="P103" s="8">
        <v>881</v>
      </c>
      <c r="Q103" s="11">
        <v>88107</v>
      </c>
      <c r="R103" s="8">
        <v>341</v>
      </c>
      <c r="S103" s="11">
        <v>11673</v>
      </c>
      <c r="T103" s="53">
        <f t="shared" si="63"/>
        <v>427949</v>
      </c>
      <c r="U103" s="54">
        <f t="shared" si="44"/>
        <v>18528383</v>
      </c>
      <c r="V103" s="2" t="s">
        <v>93</v>
      </c>
    </row>
    <row r="104" spans="1:49" outlineLevel="1" x14ac:dyDescent="0.25"/>
    <row r="105" spans="1:49" outlineLevel="1" x14ac:dyDescent="0.25">
      <c r="B105" s="3" t="s">
        <v>12</v>
      </c>
      <c r="C105" s="3"/>
      <c r="D105" s="4">
        <f t="shared" ref="D105:O105" si="64">SUM(D92:D104)</f>
        <v>401266</v>
      </c>
      <c r="E105" s="12">
        <f t="shared" si="64"/>
        <v>12909194</v>
      </c>
      <c r="F105" s="4">
        <f t="shared" si="64"/>
        <v>267763</v>
      </c>
      <c r="G105" s="12">
        <f t="shared" si="64"/>
        <v>8954903</v>
      </c>
      <c r="H105" s="4">
        <f t="shared" si="64"/>
        <v>61558</v>
      </c>
      <c r="I105" s="12">
        <f t="shared" si="64"/>
        <v>3362813</v>
      </c>
      <c r="J105" s="4">
        <f t="shared" si="64"/>
        <v>3013474</v>
      </c>
      <c r="K105" s="12">
        <f t="shared" si="64"/>
        <v>133802134</v>
      </c>
      <c r="L105" s="4">
        <f t="shared" si="64"/>
        <v>45691</v>
      </c>
      <c r="M105" s="12">
        <f t="shared" si="64"/>
        <v>2792215</v>
      </c>
      <c r="N105" s="4">
        <f t="shared" si="64"/>
        <v>122743</v>
      </c>
      <c r="O105" s="12">
        <f t="shared" si="64"/>
        <v>7453216</v>
      </c>
      <c r="P105" s="4">
        <f>SUM(P92:P104)</f>
        <v>4841</v>
      </c>
      <c r="Q105" s="12">
        <f>SUM(Q92:Q104)</f>
        <v>491063</v>
      </c>
      <c r="R105" s="4">
        <f>SUM(R92:R104)</f>
        <v>3051</v>
      </c>
      <c r="S105" s="12">
        <f>SUM(S92:S104)</f>
        <v>101149</v>
      </c>
      <c r="T105" s="4">
        <f t="shared" ref="T105:U105" si="65">SUM(T92:T104)</f>
        <v>3920387</v>
      </c>
      <c r="U105" s="12">
        <f t="shared" si="65"/>
        <v>169866687</v>
      </c>
      <c r="V105" s="38"/>
    </row>
    <row r="106" spans="1:49" outlineLevel="1" x14ac:dyDescent="0.25">
      <c r="J106" s="46" t="str">
        <f>+$A$66</f>
        <v>Aforo e Ingreso - CONMEX</v>
      </c>
      <c r="K106" s="9" t="s">
        <v>84</v>
      </c>
      <c r="L106" s="15">
        <f>AVERAGE(L94:L103)</f>
        <v>4569.1000000000004</v>
      </c>
      <c r="M106" s="60">
        <f>AVERAGE(M94:M103)</f>
        <v>279221.5</v>
      </c>
      <c r="T106" s="15">
        <f>AVERAGE(T94:T103)</f>
        <v>392038.7</v>
      </c>
      <c r="U106" s="28">
        <f>AVERAGE(U94:U103)</f>
        <v>16986668.699999999</v>
      </c>
    </row>
    <row r="107" spans="1:49" outlineLevel="1" x14ac:dyDescent="0.25">
      <c r="A107" s="67" t="s">
        <v>14</v>
      </c>
      <c r="J107" s="46" t="str">
        <f>+$A$66</f>
        <v>Aforo e Ingreso - CONMEX</v>
      </c>
      <c r="K107" s="9" t="s">
        <v>85</v>
      </c>
      <c r="L107" s="26">
        <f>+L106/$L$337</f>
        <v>3.420947384774535E-2</v>
      </c>
      <c r="M107" s="36">
        <f>+M106/$M$337</f>
        <v>1.3873703492601006E-2</v>
      </c>
      <c r="N107" s="18"/>
      <c r="O107" s="19"/>
      <c r="P107" s="19"/>
      <c r="Q107" s="19"/>
      <c r="R107" s="19"/>
      <c r="S107" s="19"/>
      <c r="T107" s="36">
        <f>+L106/T106</f>
        <v>1.1654716740974807E-2</v>
      </c>
      <c r="U107" s="62">
        <f>+M106/U106</f>
        <v>1.6437684453102921E-2</v>
      </c>
    </row>
    <row r="108" spans="1:49" outlineLevel="1" x14ac:dyDescent="0.25">
      <c r="A108" s="67" t="s">
        <v>32</v>
      </c>
      <c r="L108" s="26"/>
      <c r="M108" s="26"/>
    </row>
    <row r="109" spans="1:49" outlineLevel="1" x14ac:dyDescent="0.25">
      <c r="B109" s="5"/>
    </row>
    <row r="110" spans="1:49" outlineLevel="1" x14ac:dyDescent="0.25">
      <c r="D110" s="89" t="s">
        <v>15</v>
      </c>
      <c r="E110" s="90"/>
      <c r="F110" s="89" t="s">
        <v>71</v>
      </c>
      <c r="G110" s="90"/>
      <c r="H110" s="89" t="s">
        <v>16</v>
      </c>
      <c r="I110" s="90"/>
      <c r="J110" s="89" t="s">
        <v>17</v>
      </c>
      <c r="K110" s="93"/>
      <c r="L110" s="89" t="s">
        <v>18</v>
      </c>
      <c r="M110" s="93"/>
      <c r="N110" s="89" t="s">
        <v>13</v>
      </c>
      <c r="O110" s="93"/>
      <c r="P110" s="89" t="s">
        <v>34</v>
      </c>
      <c r="Q110" s="93"/>
      <c r="R110" s="89" t="s">
        <v>87</v>
      </c>
      <c r="S110" s="93"/>
      <c r="T110" s="89" t="s">
        <v>12</v>
      </c>
      <c r="U110" s="93"/>
      <c r="AG110" s="89" t="s">
        <v>69</v>
      </c>
      <c r="AH110" s="90"/>
      <c r="AI110" s="89" t="s">
        <v>17</v>
      </c>
      <c r="AJ110" s="93"/>
      <c r="AK110" s="89" t="s">
        <v>18</v>
      </c>
      <c r="AL110" s="93"/>
      <c r="AM110" s="89" t="s">
        <v>13</v>
      </c>
      <c r="AN110" s="93"/>
      <c r="AO110" s="89" t="s">
        <v>34</v>
      </c>
      <c r="AP110" s="93"/>
      <c r="AQ110" s="89" t="s">
        <v>87</v>
      </c>
      <c r="AR110" s="93"/>
      <c r="AS110" s="89" t="s">
        <v>12</v>
      </c>
      <c r="AT110" s="93"/>
    </row>
    <row r="111" spans="1:49" outlineLevel="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Z111" s="33">
        <v>2021</v>
      </c>
      <c r="AA111" s="34">
        <v>0.6329092398706947</v>
      </c>
      <c r="AB111" s="33">
        <f>+Z111</f>
        <v>2021</v>
      </c>
      <c r="AC111" s="35">
        <v>7.6919407049435623E-3</v>
      </c>
      <c r="AE111" s="7" t="s">
        <v>0</v>
      </c>
      <c r="AF111" s="7" t="s">
        <v>1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</row>
    <row r="112" spans="1:49" outlineLevel="1" x14ac:dyDescent="0.25">
      <c r="AH112" s="9"/>
      <c r="AJ112" s="9"/>
      <c r="AL112" s="9"/>
      <c r="AN112" s="9"/>
      <c r="AO112" s="9"/>
      <c r="AP112" s="9"/>
      <c r="AQ112" s="9"/>
      <c r="AR112" s="9"/>
      <c r="AT112" s="9"/>
    </row>
    <row r="113" spans="1:49" outlineLevel="1" x14ac:dyDescent="0.25">
      <c r="B113" s="2" t="s">
        <v>5</v>
      </c>
      <c r="C113" s="2">
        <v>2023</v>
      </c>
      <c r="D113" s="1">
        <v>14361</v>
      </c>
      <c r="E113" s="11">
        <v>1662816</v>
      </c>
      <c r="F113" s="1">
        <v>6601</v>
      </c>
      <c r="G113" s="11">
        <v>1243294</v>
      </c>
      <c r="H113" s="1">
        <v>2360</v>
      </c>
      <c r="I113" s="11">
        <v>469854</v>
      </c>
      <c r="J113" s="1">
        <v>226042</v>
      </c>
      <c r="K113" s="11">
        <v>43408109</v>
      </c>
      <c r="L113" s="8">
        <v>7108</v>
      </c>
      <c r="M113" s="11">
        <v>1677569</v>
      </c>
      <c r="N113" s="8">
        <v>12233</v>
      </c>
      <c r="O113" s="11">
        <v>1931003</v>
      </c>
      <c r="P113" s="8">
        <v>0</v>
      </c>
      <c r="Q113" s="11">
        <v>0</v>
      </c>
      <c r="R113" s="8">
        <v>36</v>
      </c>
      <c r="S113" s="11">
        <v>2718</v>
      </c>
      <c r="T113" s="53">
        <f>N113+L113+J113+H113+D113+P113+F113+R113</f>
        <v>268741</v>
      </c>
      <c r="U113" s="54">
        <f t="shared" ref="U113:U124" si="66">O113+M113+K113+I113+E113+Q113+G113+S113</f>
        <v>50395363</v>
      </c>
      <c r="V113" s="2" t="s">
        <v>60</v>
      </c>
      <c r="Z113" s="30">
        <v>136999.04999999999</v>
      </c>
      <c r="AA113" s="30">
        <f>+Z113/J113</f>
        <v>0.60607785278841975</v>
      </c>
      <c r="AB113" s="31">
        <v>302720.74</v>
      </c>
      <c r="AC113" s="32">
        <f>+AB113/K113</f>
        <v>6.9738292446694695E-3</v>
      </c>
      <c r="AD113" s="13"/>
      <c r="AE113" s="2" t="s">
        <v>5</v>
      </c>
      <c r="AF113" s="2">
        <v>2023</v>
      </c>
      <c r="AG113" s="1">
        <f t="shared" ref="AG113:AH124" si="67">D113+H113+F113</f>
        <v>23322</v>
      </c>
      <c r="AH113" s="11">
        <f t="shared" si="67"/>
        <v>3375964</v>
      </c>
      <c r="AI113" s="1">
        <f t="shared" ref="AI113:AR124" si="68">+J113</f>
        <v>226042</v>
      </c>
      <c r="AJ113" s="11">
        <f t="shared" si="68"/>
        <v>43408109</v>
      </c>
      <c r="AK113" s="8">
        <f t="shared" si="68"/>
        <v>7108</v>
      </c>
      <c r="AL113" s="11">
        <f t="shared" si="68"/>
        <v>1677569</v>
      </c>
      <c r="AM113" s="8">
        <f t="shared" si="68"/>
        <v>12233</v>
      </c>
      <c r="AN113" s="11">
        <f t="shared" si="68"/>
        <v>1931003</v>
      </c>
      <c r="AO113" s="8">
        <f t="shared" si="68"/>
        <v>0</v>
      </c>
      <c r="AP113" s="11">
        <f t="shared" si="68"/>
        <v>0</v>
      </c>
      <c r="AQ113" s="11">
        <f t="shared" si="68"/>
        <v>36</v>
      </c>
      <c r="AR113" s="11">
        <f t="shared" si="68"/>
        <v>2718</v>
      </c>
      <c r="AS113" s="8">
        <f>AO113+AM113+AK113+AI113+AG113+AQ113</f>
        <v>268741</v>
      </c>
      <c r="AT113" s="11">
        <f t="shared" ref="AT113:AT124" si="69">AP113+AN113+AL113+AJ113+AH113+AR113</f>
        <v>50395363</v>
      </c>
      <c r="AU113" s="2" t="str">
        <f t="shared" ref="AU113:AU124" si="70">+V113</f>
        <v>LEP</v>
      </c>
      <c r="AV113" s="37">
        <f t="shared" ref="AV113:AW124" si="71">+AS113-T113</f>
        <v>0</v>
      </c>
      <c r="AW113" s="37">
        <f t="shared" si="71"/>
        <v>0</v>
      </c>
    </row>
    <row r="114" spans="1:49" outlineLevel="1" x14ac:dyDescent="0.25">
      <c r="B114" s="2" t="s">
        <v>6</v>
      </c>
      <c r="C114" s="2">
        <v>2023</v>
      </c>
      <c r="D114" s="1">
        <v>12527</v>
      </c>
      <c r="E114" s="11">
        <v>1578305</v>
      </c>
      <c r="F114" s="1">
        <v>6370</v>
      </c>
      <c r="G114" s="11">
        <v>1253220</v>
      </c>
      <c r="H114" s="1">
        <v>2562</v>
      </c>
      <c r="I114" s="11">
        <v>515856</v>
      </c>
      <c r="J114" s="1">
        <v>215324</v>
      </c>
      <c r="K114" s="11">
        <v>43501124</v>
      </c>
      <c r="L114" s="8">
        <v>6797</v>
      </c>
      <c r="M114" s="11">
        <v>1668670</v>
      </c>
      <c r="N114" s="8">
        <v>11621</v>
      </c>
      <c r="O114" s="11">
        <v>1907571</v>
      </c>
      <c r="P114" s="8">
        <v>0</v>
      </c>
      <c r="Q114" s="11">
        <v>0</v>
      </c>
      <c r="R114" s="8">
        <v>31</v>
      </c>
      <c r="S114" s="11">
        <v>3675</v>
      </c>
      <c r="T114" s="53">
        <f t="shared" ref="T114:T124" si="72">N114+L114+J114+H114+D114+P114+F114+R114</f>
        <v>255232</v>
      </c>
      <c r="U114" s="54">
        <f t="shared" si="66"/>
        <v>50428421</v>
      </c>
      <c r="V114" s="2" t="s">
        <v>60</v>
      </c>
      <c r="Z114" s="30">
        <v>135375.97999999998</v>
      </c>
      <c r="AA114" s="30">
        <f>+Z114/J114</f>
        <v>0.628708272185172</v>
      </c>
      <c r="AB114" s="31">
        <v>293707.78500000003</v>
      </c>
      <c r="AC114" s="32">
        <f>+AB114/K114</f>
        <v>6.7517286449885758E-3</v>
      </c>
      <c r="AD114" s="13"/>
      <c r="AE114" s="2" t="s">
        <v>6</v>
      </c>
      <c r="AF114" s="2">
        <v>2023</v>
      </c>
      <c r="AG114" s="1">
        <f t="shared" si="67"/>
        <v>21459</v>
      </c>
      <c r="AH114" s="11">
        <f t="shared" si="67"/>
        <v>3347381</v>
      </c>
      <c r="AI114" s="1">
        <f t="shared" si="68"/>
        <v>215324</v>
      </c>
      <c r="AJ114" s="11">
        <f t="shared" si="68"/>
        <v>43501124</v>
      </c>
      <c r="AK114" s="8">
        <f t="shared" si="68"/>
        <v>6797</v>
      </c>
      <c r="AL114" s="11">
        <f t="shared" si="68"/>
        <v>1668670</v>
      </c>
      <c r="AM114" s="8">
        <f t="shared" si="68"/>
        <v>11621</v>
      </c>
      <c r="AN114" s="11">
        <f t="shared" si="68"/>
        <v>1907571</v>
      </c>
      <c r="AO114" s="8">
        <f t="shared" si="68"/>
        <v>0</v>
      </c>
      <c r="AP114" s="11">
        <f t="shared" si="68"/>
        <v>0</v>
      </c>
      <c r="AQ114" s="11">
        <f t="shared" si="68"/>
        <v>31</v>
      </c>
      <c r="AR114" s="11">
        <f t="shared" si="68"/>
        <v>3675</v>
      </c>
      <c r="AS114" s="8">
        <f t="shared" ref="AS114:AS124" si="73">AO114+AM114+AK114+AI114+AG114+AQ114</f>
        <v>255232</v>
      </c>
      <c r="AT114" s="11">
        <f t="shared" si="69"/>
        <v>50428421</v>
      </c>
      <c r="AU114" s="2" t="str">
        <f t="shared" si="70"/>
        <v>LEP</v>
      </c>
      <c r="AV114" s="37">
        <f t="shared" si="71"/>
        <v>0</v>
      </c>
      <c r="AW114" s="37">
        <f t="shared" si="71"/>
        <v>0</v>
      </c>
    </row>
    <row r="115" spans="1:49" outlineLevel="1" x14ac:dyDescent="0.25">
      <c r="B115" s="2" t="s">
        <v>7</v>
      </c>
      <c r="C115" s="2">
        <v>2023</v>
      </c>
      <c r="D115" s="1">
        <v>14738</v>
      </c>
      <c r="E115" s="11">
        <v>1959991</v>
      </c>
      <c r="F115" s="1">
        <v>7406</v>
      </c>
      <c r="G115" s="11">
        <v>1534479</v>
      </c>
      <c r="H115" s="1">
        <v>3304</v>
      </c>
      <c r="I115" s="11">
        <v>670444</v>
      </c>
      <c r="J115" s="1">
        <v>246303</v>
      </c>
      <c r="K115" s="11">
        <v>50966274</v>
      </c>
      <c r="L115" s="8">
        <v>7559</v>
      </c>
      <c r="M115" s="11">
        <v>1892137</v>
      </c>
      <c r="N115" s="8">
        <v>13814</v>
      </c>
      <c r="O115" s="11">
        <v>2423130</v>
      </c>
      <c r="P115" s="8">
        <v>0</v>
      </c>
      <c r="Q115" s="11">
        <v>0</v>
      </c>
      <c r="R115" s="8">
        <v>80</v>
      </c>
      <c r="S115" s="11">
        <v>11883</v>
      </c>
      <c r="T115" s="53">
        <f t="shared" si="72"/>
        <v>293204</v>
      </c>
      <c r="U115" s="54">
        <f t="shared" si="66"/>
        <v>59458338</v>
      </c>
      <c r="V115" s="2" t="s">
        <v>60</v>
      </c>
      <c r="Z115" s="30">
        <v>153173.76999999999</v>
      </c>
      <c r="AA115" s="30">
        <f>+Z115/J115</f>
        <v>0.62189161317564134</v>
      </c>
      <c r="AB115" s="31">
        <v>356803.09749999997</v>
      </c>
      <c r="AC115" s="32">
        <f>+AB115/K115</f>
        <v>7.0007687338493685E-3</v>
      </c>
      <c r="AD115" s="13"/>
      <c r="AE115" s="2" t="s">
        <v>7</v>
      </c>
      <c r="AF115" s="2">
        <v>2023</v>
      </c>
      <c r="AG115" s="1">
        <f t="shared" si="67"/>
        <v>25448</v>
      </c>
      <c r="AH115" s="11">
        <f t="shared" si="67"/>
        <v>4164914</v>
      </c>
      <c r="AI115" s="1">
        <f t="shared" si="68"/>
        <v>246303</v>
      </c>
      <c r="AJ115" s="11">
        <f t="shared" si="68"/>
        <v>50966274</v>
      </c>
      <c r="AK115" s="8">
        <f t="shared" si="68"/>
        <v>7559</v>
      </c>
      <c r="AL115" s="11">
        <f t="shared" si="68"/>
        <v>1892137</v>
      </c>
      <c r="AM115" s="8">
        <f t="shared" si="68"/>
        <v>13814</v>
      </c>
      <c r="AN115" s="11">
        <f t="shared" si="68"/>
        <v>2423130</v>
      </c>
      <c r="AO115" s="8">
        <f t="shared" si="68"/>
        <v>0</v>
      </c>
      <c r="AP115" s="11">
        <f t="shared" si="68"/>
        <v>0</v>
      </c>
      <c r="AQ115" s="11">
        <f t="shared" si="68"/>
        <v>80</v>
      </c>
      <c r="AR115" s="11">
        <f t="shared" si="68"/>
        <v>11883</v>
      </c>
      <c r="AS115" s="8">
        <f t="shared" si="73"/>
        <v>293204</v>
      </c>
      <c r="AT115" s="11">
        <f t="shared" si="69"/>
        <v>59458338</v>
      </c>
      <c r="AU115" s="2" t="str">
        <f t="shared" si="70"/>
        <v>LEP</v>
      </c>
      <c r="AV115" s="37">
        <f t="shared" si="71"/>
        <v>0</v>
      </c>
      <c r="AW115" s="37">
        <f t="shared" si="71"/>
        <v>0</v>
      </c>
    </row>
    <row r="116" spans="1:49" outlineLevel="1" x14ac:dyDescent="0.25">
      <c r="B116" s="2" t="s">
        <v>8</v>
      </c>
      <c r="C116" s="2">
        <v>2023</v>
      </c>
      <c r="D116" s="1">
        <v>17468</v>
      </c>
      <c r="E116" s="11">
        <v>2113702</v>
      </c>
      <c r="F116" s="1">
        <v>7220</v>
      </c>
      <c r="G116" s="11">
        <v>1417746</v>
      </c>
      <c r="H116" s="1">
        <v>2798</v>
      </c>
      <c r="I116" s="11">
        <v>550864</v>
      </c>
      <c r="J116" s="1">
        <v>241111</v>
      </c>
      <c r="K116" s="11">
        <v>48255598</v>
      </c>
      <c r="L116" s="8">
        <v>6956</v>
      </c>
      <c r="M116" s="11">
        <v>1726138</v>
      </c>
      <c r="N116" s="8">
        <v>12789</v>
      </c>
      <c r="O116" s="11">
        <v>2227577</v>
      </c>
      <c r="P116" s="8">
        <v>0</v>
      </c>
      <c r="Q116" s="11">
        <v>0</v>
      </c>
      <c r="R116" s="8">
        <v>73</v>
      </c>
      <c r="S116" s="11">
        <v>9372</v>
      </c>
      <c r="T116" s="53">
        <f t="shared" si="72"/>
        <v>288415</v>
      </c>
      <c r="U116" s="54">
        <f t="shared" si="66"/>
        <v>56300997</v>
      </c>
      <c r="V116" s="2" t="s">
        <v>60</v>
      </c>
      <c r="Z116" s="30">
        <v>147481.03999999998</v>
      </c>
      <c r="AA116" s="30">
        <f>+Z116/J116</f>
        <v>0.61167279800589758</v>
      </c>
      <c r="AB116" s="31">
        <v>333319.24999999994</v>
      </c>
      <c r="AC116" s="32">
        <f>+AB116/K116</f>
        <v>6.9073695864260128E-3</v>
      </c>
      <c r="AD116" s="13"/>
      <c r="AE116" s="2" t="s">
        <v>8</v>
      </c>
      <c r="AF116" s="2">
        <v>2023</v>
      </c>
      <c r="AG116" s="1">
        <f t="shared" si="67"/>
        <v>27486</v>
      </c>
      <c r="AH116" s="11">
        <f t="shared" si="67"/>
        <v>4082312</v>
      </c>
      <c r="AI116" s="1">
        <f t="shared" si="68"/>
        <v>241111</v>
      </c>
      <c r="AJ116" s="11">
        <f t="shared" si="68"/>
        <v>48255598</v>
      </c>
      <c r="AK116" s="8">
        <f t="shared" si="68"/>
        <v>6956</v>
      </c>
      <c r="AL116" s="11">
        <f t="shared" si="68"/>
        <v>1726138</v>
      </c>
      <c r="AM116" s="8">
        <f t="shared" si="68"/>
        <v>12789</v>
      </c>
      <c r="AN116" s="11">
        <f t="shared" si="68"/>
        <v>2227577</v>
      </c>
      <c r="AO116" s="8">
        <f t="shared" si="68"/>
        <v>0</v>
      </c>
      <c r="AP116" s="11">
        <f t="shared" si="68"/>
        <v>0</v>
      </c>
      <c r="AQ116" s="11">
        <f t="shared" si="68"/>
        <v>73</v>
      </c>
      <c r="AR116" s="11">
        <f t="shared" si="68"/>
        <v>9372</v>
      </c>
      <c r="AS116" s="8">
        <f t="shared" si="73"/>
        <v>288415</v>
      </c>
      <c r="AT116" s="11">
        <f t="shared" si="69"/>
        <v>56300997</v>
      </c>
      <c r="AU116" s="2" t="str">
        <f t="shared" si="70"/>
        <v>LEP</v>
      </c>
      <c r="AV116" s="37">
        <f t="shared" si="71"/>
        <v>0</v>
      </c>
      <c r="AW116" s="37">
        <f t="shared" si="71"/>
        <v>0</v>
      </c>
    </row>
    <row r="117" spans="1:49" outlineLevel="1" x14ac:dyDescent="0.25">
      <c r="B117" s="2" t="s">
        <v>9</v>
      </c>
      <c r="C117" s="2">
        <v>2023</v>
      </c>
      <c r="D117" s="1">
        <v>15225</v>
      </c>
      <c r="E117" s="11">
        <v>2033123</v>
      </c>
      <c r="F117" s="1">
        <v>7194</v>
      </c>
      <c r="G117" s="11">
        <v>1462054</v>
      </c>
      <c r="H117" s="1">
        <v>2886</v>
      </c>
      <c r="I117" s="11">
        <v>561270</v>
      </c>
      <c r="J117" s="1">
        <v>244239</v>
      </c>
      <c r="K117" s="11">
        <v>50541600</v>
      </c>
      <c r="L117" s="8">
        <v>7332</v>
      </c>
      <c r="M117" s="11">
        <v>1826244</v>
      </c>
      <c r="N117" s="8">
        <v>13661</v>
      </c>
      <c r="O117" s="11">
        <v>2431379</v>
      </c>
      <c r="P117" s="8">
        <v>0</v>
      </c>
      <c r="Q117" s="11">
        <v>0</v>
      </c>
      <c r="R117" s="8">
        <v>88</v>
      </c>
      <c r="S117" s="11">
        <v>13490</v>
      </c>
      <c r="T117" s="53">
        <f t="shared" si="72"/>
        <v>290625</v>
      </c>
      <c r="U117" s="54">
        <f t="shared" si="66"/>
        <v>58869160</v>
      </c>
      <c r="V117" s="2" t="s">
        <v>60</v>
      </c>
      <c r="Z117" s="30">
        <v>147340.79</v>
      </c>
      <c r="AA117" s="30">
        <f>+Z117/J117</f>
        <v>0.60326479391088239</v>
      </c>
      <c r="AB117" s="31">
        <v>354411.34749999997</v>
      </c>
      <c r="AC117" s="32">
        <f>+AB117/K117</f>
        <v>7.0122700409167892E-3</v>
      </c>
      <c r="AD117" s="13"/>
      <c r="AE117" s="2" t="s">
        <v>9</v>
      </c>
      <c r="AF117" s="2">
        <v>2023</v>
      </c>
      <c r="AG117" s="1">
        <f t="shared" si="67"/>
        <v>25305</v>
      </c>
      <c r="AH117" s="11">
        <f t="shared" si="67"/>
        <v>4056447</v>
      </c>
      <c r="AI117" s="1">
        <f t="shared" si="68"/>
        <v>244239</v>
      </c>
      <c r="AJ117" s="11">
        <f t="shared" si="68"/>
        <v>50541600</v>
      </c>
      <c r="AK117" s="8">
        <f t="shared" si="68"/>
        <v>7332</v>
      </c>
      <c r="AL117" s="11">
        <f t="shared" si="68"/>
        <v>1826244</v>
      </c>
      <c r="AM117" s="8">
        <f t="shared" si="68"/>
        <v>13661</v>
      </c>
      <c r="AN117" s="11">
        <f t="shared" si="68"/>
        <v>2431379</v>
      </c>
      <c r="AO117" s="8">
        <f t="shared" si="68"/>
        <v>0</v>
      </c>
      <c r="AP117" s="11">
        <f t="shared" si="68"/>
        <v>0</v>
      </c>
      <c r="AQ117" s="11">
        <f t="shared" si="68"/>
        <v>88</v>
      </c>
      <c r="AR117" s="11">
        <f t="shared" si="68"/>
        <v>13490</v>
      </c>
      <c r="AS117" s="8">
        <f t="shared" si="73"/>
        <v>290625</v>
      </c>
      <c r="AT117" s="11">
        <f t="shared" si="69"/>
        <v>58869160</v>
      </c>
      <c r="AU117" s="2" t="str">
        <f t="shared" si="70"/>
        <v>LEP</v>
      </c>
      <c r="AV117" s="37">
        <f t="shared" si="71"/>
        <v>0</v>
      </c>
      <c r="AW117" s="37">
        <f t="shared" si="71"/>
        <v>0</v>
      </c>
    </row>
    <row r="118" spans="1:49" outlineLevel="1" x14ac:dyDescent="0.25">
      <c r="B118" s="2" t="s">
        <v>10</v>
      </c>
      <c r="C118" s="2">
        <v>2023</v>
      </c>
      <c r="D118" s="1">
        <v>14385</v>
      </c>
      <c r="E118" s="11">
        <v>1933004</v>
      </c>
      <c r="F118" s="1">
        <v>7537</v>
      </c>
      <c r="G118" s="11">
        <v>1526725</v>
      </c>
      <c r="H118" s="1">
        <v>2971</v>
      </c>
      <c r="I118" s="11">
        <v>590314</v>
      </c>
      <c r="J118" s="1">
        <v>240149</v>
      </c>
      <c r="K118" s="11">
        <v>49917808</v>
      </c>
      <c r="L118" s="8">
        <v>7126</v>
      </c>
      <c r="M118" s="11">
        <v>1772833</v>
      </c>
      <c r="N118" s="8">
        <v>13552</v>
      </c>
      <c r="O118" s="11">
        <v>2489063</v>
      </c>
      <c r="P118" s="8">
        <v>0</v>
      </c>
      <c r="Q118" s="11">
        <v>0</v>
      </c>
      <c r="R118" s="8">
        <v>95</v>
      </c>
      <c r="S118" s="11">
        <v>13682</v>
      </c>
      <c r="T118" s="53">
        <f t="shared" si="72"/>
        <v>285815</v>
      </c>
      <c r="U118" s="54">
        <f t="shared" si="66"/>
        <v>58243429</v>
      </c>
      <c r="V118" s="2" t="s">
        <v>60</v>
      </c>
      <c r="Z118" s="30"/>
      <c r="AA118" s="30"/>
      <c r="AB118" s="31"/>
      <c r="AC118" s="32"/>
      <c r="AD118" s="13"/>
      <c r="AE118" s="2" t="s">
        <v>10</v>
      </c>
      <c r="AF118" s="2">
        <v>2023</v>
      </c>
      <c r="AG118" s="1">
        <f t="shared" si="67"/>
        <v>24893</v>
      </c>
      <c r="AH118" s="11">
        <f t="shared" si="67"/>
        <v>4050043</v>
      </c>
      <c r="AI118" s="1">
        <f t="shared" si="68"/>
        <v>240149</v>
      </c>
      <c r="AJ118" s="11">
        <f t="shared" si="68"/>
        <v>49917808</v>
      </c>
      <c r="AK118" s="8">
        <f t="shared" si="68"/>
        <v>7126</v>
      </c>
      <c r="AL118" s="11">
        <f t="shared" si="68"/>
        <v>1772833</v>
      </c>
      <c r="AM118" s="8">
        <f t="shared" si="68"/>
        <v>13552</v>
      </c>
      <c r="AN118" s="11">
        <f t="shared" si="68"/>
        <v>2489063</v>
      </c>
      <c r="AO118" s="8">
        <f t="shared" si="68"/>
        <v>0</v>
      </c>
      <c r="AP118" s="11">
        <f t="shared" si="68"/>
        <v>0</v>
      </c>
      <c r="AQ118" s="11">
        <f t="shared" si="68"/>
        <v>95</v>
      </c>
      <c r="AR118" s="11">
        <f t="shared" si="68"/>
        <v>13682</v>
      </c>
      <c r="AS118" s="8">
        <f t="shared" si="73"/>
        <v>285815</v>
      </c>
      <c r="AT118" s="11">
        <f t="shared" si="69"/>
        <v>58243429</v>
      </c>
      <c r="AU118" s="2" t="str">
        <f t="shared" si="70"/>
        <v>LEP</v>
      </c>
      <c r="AV118" s="37">
        <f t="shared" si="71"/>
        <v>0</v>
      </c>
      <c r="AW118" s="37">
        <f t="shared" si="71"/>
        <v>0</v>
      </c>
    </row>
    <row r="119" spans="1:49" outlineLevel="1" x14ac:dyDescent="0.25">
      <c r="B119" s="2" t="s">
        <v>11</v>
      </c>
      <c r="C119" s="2">
        <v>2023</v>
      </c>
      <c r="D119" s="1">
        <v>16977</v>
      </c>
      <c r="E119" s="11">
        <v>2164845</v>
      </c>
      <c r="F119" s="1">
        <v>8124</v>
      </c>
      <c r="G119" s="11">
        <v>1575279</v>
      </c>
      <c r="H119" s="1">
        <v>3144</v>
      </c>
      <c r="I119" s="11">
        <v>602988</v>
      </c>
      <c r="J119" s="1">
        <v>258257</v>
      </c>
      <c r="K119" s="11">
        <v>52341195</v>
      </c>
      <c r="L119" s="8">
        <v>7469</v>
      </c>
      <c r="M119" s="11">
        <v>1846600</v>
      </c>
      <c r="N119" s="8">
        <v>13886</v>
      </c>
      <c r="O119" s="11">
        <v>2532389</v>
      </c>
      <c r="P119" s="8">
        <v>0</v>
      </c>
      <c r="Q119" s="11">
        <v>0</v>
      </c>
      <c r="R119" s="8">
        <v>98</v>
      </c>
      <c r="S119" s="11">
        <v>12274</v>
      </c>
      <c r="T119" s="53">
        <f t="shared" si="72"/>
        <v>307955</v>
      </c>
      <c r="U119" s="54">
        <f t="shared" si="66"/>
        <v>61075570</v>
      </c>
      <c r="V119" s="2" t="s">
        <v>60</v>
      </c>
      <c r="Z119" s="30"/>
      <c r="AA119" s="30"/>
      <c r="AB119" s="31"/>
      <c r="AC119" s="32"/>
      <c r="AE119" s="2" t="s">
        <v>11</v>
      </c>
      <c r="AF119" s="2">
        <v>2023</v>
      </c>
      <c r="AG119" s="1">
        <f t="shared" si="67"/>
        <v>28245</v>
      </c>
      <c r="AH119" s="11">
        <f t="shared" si="67"/>
        <v>4343112</v>
      </c>
      <c r="AI119" s="1">
        <f t="shared" si="68"/>
        <v>258257</v>
      </c>
      <c r="AJ119" s="11">
        <f t="shared" si="68"/>
        <v>52341195</v>
      </c>
      <c r="AK119" s="8">
        <f t="shared" si="68"/>
        <v>7469</v>
      </c>
      <c r="AL119" s="11">
        <f t="shared" si="68"/>
        <v>1846600</v>
      </c>
      <c r="AM119" s="8">
        <f t="shared" si="68"/>
        <v>13886</v>
      </c>
      <c r="AN119" s="11">
        <f t="shared" si="68"/>
        <v>2532389</v>
      </c>
      <c r="AO119" s="8">
        <f t="shared" si="68"/>
        <v>0</v>
      </c>
      <c r="AP119" s="11">
        <f t="shared" si="68"/>
        <v>0</v>
      </c>
      <c r="AQ119" s="11">
        <f t="shared" si="68"/>
        <v>98</v>
      </c>
      <c r="AR119" s="11">
        <f t="shared" si="68"/>
        <v>12274</v>
      </c>
      <c r="AS119" s="8">
        <f t="shared" si="73"/>
        <v>307955</v>
      </c>
      <c r="AT119" s="11">
        <f t="shared" si="69"/>
        <v>61075570</v>
      </c>
      <c r="AU119" s="2" t="str">
        <f t="shared" si="70"/>
        <v>LEP</v>
      </c>
      <c r="AV119" s="37">
        <f t="shared" si="71"/>
        <v>0</v>
      </c>
      <c r="AW119" s="37">
        <f t="shared" si="71"/>
        <v>0</v>
      </c>
    </row>
    <row r="120" spans="1:49" outlineLevel="1" x14ac:dyDescent="0.25">
      <c r="B120" s="2" t="s">
        <v>4</v>
      </c>
      <c r="C120" s="2">
        <v>2023</v>
      </c>
      <c r="D120" s="1">
        <v>16299</v>
      </c>
      <c r="E120" s="11">
        <v>2106825</v>
      </c>
      <c r="F120" s="1">
        <v>8331</v>
      </c>
      <c r="G120" s="11">
        <v>1641513</v>
      </c>
      <c r="H120" s="1">
        <v>3308</v>
      </c>
      <c r="I120" s="11">
        <v>652571</v>
      </c>
      <c r="J120" s="1">
        <v>255491</v>
      </c>
      <c r="K120" s="11">
        <v>52217161</v>
      </c>
      <c r="L120" s="8">
        <v>7298</v>
      </c>
      <c r="M120" s="11">
        <v>1787188</v>
      </c>
      <c r="N120" s="8">
        <v>13864</v>
      </c>
      <c r="O120" s="11">
        <v>2522528</v>
      </c>
      <c r="P120" s="8">
        <v>0</v>
      </c>
      <c r="Q120" s="11">
        <v>0</v>
      </c>
      <c r="R120" s="8">
        <v>139</v>
      </c>
      <c r="S120" s="11">
        <v>16928</v>
      </c>
      <c r="T120" s="53">
        <f t="shared" si="72"/>
        <v>304730</v>
      </c>
      <c r="U120" s="54">
        <f t="shared" si="66"/>
        <v>60944714</v>
      </c>
      <c r="V120" s="2" t="s">
        <v>60</v>
      </c>
      <c r="Z120" s="30"/>
      <c r="AA120" s="30"/>
      <c r="AB120" s="31"/>
      <c r="AC120" s="32"/>
      <c r="AE120" s="2" t="s">
        <v>4</v>
      </c>
      <c r="AF120" s="2">
        <v>2023</v>
      </c>
      <c r="AG120" s="1">
        <f t="shared" si="67"/>
        <v>27938</v>
      </c>
      <c r="AH120" s="11">
        <f t="shared" si="67"/>
        <v>4400909</v>
      </c>
      <c r="AI120" s="1">
        <f t="shared" si="68"/>
        <v>255491</v>
      </c>
      <c r="AJ120" s="11">
        <f t="shared" si="68"/>
        <v>52217161</v>
      </c>
      <c r="AK120" s="8">
        <f t="shared" si="68"/>
        <v>7298</v>
      </c>
      <c r="AL120" s="11">
        <f t="shared" si="68"/>
        <v>1787188</v>
      </c>
      <c r="AM120" s="8">
        <f t="shared" si="68"/>
        <v>13864</v>
      </c>
      <c r="AN120" s="11">
        <f t="shared" si="68"/>
        <v>2522528</v>
      </c>
      <c r="AO120" s="8">
        <f t="shared" si="68"/>
        <v>0</v>
      </c>
      <c r="AP120" s="11">
        <f t="shared" si="68"/>
        <v>0</v>
      </c>
      <c r="AQ120" s="11">
        <f t="shared" si="68"/>
        <v>139</v>
      </c>
      <c r="AR120" s="11">
        <f t="shared" si="68"/>
        <v>16928</v>
      </c>
      <c r="AS120" s="8">
        <f t="shared" si="73"/>
        <v>304730</v>
      </c>
      <c r="AT120" s="11">
        <f t="shared" si="69"/>
        <v>60944714</v>
      </c>
      <c r="AU120" s="2" t="str">
        <f t="shared" si="70"/>
        <v>LEP</v>
      </c>
      <c r="AV120" s="37">
        <f t="shared" si="71"/>
        <v>0</v>
      </c>
      <c r="AW120" s="37">
        <f t="shared" si="71"/>
        <v>0</v>
      </c>
    </row>
    <row r="121" spans="1:49" outlineLevel="1" x14ac:dyDescent="0.25">
      <c r="B121" s="2" t="s">
        <v>28</v>
      </c>
      <c r="C121" s="2">
        <v>2023</v>
      </c>
      <c r="D121" s="1">
        <v>13825</v>
      </c>
      <c r="E121" s="11">
        <v>1864278</v>
      </c>
      <c r="F121" s="1">
        <v>7325</v>
      </c>
      <c r="G121" s="11">
        <v>1406580</v>
      </c>
      <c r="H121" s="1">
        <v>2893</v>
      </c>
      <c r="I121" s="11">
        <v>589525</v>
      </c>
      <c r="J121" s="1">
        <v>232707</v>
      </c>
      <c r="K121" s="11">
        <v>48529679</v>
      </c>
      <c r="L121" s="8">
        <v>6666</v>
      </c>
      <c r="M121" s="11">
        <v>1640235</v>
      </c>
      <c r="N121" s="8">
        <v>12720</v>
      </c>
      <c r="O121" s="11">
        <v>2326110</v>
      </c>
      <c r="P121" s="8">
        <v>0</v>
      </c>
      <c r="Q121" s="11">
        <v>0</v>
      </c>
      <c r="R121" s="8">
        <v>102</v>
      </c>
      <c r="S121" s="11">
        <v>14703</v>
      </c>
      <c r="T121" s="53">
        <f t="shared" si="72"/>
        <v>276238</v>
      </c>
      <c r="U121" s="54">
        <f>O121+M121+K121+I121+E121+Q121+G121+S121</f>
        <v>56371110</v>
      </c>
      <c r="V121" s="2" t="s">
        <v>60</v>
      </c>
      <c r="Z121" s="30"/>
      <c r="AA121" s="30"/>
      <c r="AB121" s="31"/>
      <c r="AC121" s="32"/>
      <c r="AE121" s="2" t="s">
        <v>28</v>
      </c>
      <c r="AF121" s="2">
        <v>2023</v>
      </c>
      <c r="AG121" s="1">
        <f t="shared" si="67"/>
        <v>24043</v>
      </c>
      <c r="AH121" s="11">
        <f t="shared" si="67"/>
        <v>3860383</v>
      </c>
      <c r="AI121" s="1">
        <f t="shared" si="68"/>
        <v>232707</v>
      </c>
      <c r="AJ121" s="11">
        <f t="shared" si="68"/>
        <v>48529679</v>
      </c>
      <c r="AK121" s="8">
        <f t="shared" si="68"/>
        <v>6666</v>
      </c>
      <c r="AL121" s="11">
        <f t="shared" si="68"/>
        <v>1640235</v>
      </c>
      <c r="AM121" s="8">
        <f t="shared" si="68"/>
        <v>12720</v>
      </c>
      <c r="AN121" s="11">
        <f t="shared" si="68"/>
        <v>2326110</v>
      </c>
      <c r="AO121" s="8">
        <f t="shared" si="68"/>
        <v>0</v>
      </c>
      <c r="AP121" s="11">
        <f t="shared" si="68"/>
        <v>0</v>
      </c>
      <c r="AQ121" s="11">
        <f t="shared" si="68"/>
        <v>102</v>
      </c>
      <c r="AR121" s="11">
        <f t="shared" si="68"/>
        <v>14703</v>
      </c>
      <c r="AS121" s="8">
        <f t="shared" si="73"/>
        <v>276238</v>
      </c>
      <c r="AT121" s="11">
        <f t="shared" si="69"/>
        <v>56371110</v>
      </c>
      <c r="AU121" s="2" t="str">
        <f t="shared" si="70"/>
        <v>LEP</v>
      </c>
      <c r="AV121" s="37">
        <f t="shared" si="71"/>
        <v>0</v>
      </c>
      <c r="AW121" s="37">
        <f t="shared" si="71"/>
        <v>0</v>
      </c>
    </row>
    <row r="122" spans="1:49" outlineLevel="1" x14ac:dyDescent="0.25">
      <c r="B122" s="2" t="s">
        <v>29</v>
      </c>
      <c r="C122" s="2">
        <v>2023</v>
      </c>
      <c r="D122" s="1">
        <v>15145</v>
      </c>
      <c r="E122" s="11">
        <v>2022013</v>
      </c>
      <c r="F122" s="1">
        <v>8213</v>
      </c>
      <c r="G122" s="11">
        <v>1609832</v>
      </c>
      <c r="H122" s="1">
        <v>3852</v>
      </c>
      <c r="I122" s="11">
        <v>757032</v>
      </c>
      <c r="J122" s="1">
        <v>251877</v>
      </c>
      <c r="K122" s="11">
        <v>51770918</v>
      </c>
      <c r="L122" s="8">
        <v>6915</v>
      </c>
      <c r="M122" s="11">
        <v>1680475</v>
      </c>
      <c r="N122" s="8">
        <v>14307</v>
      </c>
      <c r="O122" s="11">
        <v>2604990</v>
      </c>
      <c r="P122" s="8">
        <v>0</v>
      </c>
      <c r="Q122" s="11">
        <v>0</v>
      </c>
      <c r="R122" s="8">
        <v>150</v>
      </c>
      <c r="S122" s="11">
        <v>23720</v>
      </c>
      <c r="T122" s="53">
        <f>N122+L122+J122+H122+D122+P122+F122+R122</f>
        <v>300459</v>
      </c>
      <c r="U122" s="54">
        <f t="shared" si="66"/>
        <v>60468980</v>
      </c>
      <c r="V122" s="2" t="s">
        <v>60</v>
      </c>
      <c r="Z122" s="30"/>
      <c r="AA122" s="30"/>
      <c r="AB122" s="31"/>
      <c r="AC122" s="32"/>
      <c r="AE122" s="2" t="s">
        <v>29</v>
      </c>
      <c r="AF122" s="2">
        <v>2023</v>
      </c>
      <c r="AG122" s="1">
        <f t="shared" si="67"/>
        <v>27210</v>
      </c>
      <c r="AH122" s="11">
        <f t="shared" si="67"/>
        <v>4388877</v>
      </c>
      <c r="AI122" s="1">
        <f t="shared" si="68"/>
        <v>251877</v>
      </c>
      <c r="AJ122" s="11">
        <f t="shared" si="68"/>
        <v>51770918</v>
      </c>
      <c r="AK122" s="8">
        <f t="shared" si="68"/>
        <v>6915</v>
      </c>
      <c r="AL122" s="11">
        <f t="shared" si="68"/>
        <v>1680475</v>
      </c>
      <c r="AM122" s="8">
        <f t="shared" si="68"/>
        <v>14307</v>
      </c>
      <c r="AN122" s="11">
        <f t="shared" si="68"/>
        <v>2604990</v>
      </c>
      <c r="AO122" s="8">
        <f t="shared" si="68"/>
        <v>0</v>
      </c>
      <c r="AP122" s="11">
        <f t="shared" si="68"/>
        <v>0</v>
      </c>
      <c r="AQ122" s="11">
        <f t="shared" si="68"/>
        <v>150</v>
      </c>
      <c r="AR122" s="11">
        <f t="shared" si="68"/>
        <v>23720</v>
      </c>
      <c r="AS122" s="8">
        <f t="shared" si="73"/>
        <v>300459</v>
      </c>
      <c r="AT122" s="11">
        <f t="shared" si="69"/>
        <v>60468980</v>
      </c>
      <c r="AU122" s="2" t="str">
        <f t="shared" si="70"/>
        <v>LEP</v>
      </c>
      <c r="AV122" s="37">
        <f t="shared" si="71"/>
        <v>0</v>
      </c>
      <c r="AW122" s="37">
        <f t="shared" si="71"/>
        <v>0</v>
      </c>
    </row>
    <row r="123" spans="1:49" outlineLevel="1" x14ac:dyDescent="0.25">
      <c r="B123" s="2" t="s">
        <v>30</v>
      </c>
      <c r="C123" s="2">
        <v>2023</v>
      </c>
      <c r="D123" s="1">
        <v>15101</v>
      </c>
      <c r="E123" s="11">
        <v>1981239</v>
      </c>
      <c r="F123" s="1">
        <v>8190</v>
      </c>
      <c r="G123" s="11">
        <v>1685329</v>
      </c>
      <c r="H123" s="1">
        <v>3546</v>
      </c>
      <c r="I123" s="11">
        <v>718081</v>
      </c>
      <c r="J123" s="1">
        <v>236926</v>
      </c>
      <c r="K123" s="11">
        <v>49219550</v>
      </c>
      <c r="L123" s="8">
        <v>6412</v>
      </c>
      <c r="M123" s="11">
        <v>1566012</v>
      </c>
      <c r="N123" s="8">
        <v>11129</v>
      </c>
      <c r="O123" s="11">
        <v>2012783</v>
      </c>
      <c r="P123" s="8">
        <v>1</v>
      </c>
      <c r="Q123" s="11">
        <v>314</v>
      </c>
      <c r="R123" s="8">
        <v>182</v>
      </c>
      <c r="S123" s="11">
        <v>23164</v>
      </c>
      <c r="T123" s="53">
        <f t="shared" si="72"/>
        <v>281487</v>
      </c>
      <c r="U123" s="54">
        <f t="shared" si="66"/>
        <v>57206472</v>
      </c>
      <c r="V123" s="2" t="s">
        <v>60</v>
      </c>
      <c r="Z123" s="30"/>
      <c r="AA123" s="30"/>
      <c r="AB123" s="31"/>
      <c r="AC123" s="32"/>
      <c r="AE123" s="2" t="s">
        <v>30</v>
      </c>
      <c r="AF123" s="2">
        <v>2023</v>
      </c>
      <c r="AG123" s="1">
        <f t="shared" si="67"/>
        <v>26837</v>
      </c>
      <c r="AH123" s="11">
        <f t="shared" si="67"/>
        <v>4384649</v>
      </c>
      <c r="AI123" s="1">
        <f t="shared" si="68"/>
        <v>236926</v>
      </c>
      <c r="AJ123" s="11">
        <f t="shared" si="68"/>
        <v>49219550</v>
      </c>
      <c r="AK123" s="8">
        <f t="shared" si="68"/>
        <v>6412</v>
      </c>
      <c r="AL123" s="11">
        <f t="shared" si="68"/>
        <v>1566012</v>
      </c>
      <c r="AM123" s="8">
        <f t="shared" si="68"/>
        <v>11129</v>
      </c>
      <c r="AN123" s="11">
        <f t="shared" si="68"/>
        <v>2012783</v>
      </c>
      <c r="AO123" s="8">
        <f t="shared" si="68"/>
        <v>1</v>
      </c>
      <c r="AP123" s="11">
        <f t="shared" si="68"/>
        <v>314</v>
      </c>
      <c r="AQ123" s="11">
        <f t="shared" si="68"/>
        <v>182</v>
      </c>
      <c r="AR123" s="11">
        <f t="shared" si="68"/>
        <v>23164</v>
      </c>
      <c r="AS123" s="8">
        <f t="shared" si="73"/>
        <v>281487</v>
      </c>
      <c r="AT123" s="11">
        <f t="shared" si="69"/>
        <v>57206472</v>
      </c>
      <c r="AU123" s="2" t="str">
        <f t="shared" si="70"/>
        <v>LEP</v>
      </c>
      <c r="AV123" s="37">
        <f t="shared" si="71"/>
        <v>0</v>
      </c>
      <c r="AW123" s="37">
        <f t="shared" si="71"/>
        <v>0</v>
      </c>
    </row>
    <row r="124" spans="1:49" outlineLevel="1" x14ac:dyDescent="0.25">
      <c r="B124" s="2" t="s">
        <v>31</v>
      </c>
      <c r="C124" s="2">
        <v>2023</v>
      </c>
      <c r="D124" s="1">
        <v>17586</v>
      </c>
      <c r="E124" s="11">
        <v>2069501</v>
      </c>
      <c r="F124" s="1">
        <v>7942</v>
      </c>
      <c r="G124" s="11">
        <v>1621218</v>
      </c>
      <c r="H124" s="1">
        <v>2972</v>
      </c>
      <c r="I124" s="11">
        <v>562209</v>
      </c>
      <c r="J124" s="1">
        <v>242494</v>
      </c>
      <c r="K124" s="11">
        <v>47882134</v>
      </c>
      <c r="L124" s="8">
        <v>6505</v>
      </c>
      <c r="M124" s="11">
        <v>1569160</v>
      </c>
      <c r="N124" s="8">
        <v>12664</v>
      </c>
      <c r="O124" s="11">
        <v>2308501</v>
      </c>
      <c r="P124" s="8">
        <v>0</v>
      </c>
      <c r="Q124" s="11">
        <v>0</v>
      </c>
      <c r="R124" s="8">
        <v>207</v>
      </c>
      <c r="S124" s="11">
        <v>21862</v>
      </c>
      <c r="T124" s="53">
        <f t="shared" si="72"/>
        <v>290370</v>
      </c>
      <c r="U124" s="54">
        <f t="shared" si="66"/>
        <v>56034585</v>
      </c>
      <c r="V124" s="2" t="s">
        <v>60</v>
      </c>
      <c r="X124" s="13"/>
      <c r="Z124" s="30"/>
      <c r="AA124" s="30"/>
      <c r="AB124" s="31"/>
      <c r="AC124" s="32"/>
      <c r="AE124" s="2" t="s">
        <v>31</v>
      </c>
      <c r="AF124" s="2">
        <v>2023</v>
      </c>
      <c r="AG124" s="1">
        <f t="shared" si="67"/>
        <v>28500</v>
      </c>
      <c r="AH124" s="11">
        <f t="shared" si="67"/>
        <v>4252928</v>
      </c>
      <c r="AI124" s="1">
        <f t="shared" si="68"/>
        <v>242494</v>
      </c>
      <c r="AJ124" s="11">
        <f t="shared" si="68"/>
        <v>47882134</v>
      </c>
      <c r="AK124" s="8">
        <f t="shared" si="68"/>
        <v>6505</v>
      </c>
      <c r="AL124" s="11">
        <f t="shared" si="68"/>
        <v>1569160</v>
      </c>
      <c r="AM124" s="8">
        <f t="shared" si="68"/>
        <v>12664</v>
      </c>
      <c r="AN124" s="11">
        <f t="shared" si="68"/>
        <v>2308501</v>
      </c>
      <c r="AO124" s="8">
        <f t="shared" si="68"/>
        <v>0</v>
      </c>
      <c r="AP124" s="11">
        <f t="shared" si="68"/>
        <v>0</v>
      </c>
      <c r="AQ124" s="11">
        <f t="shared" si="68"/>
        <v>207</v>
      </c>
      <c r="AR124" s="11">
        <f t="shared" si="68"/>
        <v>21862</v>
      </c>
      <c r="AS124" s="8">
        <f t="shared" si="73"/>
        <v>290370</v>
      </c>
      <c r="AT124" s="11">
        <f t="shared" si="69"/>
        <v>56034585</v>
      </c>
      <c r="AU124" s="2" t="str">
        <f t="shared" si="70"/>
        <v>LEP</v>
      </c>
      <c r="AV124" s="37">
        <f t="shared" si="71"/>
        <v>0</v>
      </c>
      <c r="AW124" s="37">
        <f t="shared" si="71"/>
        <v>0</v>
      </c>
    </row>
    <row r="125" spans="1:49" outlineLevel="1" x14ac:dyDescent="0.25">
      <c r="AH125" s="9"/>
      <c r="AJ125" s="9"/>
      <c r="AL125" s="9"/>
      <c r="AN125" s="9"/>
      <c r="AO125" s="9"/>
      <c r="AP125" s="9"/>
      <c r="AQ125" s="9"/>
      <c r="AR125" s="9"/>
      <c r="AT125" s="9"/>
    </row>
    <row r="126" spans="1:49" outlineLevel="1" x14ac:dyDescent="0.25">
      <c r="B126" s="3" t="s">
        <v>12</v>
      </c>
      <c r="C126" s="3"/>
      <c r="D126" s="4">
        <f t="shared" ref="D126:U126" si="74">SUM(D113:D125)</f>
        <v>183637</v>
      </c>
      <c r="E126" s="12">
        <f t="shared" si="74"/>
        <v>23489642</v>
      </c>
      <c r="F126" s="4">
        <f t="shared" si="74"/>
        <v>90453</v>
      </c>
      <c r="G126" s="12">
        <f t="shared" si="74"/>
        <v>17977269</v>
      </c>
      <c r="H126" s="4">
        <f t="shared" si="74"/>
        <v>36596</v>
      </c>
      <c r="I126" s="12">
        <f t="shared" si="74"/>
        <v>7241008</v>
      </c>
      <c r="J126" s="4">
        <f t="shared" si="74"/>
        <v>2890920</v>
      </c>
      <c r="K126" s="12">
        <f t="shared" si="74"/>
        <v>588551150</v>
      </c>
      <c r="L126" s="4">
        <f t="shared" si="74"/>
        <v>84143</v>
      </c>
      <c r="M126" s="12">
        <f t="shared" si="74"/>
        <v>20653261</v>
      </c>
      <c r="N126" s="4">
        <f t="shared" si="74"/>
        <v>156240</v>
      </c>
      <c r="O126" s="12">
        <f t="shared" si="74"/>
        <v>27717024</v>
      </c>
      <c r="P126" s="4">
        <f>SUM(P113:P125)</f>
        <v>1</v>
      </c>
      <c r="Q126" s="12">
        <f>SUM(Q113:Q125)</f>
        <v>314</v>
      </c>
      <c r="R126" s="4">
        <f>SUM(R113:R125)</f>
        <v>1281</v>
      </c>
      <c r="S126" s="12">
        <f>SUM(S113:S125)</f>
        <v>167471</v>
      </c>
      <c r="T126" s="4">
        <f t="shared" si="74"/>
        <v>3443271</v>
      </c>
      <c r="U126" s="12">
        <f t="shared" si="74"/>
        <v>685797139</v>
      </c>
      <c r="Z126" s="12">
        <f>AVERAGE(Z113:Z125)</f>
        <v>144074.12599999999</v>
      </c>
      <c r="AA126" s="12">
        <f t="shared" ref="AA126:AC126" si="75">AVERAGE(AA113:AA125)</f>
        <v>0.61432306601320263</v>
      </c>
      <c r="AB126" s="12">
        <f t="shared" si="75"/>
        <v>328192.44400000002</v>
      </c>
      <c r="AC126" s="16">
        <f t="shared" si="75"/>
        <v>6.9291932501700428E-3</v>
      </c>
      <c r="AE126" s="3" t="s">
        <v>12</v>
      </c>
      <c r="AF126" s="3"/>
      <c r="AG126" s="4">
        <f t="shared" ref="AG126:AT126" si="76">SUM(AG113:AG125)</f>
        <v>310686</v>
      </c>
      <c r="AH126" s="12">
        <f t="shared" si="76"/>
        <v>48707919</v>
      </c>
      <c r="AI126" s="4">
        <f t="shared" si="76"/>
        <v>2890920</v>
      </c>
      <c r="AJ126" s="12">
        <f t="shared" si="76"/>
        <v>588551150</v>
      </c>
      <c r="AK126" s="4">
        <f t="shared" si="76"/>
        <v>84143</v>
      </c>
      <c r="AL126" s="12">
        <f t="shared" si="76"/>
        <v>20653261</v>
      </c>
      <c r="AM126" s="4">
        <f t="shared" si="76"/>
        <v>156240</v>
      </c>
      <c r="AN126" s="12">
        <f t="shared" si="76"/>
        <v>27717024</v>
      </c>
      <c r="AO126" s="4">
        <f t="shared" si="76"/>
        <v>1</v>
      </c>
      <c r="AP126" s="12">
        <f t="shared" si="76"/>
        <v>314</v>
      </c>
      <c r="AQ126" s="4">
        <f t="shared" si="76"/>
        <v>1281</v>
      </c>
      <c r="AR126" s="12">
        <f t="shared" si="76"/>
        <v>167471</v>
      </c>
      <c r="AS126" s="4">
        <f t="shared" si="76"/>
        <v>3443271</v>
      </c>
      <c r="AT126" s="12">
        <f t="shared" si="76"/>
        <v>685797139</v>
      </c>
    </row>
    <row r="127" spans="1:49" outlineLevel="1" x14ac:dyDescent="0.25">
      <c r="J127" s="46" t="str">
        <f>+$A$108</f>
        <v>Aforo e Ingreso - LEPSA</v>
      </c>
      <c r="K127" s="9" t="s">
        <v>84</v>
      </c>
      <c r="L127" s="15">
        <f>AVERAGE(L113:L124)</f>
        <v>7011.916666666667</v>
      </c>
      <c r="M127" s="60">
        <f>AVERAGE(M113:M124)</f>
        <v>1721105.0833333333</v>
      </c>
      <c r="T127" s="15">
        <f>AVERAGE(T113:T124)</f>
        <v>286939.25</v>
      </c>
      <c r="U127" s="28">
        <f>AVERAGE(U113:U124)</f>
        <v>57149761.583333336</v>
      </c>
    </row>
    <row r="128" spans="1:49" outlineLevel="1" x14ac:dyDescent="0.25">
      <c r="A128" s="67" t="s">
        <v>14</v>
      </c>
      <c r="J128" s="46" t="str">
        <f>+$A$108</f>
        <v>Aforo e Ingreso - LEPSA</v>
      </c>
      <c r="K128" s="9" t="s">
        <v>85</v>
      </c>
      <c r="L128" s="26">
        <f>+L127/$L$337</f>
        <v>5.2499174855201912E-2</v>
      </c>
      <c r="M128" s="36">
        <f>+M127/$M$337</f>
        <v>8.5516701277570009E-2</v>
      </c>
      <c r="N128" s="18"/>
      <c r="O128" s="19"/>
      <c r="P128" s="19"/>
      <c r="Q128" s="19"/>
      <c r="R128" s="19"/>
      <c r="S128" s="19"/>
      <c r="T128" s="36">
        <f>+L127/T127</f>
        <v>2.4436938016206104E-2</v>
      </c>
      <c r="U128" s="62">
        <f>+M127/U127</f>
        <v>3.0115700147299678E-2</v>
      </c>
    </row>
    <row r="129" spans="1:50" outlineLevel="1" x14ac:dyDescent="0.25">
      <c r="A129" s="67" t="s">
        <v>35</v>
      </c>
      <c r="L129" s="26"/>
      <c r="M129" s="26"/>
      <c r="N129" s="9"/>
      <c r="P129"/>
    </row>
    <row r="130" spans="1:50" outlineLevel="1" x14ac:dyDescent="0.25">
      <c r="B130" s="5"/>
      <c r="N130" s="9"/>
      <c r="P130"/>
      <c r="U130"/>
    </row>
    <row r="131" spans="1:50" outlineLevel="1" x14ac:dyDescent="0.25">
      <c r="D131" s="89" t="s">
        <v>15</v>
      </c>
      <c r="E131" s="90"/>
      <c r="F131" s="89" t="s">
        <v>71</v>
      </c>
      <c r="G131" s="90"/>
      <c r="H131" s="89" t="s">
        <v>16</v>
      </c>
      <c r="I131" s="90"/>
      <c r="J131" s="89" t="s">
        <v>17</v>
      </c>
      <c r="K131" s="93"/>
      <c r="L131" s="89" t="s">
        <v>18</v>
      </c>
      <c r="M131" s="93"/>
      <c r="N131" s="89" t="s">
        <v>13</v>
      </c>
      <c r="O131" s="93"/>
      <c r="P131" s="89" t="s">
        <v>34</v>
      </c>
      <c r="Q131" s="93"/>
      <c r="R131" s="89" t="s">
        <v>87</v>
      </c>
      <c r="S131" s="93"/>
      <c r="T131" s="89" t="s">
        <v>12</v>
      </c>
      <c r="U131" s="93"/>
      <c r="AG131" s="89" t="s">
        <v>69</v>
      </c>
      <c r="AH131" s="90"/>
      <c r="AI131" s="89" t="s">
        <v>17</v>
      </c>
      <c r="AJ131" s="93"/>
      <c r="AK131" s="89" t="s">
        <v>18</v>
      </c>
      <c r="AL131" s="93"/>
      <c r="AM131" s="89" t="s">
        <v>13</v>
      </c>
      <c r="AN131" s="93"/>
      <c r="AO131" s="89" t="s">
        <v>34</v>
      </c>
      <c r="AP131" s="93"/>
      <c r="AQ131" s="89" t="s">
        <v>87</v>
      </c>
      <c r="AR131" s="93"/>
      <c r="AS131" s="89" t="s">
        <v>12</v>
      </c>
      <c r="AT131" s="93"/>
    </row>
    <row r="132" spans="1:50" outlineLevel="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T132" s="7" t="s">
        <v>2</v>
      </c>
      <c r="U132" s="10" t="s">
        <v>3</v>
      </c>
      <c r="Z132" s="33">
        <v>2021</v>
      </c>
      <c r="AA132" s="34">
        <v>0.62545378114302086</v>
      </c>
      <c r="AB132" s="33">
        <f>+Z132</f>
        <v>2021</v>
      </c>
      <c r="AC132" s="35">
        <v>7.7605765187370272E-3</v>
      </c>
      <c r="AE132" s="7" t="s">
        <v>0</v>
      </c>
      <c r="AF132" s="7" t="s">
        <v>1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</row>
    <row r="133" spans="1:50" outlineLevel="1" x14ac:dyDescent="0.25">
      <c r="AH133" s="9"/>
      <c r="AJ133" s="9"/>
      <c r="AL133" s="9"/>
      <c r="AN133" s="9"/>
      <c r="AO133" s="9"/>
      <c r="AP133" s="9"/>
      <c r="AQ133" s="9"/>
      <c r="AR133" s="9"/>
      <c r="AT133" s="9"/>
    </row>
    <row r="134" spans="1:50" outlineLevel="1" x14ac:dyDescent="0.25">
      <c r="B134" s="2" t="s">
        <v>5</v>
      </c>
      <c r="C134" s="2">
        <v>2023</v>
      </c>
      <c r="D134" s="1">
        <v>29389</v>
      </c>
      <c r="E134" s="11">
        <v>3550529</v>
      </c>
      <c r="F134" s="1">
        <v>9893</v>
      </c>
      <c r="G134" s="11">
        <v>1395218</v>
      </c>
      <c r="H134" s="1">
        <v>45082</v>
      </c>
      <c r="I134" s="11">
        <v>6828953</v>
      </c>
      <c r="J134" s="1">
        <v>304335</v>
      </c>
      <c r="K134" s="11">
        <v>53418084</v>
      </c>
      <c r="L134" s="1">
        <v>12896</v>
      </c>
      <c r="M134" s="11">
        <v>2369120</v>
      </c>
      <c r="N134" s="1">
        <v>42406</v>
      </c>
      <c r="O134" s="11">
        <v>6399705</v>
      </c>
      <c r="P134" s="1">
        <v>0</v>
      </c>
      <c r="Q134" s="11">
        <v>0</v>
      </c>
      <c r="R134" s="1">
        <v>0</v>
      </c>
      <c r="S134" s="11">
        <v>0</v>
      </c>
      <c r="T134" s="53">
        <f t="shared" ref="T134:T145" si="77">N134+L134+J134+H134+D134+P134+F134+R134</f>
        <v>444001</v>
      </c>
      <c r="U134" s="54">
        <f t="shared" ref="U134:U145" si="78">O134+M134+K134+I134+E134+Q134+G134+S134</f>
        <v>73961609</v>
      </c>
      <c r="V134" s="2" t="s">
        <v>61</v>
      </c>
      <c r="W134" s="66"/>
      <c r="X134" s="66"/>
      <c r="Z134" s="30"/>
      <c r="AA134" s="30">
        <f>+Z134/J134</f>
        <v>0</v>
      </c>
      <c r="AB134" s="31"/>
      <c r="AC134" s="32">
        <f>+AB134/K134</f>
        <v>0</v>
      </c>
      <c r="AE134" s="2" t="s">
        <v>5</v>
      </c>
      <c r="AF134" s="2">
        <v>2023</v>
      </c>
      <c r="AG134" s="1">
        <f>D134+H134+F134</f>
        <v>84364</v>
      </c>
      <c r="AH134" s="11">
        <f t="shared" ref="AH134:AH145" si="79">E134+I134+G134</f>
        <v>11774700</v>
      </c>
      <c r="AI134" s="1">
        <f t="shared" ref="AI134:AI145" si="80">+J134</f>
        <v>304335</v>
      </c>
      <c r="AJ134" s="11">
        <f t="shared" ref="AJ134:AJ145" si="81">+K134</f>
        <v>53418084</v>
      </c>
      <c r="AK134" s="8">
        <f t="shared" ref="AK134:AK145" si="82">+L134</f>
        <v>12896</v>
      </c>
      <c r="AL134" s="11">
        <f t="shared" ref="AL134:AL145" si="83">+M134</f>
        <v>2369120</v>
      </c>
      <c r="AM134" s="8">
        <f t="shared" ref="AM134:AM145" si="84">+N134</f>
        <v>42406</v>
      </c>
      <c r="AN134" s="11">
        <f t="shared" ref="AN134:AN145" si="85">+O134</f>
        <v>6399705</v>
      </c>
      <c r="AO134" s="8">
        <f t="shared" ref="AO134:AO145" si="86">+P134</f>
        <v>0</v>
      </c>
      <c r="AP134" s="11">
        <f t="shared" ref="AP134:AP145" si="87">+Q134</f>
        <v>0</v>
      </c>
      <c r="AQ134" s="11">
        <f t="shared" ref="AQ134:AQ145" si="88">+R134</f>
        <v>0</v>
      </c>
      <c r="AR134" s="11">
        <f t="shared" ref="AR134:AR145" si="89">+S134</f>
        <v>0</v>
      </c>
      <c r="AS134" s="8">
        <f>AO134+AM134+AK134+AI134+AG134+AQ134</f>
        <v>444001</v>
      </c>
      <c r="AT134" s="11">
        <f t="shared" ref="AT134:AT145" si="90">AP134+AN134+AL134+AJ134+AH134+AR134</f>
        <v>73961609</v>
      </c>
      <c r="AU134" s="2" t="str">
        <f t="shared" ref="AU134:AU145" si="91">+V134</f>
        <v>GANA</v>
      </c>
      <c r="AV134" s="37">
        <f t="shared" ref="AV134:AV145" si="92">+AS134-T134</f>
        <v>0</v>
      </c>
      <c r="AW134" s="37">
        <f t="shared" ref="AW134:AW145" si="93">+AT134-U134</f>
        <v>0</v>
      </c>
    </row>
    <row r="135" spans="1:50" outlineLevel="1" x14ac:dyDescent="0.25">
      <c r="B135" s="2" t="s">
        <v>6</v>
      </c>
      <c r="C135" s="2">
        <v>2023</v>
      </c>
      <c r="D135" s="1">
        <v>25944</v>
      </c>
      <c r="E135" s="11">
        <v>3121839</v>
      </c>
      <c r="F135" s="1">
        <v>8902</v>
      </c>
      <c r="G135" s="11">
        <v>1232986</v>
      </c>
      <c r="H135" s="1">
        <v>40812</v>
      </c>
      <c r="I135" s="11">
        <v>6125196</v>
      </c>
      <c r="J135" s="1">
        <v>284463</v>
      </c>
      <c r="K135" s="11">
        <v>50043833</v>
      </c>
      <c r="L135" s="1">
        <v>11267</v>
      </c>
      <c r="M135" s="11">
        <v>2122319</v>
      </c>
      <c r="N135" s="1">
        <v>38304</v>
      </c>
      <c r="O135" s="11">
        <v>5769485</v>
      </c>
      <c r="P135" s="1">
        <v>0</v>
      </c>
      <c r="Q135" s="11">
        <v>0</v>
      </c>
      <c r="R135" s="1">
        <v>0</v>
      </c>
      <c r="S135" s="11">
        <v>0</v>
      </c>
      <c r="T135" s="53">
        <f t="shared" si="77"/>
        <v>409692</v>
      </c>
      <c r="U135" s="54">
        <f t="shared" si="78"/>
        <v>68415658</v>
      </c>
      <c r="V135" s="2" t="s">
        <v>61</v>
      </c>
      <c r="W135" s="66"/>
      <c r="X135" s="66"/>
      <c r="Z135" s="30"/>
      <c r="AA135" s="30">
        <f>+Z135/J135</f>
        <v>0</v>
      </c>
      <c r="AB135" s="31"/>
      <c r="AC135" s="32">
        <f>+AB135/K135</f>
        <v>0</v>
      </c>
      <c r="AE135" s="2" t="s">
        <v>6</v>
      </c>
      <c r="AF135" s="2">
        <v>2023</v>
      </c>
      <c r="AG135" s="1">
        <f t="shared" ref="AG135:AG145" si="94">D135+H135+F135</f>
        <v>75658</v>
      </c>
      <c r="AH135" s="11">
        <f t="shared" si="79"/>
        <v>10480021</v>
      </c>
      <c r="AI135" s="1">
        <f t="shared" si="80"/>
        <v>284463</v>
      </c>
      <c r="AJ135" s="11">
        <f t="shared" si="81"/>
        <v>50043833</v>
      </c>
      <c r="AK135" s="8">
        <f t="shared" si="82"/>
        <v>11267</v>
      </c>
      <c r="AL135" s="11">
        <f t="shared" si="83"/>
        <v>2122319</v>
      </c>
      <c r="AM135" s="8">
        <f t="shared" si="84"/>
        <v>38304</v>
      </c>
      <c r="AN135" s="11">
        <f t="shared" si="85"/>
        <v>5769485</v>
      </c>
      <c r="AO135" s="8">
        <f t="shared" si="86"/>
        <v>0</v>
      </c>
      <c r="AP135" s="11">
        <f t="shared" si="87"/>
        <v>0</v>
      </c>
      <c r="AQ135" s="11">
        <f t="shared" si="88"/>
        <v>0</v>
      </c>
      <c r="AR135" s="11">
        <f t="shared" si="89"/>
        <v>0</v>
      </c>
      <c r="AS135" s="8">
        <f t="shared" ref="AS135:AS145" si="95">AO135+AM135+AK135+AI135+AG135+AQ135</f>
        <v>409692</v>
      </c>
      <c r="AT135" s="11">
        <f t="shared" si="90"/>
        <v>68415658</v>
      </c>
      <c r="AU135" s="2" t="str">
        <f t="shared" si="91"/>
        <v>GANA</v>
      </c>
      <c r="AV135" s="37">
        <f t="shared" si="92"/>
        <v>0</v>
      </c>
      <c r="AW135" s="37">
        <f t="shared" si="93"/>
        <v>0</v>
      </c>
    </row>
    <row r="136" spans="1:50" outlineLevel="1" x14ac:dyDescent="0.25">
      <c r="B136" s="2" t="s">
        <v>7</v>
      </c>
      <c r="C136" s="2">
        <v>2023</v>
      </c>
      <c r="D136" s="1">
        <v>29295</v>
      </c>
      <c r="E136" s="11">
        <v>3538064</v>
      </c>
      <c r="F136" s="1">
        <v>10657</v>
      </c>
      <c r="G136" s="11">
        <v>1476652</v>
      </c>
      <c r="H136" s="1">
        <v>48216</v>
      </c>
      <c r="I136" s="11">
        <v>7186229</v>
      </c>
      <c r="J136" s="1">
        <v>326739</v>
      </c>
      <c r="K136" s="11">
        <v>57462328</v>
      </c>
      <c r="L136" s="1">
        <v>12538</v>
      </c>
      <c r="M136" s="11">
        <v>2377663</v>
      </c>
      <c r="N136" s="1">
        <v>44148</v>
      </c>
      <c r="O136" s="11">
        <v>6697197</v>
      </c>
      <c r="P136" s="1">
        <v>0</v>
      </c>
      <c r="Q136" s="11">
        <v>0</v>
      </c>
      <c r="R136" s="1">
        <v>0</v>
      </c>
      <c r="S136" s="11">
        <v>0</v>
      </c>
      <c r="T136" s="53">
        <f t="shared" si="77"/>
        <v>471593</v>
      </c>
      <c r="U136" s="54">
        <f t="shared" si="78"/>
        <v>78738133</v>
      </c>
      <c r="V136" s="2" t="s">
        <v>61</v>
      </c>
      <c r="W136" s="66"/>
      <c r="X136" s="66"/>
      <c r="Z136" s="30"/>
      <c r="AA136" s="30">
        <f>+Z136/J136</f>
        <v>0</v>
      </c>
      <c r="AB136" s="31"/>
      <c r="AC136" s="32">
        <f>+AB136/K136</f>
        <v>0</v>
      </c>
      <c r="AD136" s="13"/>
      <c r="AE136" s="2" t="s">
        <v>7</v>
      </c>
      <c r="AF136" s="2">
        <v>2023</v>
      </c>
      <c r="AG136" s="1">
        <f t="shared" si="94"/>
        <v>88168</v>
      </c>
      <c r="AH136" s="11">
        <f t="shared" si="79"/>
        <v>12200945</v>
      </c>
      <c r="AI136" s="1">
        <f t="shared" si="80"/>
        <v>326739</v>
      </c>
      <c r="AJ136" s="11">
        <f t="shared" si="81"/>
        <v>57462328</v>
      </c>
      <c r="AK136" s="8">
        <f t="shared" si="82"/>
        <v>12538</v>
      </c>
      <c r="AL136" s="11">
        <f t="shared" si="83"/>
        <v>2377663</v>
      </c>
      <c r="AM136" s="8">
        <f t="shared" si="84"/>
        <v>44148</v>
      </c>
      <c r="AN136" s="11">
        <f t="shared" si="85"/>
        <v>6697197</v>
      </c>
      <c r="AO136" s="8">
        <f t="shared" si="86"/>
        <v>0</v>
      </c>
      <c r="AP136" s="11">
        <f t="shared" si="87"/>
        <v>0</v>
      </c>
      <c r="AQ136" s="11">
        <f t="shared" si="88"/>
        <v>0</v>
      </c>
      <c r="AR136" s="11">
        <f t="shared" si="89"/>
        <v>0</v>
      </c>
      <c r="AS136" s="8">
        <f t="shared" si="95"/>
        <v>471593</v>
      </c>
      <c r="AT136" s="11">
        <f t="shared" si="90"/>
        <v>78738133</v>
      </c>
      <c r="AU136" s="2" t="str">
        <f t="shared" si="91"/>
        <v>GANA</v>
      </c>
      <c r="AV136" s="37">
        <f t="shared" si="92"/>
        <v>0</v>
      </c>
      <c r="AW136" s="37">
        <f t="shared" si="93"/>
        <v>0</v>
      </c>
    </row>
    <row r="137" spans="1:50" outlineLevel="1" x14ac:dyDescent="0.25">
      <c r="B137" s="2" t="s">
        <v>8</v>
      </c>
      <c r="C137" s="2">
        <v>2023</v>
      </c>
      <c r="D137" s="1">
        <v>31722</v>
      </c>
      <c r="E137" s="11">
        <v>3821290</v>
      </c>
      <c r="F137" s="1">
        <v>11097</v>
      </c>
      <c r="G137" s="11">
        <v>1577647</v>
      </c>
      <c r="H137" s="1">
        <v>46697</v>
      </c>
      <c r="I137" s="11">
        <v>7076703</v>
      </c>
      <c r="J137" s="1">
        <v>320598</v>
      </c>
      <c r="K137" s="11">
        <v>55404765</v>
      </c>
      <c r="L137" s="1">
        <v>11905</v>
      </c>
      <c r="M137" s="11">
        <v>2257084</v>
      </c>
      <c r="N137" s="1">
        <v>42413</v>
      </c>
      <c r="O137" s="11">
        <v>6386104</v>
      </c>
      <c r="P137" s="1">
        <v>9</v>
      </c>
      <c r="Q137" s="11">
        <v>2384</v>
      </c>
      <c r="R137" s="1">
        <v>0</v>
      </c>
      <c r="S137" s="11">
        <v>0</v>
      </c>
      <c r="T137" s="53">
        <f t="shared" si="77"/>
        <v>464441</v>
      </c>
      <c r="U137" s="54">
        <f t="shared" si="78"/>
        <v>76525977</v>
      </c>
      <c r="V137" s="2" t="s">
        <v>61</v>
      </c>
      <c r="W137" s="66"/>
      <c r="X137" s="66"/>
      <c r="Z137" s="30"/>
      <c r="AA137" s="30">
        <f>+Z137/J137</f>
        <v>0</v>
      </c>
      <c r="AB137" s="31"/>
      <c r="AC137" s="32">
        <f>+AB137/K137</f>
        <v>0</v>
      </c>
      <c r="AD137" s="13"/>
      <c r="AE137" s="2" t="s">
        <v>8</v>
      </c>
      <c r="AF137" s="2">
        <v>2023</v>
      </c>
      <c r="AG137" s="1">
        <f t="shared" si="94"/>
        <v>89516</v>
      </c>
      <c r="AH137" s="11">
        <f t="shared" si="79"/>
        <v>12475640</v>
      </c>
      <c r="AI137" s="1">
        <f t="shared" si="80"/>
        <v>320598</v>
      </c>
      <c r="AJ137" s="11">
        <f t="shared" si="81"/>
        <v>55404765</v>
      </c>
      <c r="AK137" s="8">
        <f t="shared" si="82"/>
        <v>11905</v>
      </c>
      <c r="AL137" s="11">
        <f t="shared" si="83"/>
        <v>2257084</v>
      </c>
      <c r="AM137" s="8">
        <f t="shared" si="84"/>
        <v>42413</v>
      </c>
      <c r="AN137" s="11">
        <f t="shared" si="85"/>
        <v>6386104</v>
      </c>
      <c r="AO137" s="8">
        <f t="shared" si="86"/>
        <v>9</v>
      </c>
      <c r="AP137" s="11">
        <f t="shared" si="87"/>
        <v>2384</v>
      </c>
      <c r="AQ137" s="11">
        <f t="shared" si="88"/>
        <v>0</v>
      </c>
      <c r="AR137" s="11">
        <f t="shared" si="89"/>
        <v>0</v>
      </c>
      <c r="AS137" s="8">
        <f t="shared" si="95"/>
        <v>464441</v>
      </c>
      <c r="AT137" s="11">
        <f t="shared" si="90"/>
        <v>76525977</v>
      </c>
      <c r="AU137" s="2" t="str">
        <f t="shared" si="91"/>
        <v>GANA</v>
      </c>
      <c r="AV137" s="37">
        <f t="shared" si="92"/>
        <v>0</v>
      </c>
      <c r="AW137" s="37">
        <f t="shared" si="93"/>
        <v>0</v>
      </c>
    </row>
    <row r="138" spans="1:50" outlineLevel="1" x14ac:dyDescent="0.25">
      <c r="B138" s="2" t="s">
        <v>9</v>
      </c>
      <c r="C138" s="2">
        <v>2023</v>
      </c>
      <c r="D138" s="1">
        <v>30006</v>
      </c>
      <c r="E138" s="11">
        <v>3691433</v>
      </c>
      <c r="F138" s="1">
        <v>11011</v>
      </c>
      <c r="G138" s="11">
        <v>1562053</v>
      </c>
      <c r="H138" s="1">
        <v>46369</v>
      </c>
      <c r="I138" s="11">
        <v>6938020</v>
      </c>
      <c r="J138" s="1">
        <v>319653</v>
      </c>
      <c r="K138" s="11">
        <v>55969568</v>
      </c>
      <c r="L138" s="1">
        <v>12315</v>
      </c>
      <c r="M138" s="11">
        <v>2305285</v>
      </c>
      <c r="N138" s="1">
        <v>45124</v>
      </c>
      <c r="O138" s="11">
        <v>6846373</v>
      </c>
      <c r="P138" s="1">
        <v>6</v>
      </c>
      <c r="Q138" s="11">
        <v>1578</v>
      </c>
      <c r="R138" s="1">
        <v>0</v>
      </c>
      <c r="S138" s="11">
        <v>0</v>
      </c>
      <c r="T138" s="53">
        <f t="shared" si="77"/>
        <v>464484</v>
      </c>
      <c r="U138" s="54">
        <f t="shared" si="78"/>
        <v>77314310</v>
      </c>
      <c r="V138" s="2" t="s">
        <v>61</v>
      </c>
      <c r="W138" s="66"/>
      <c r="X138" s="66"/>
      <c r="Z138" s="30"/>
      <c r="AA138" s="30">
        <f>+Z138/J138</f>
        <v>0</v>
      </c>
      <c r="AB138" s="31"/>
      <c r="AC138" s="32">
        <f>+AB138/K138</f>
        <v>0</v>
      </c>
      <c r="AD138" s="13"/>
      <c r="AE138" s="2" t="s">
        <v>9</v>
      </c>
      <c r="AF138" s="2">
        <v>2023</v>
      </c>
      <c r="AG138" s="1">
        <f t="shared" si="94"/>
        <v>87386</v>
      </c>
      <c r="AH138" s="11">
        <f t="shared" si="79"/>
        <v>12191506</v>
      </c>
      <c r="AI138" s="1">
        <f t="shared" si="80"/>
        <v>319653</v>
      </c>
      <c r="AJ138" s="11">
        <f t="shared" si="81"/>
        <v>55969568</v>
      </c>
      <c r="AK138" s="8">
        <f t="shared" si="82"/>
        <v>12315</v>
      </c>
      <c r="AL138" s="11">
        <f t="shared" si="83"/>
        <v>2305285</v>
      </c>
      <c r="AM138" s="8">
        <f t="shared" si="84"/>
        <v>45124</v>
      </c>
      <c r="AN138" s="11">
        <f t="shared" si="85"/>
        <v>6846373</v>
      </c>
      <c r="AO138" s="8">
        <f t="shared" si="86"/>
        <v>6</v>
      </c>
      <c r="AP138" s="11">
        <f t="shared" si="87"/>
        <v>1578</v>
      </c>
      <c r="AQ138" s="11">
        <f t="shared" si="88"/>
        <v>0</v>
      </c>
      <c r="AR138" s="11">
        <f t="shared" si="89"/>
        <v>0</v>
      </c>
      <c r="AS138" s="8">
        <f t="shared" si="95"/>
        <v>464484</v>
      </c>
      <c r="AT138" s="11">
        <f t="shared" si="90"/>
        <v>77314310</v>
      </c>
      <c r="AU138" s="2" t="str">
        <f t="shared" si="91"/>
        <v>GANA</v>
      </c>
      <c r="AV138" s="37">
        <f t="shared" si="92"/>
        <v>0</v>
      </c>
      <c r="AW138" s="37">
        <f t="shared" si="93"/>
        <v>0</v>
      </c>
    </row>
    <row r="139" spans="1:50" outlineLevel="1" x14ac:dyDescent="0.25">
      <c r="B139" s="2" t="s">
        <v>10</v>
      </c>
      <c r="C139" s="2">
        <v>2023</v>
      </c>
      <c r="D139" s="1">
        <v>29277</v>
      </c>
      <c r="E139" s="11">
        <v>3637627</v>
      </c>
      <c r="F139" s="1">
        <v>10616</v>
      </c>
      <c r="G139" s="11">
        <v>1508166</v>
      </c>
      <c r="H139" s="1">
        <v>47553</v>
      </c>
      <c r="I139" s="11">
        <v>7078903</v>
      </c>
      <c r="J139" s="1">
        <v>313039</v>
      </c>
      <c r="K139" s="11">
        <v>54669130</v>
      </c>
      <c r="L139" s="1">
        <v>13269</v>
      </c>
      <c r="M139" s="11">
        <v>2495269</v>
      </c>
      <c r="N139" s="1">
        <v>45874</v>
      </c>
      <c r="O139" s="11">
        <v>7029726</v>
      </c>
      <c r="P139" s="1">
        <v>7</v>
      </c>
      <c r="Q139" s="11">
        <v>1739</v>
      </c>
      <c r="R139" s="1">
        <v>0</v>
      </c>
      <c r="S139" s="11">
        <v>0</v>
      </c>
      <c r="T139" s="53">
        <f t="shared" si="77"/>
        <v>459635</v>
      </c>
      <c r="U139" s="54">
        <f t="shared" si="78"/>
        <v>76420560</v>
      </c>
      <c r="V139" s="2" t="s">
        <v>61</v>
      </c>
      <c r="W139" s="66"/>
      <c r="X139" s="66"/>
      <c r="Z139" s="30"/>
      <c r="AA139" s="30"/>
      <c r="AB139" s="31"/>
      <c r="AC139" s="32"/>
      <c r="AE139" s="2" t="s">
        <v>10</v>
      </c>
      <c r="AF139" s="2">
        <v>2023</v>
      </c>
      <c r="AG139" s="1">
        <f t="shared" si="94"/>
        <v>87446</v>
      </c>
      <c r="AH139" s="11">
        <f t="shared" si="79"/>
        <v>12224696</v>
      </c>
      <c r="AI139" s="1">
        <f t="shared" si="80"/>
        <v>313039</v>
      </c>
      <c r="AJ139" s="11">
        <f t="shared" si="81"/>
        <v>54669130</v>
      </c>
      <c r="AK139" s="8">
        <f t="shared" si="82"/>
        <v>13269</v>
      </c>
      <c r="AL139" s="11">
        <f t="shared" si="83"/>
        <v>2495269</v>
      </c>
      <c r="AM139" s="8">
        <f t="shared" si="84"/>
        <v>45874</v>
      </c>
      <c r="AN139" s="11">
        <f t="shared" si="85"/>
        <v>7029726</v>
      </c>
      <c r="AO139" s="8">
        <f t="shared" si="86"/>
        <v>7</v>
      </c>
      <c r="AP139" s="11">
        <f t="shared" si="87"/>
        <v>1739</v>
      </c>
      <c r="AQ139" s="11">
        <f t="shared" si="88"/>
        <v>0</v>
      </c>
      <c r="AR139" s="11">
        <f t="shared" si="89"/>
        <v>0</v>
      </c>
      <c r="AS139" s="8">
        <f t="shared" si="95"/>
        <v>459635</v>
      </c>
      <c r="AT139" s="11">
        <f t="shared" si="90"/>
        <v>76420560</v>
      </c>
      <c r="AU139" s="2" t="str">
        <f t="shared" si="91"/>
        <v>GANA</v>
      </c>
      <c r="AV139" s="37">
        <f t="shared" si="92"/>
        <v>0</v>
      </c>
      <c r="AW139" s="37">
        <f t="shared" si="93"/>
        <v>0</v>
      </c>
    </row>
    <row r="140" spans="1:50" outlineLevel="1" x14ac:dyDescent="0.25">
      <c r="B140" s="2" t="s">
        <v>11</v>
      </c>
      <c r="C140" s="2">
        <v>2023</v>
      </c>
      <c r="D140" s="1">
        <v>33702</v>
      </c>
      <c r="E140" s="11">
        <v>4157219</v>
      </c>
      <c r="F140" s="1">
        <v>12896</v>
      </c>
      <c r="G140" s="11">
        <v>1863742</v>
      </c>
      <c r="H140" s="1">
        <v>49695</v>
      </c>
      <c r="I140" s="11">
        <v>7555940</v>
      </c>
      <c r="J140" s="1">
        <v>331964</v>
      </c>
      <c r="K140" s="11">
        <v>57420931</v>
      </c>
      <c r="L140" s="1">
        <v>14641</v>
      </c>
      <c r="M140" s="11">
        <v>2749474</v>
      </c>
      <c r="N140" s="1">
        <v>46491</v>
      </c>
      <c r="O140" s="11">
        <v>7068319</v>
      </c>
      <c r="P140" s="1">
        <v>9</v>
      </c>
      <c r="Q140" s="11">
        <v>1601</v>
      </c>
      <c r="R140" s="1">
        <v>0</v>
      </c>
      <c r="S140" s="11">
        <v>0</v>
      </c>
      <c r="T140" s="53">
        <f t="shared" si="77"/>
        <v>489398</v>
      </c>
      <c r="U140" s="54">
        <f t="shared" si="78"/>
        <v>80817226</v>
      </c>
      <c r="V140" s="2" t="s">
        <v>61</v>
      </c>
      <c r="W140" s="66"/>
      <c r="X140" s="66"/>
      <c r="Z140" s="30"/>
      <c r="AA140" s="30"/>
      <c r="AB140" s="31"/>
      <c r="AC140" s="32"/>
      <c r="AE140" s="2" t="s">
        <v>11</v>
      </c>
      <c r="AF140" s="2">
        <v>2023</v>
      </c>
      <c r="AG140" s="1">
        <f t="shared" si="94"/>
        <v>96293</v>
      </c>
      <c r="AH140" s="11">
        <f t="shared" si="79"/>
        <v>13576901</v>
      </c>
      <c r="AI140" s="1">
        <f t="shared" si="80"/>
        <v>331964</v>
      </c>
      <c r="AJ140" s="11">
        <f t="shared" si="81"/>
        <v>57420931</v>
      </c>
      <c r="AK140" s="8">
        <f t="shared" si="82"/>
        <v>14641</v>
      </c>
      <c r="AL140" s="11">
        <f t="shared" si="83"/>
        <v>2749474</v>
      </c>
      <c r="AM140" s="8">
        <f t="shared" si="84"/>
        <v>46491</v>
      </c>
      <c r="AN140" s="11">
        <f t="shared" si="85"/>
        <v>7068319</v>
      </c>
      <c r="AO140" s="8">
        <f t="shared" si="86"/>
        <v>9</v>
      </c>
      <c r="AP140" s="11">
        <f t="shared" si="87"/>
        <v>1601</v>
      </c>
      <c r="AQ140" s="11">
        <f t="shared" si="88"/>
        <v>0</v>
      </c>
      <c r="AR140" s="11">
        <f t="shared" si="89"/>
        <v>0</v>
      </c>
      <c r="AS140" s="8">
        <f t="shared" si="95"/>
        <v>489398</v>
      </c>
      <c r="AT140" s="11">
        <f t="shared" si="90"/>
        <v>80817226</v>
      </c>
      <c r="AU140" s="2" t="str">
        <f t="shared" si="91"/>
        <v>GANA</v>
      </c>
      <c r="AV140" s="37">
        <f t="shared" si="92"/>
        <v>0</v>
      </c>
      <c r="AW140" s="37">
        <f t="shared" si="93"/>
        <v>0</v>
      </c>
    </row>
    <row r="141" spans="1:50" outlineLevel="1" x14ac:dyDescent="0.25">
      <c r="B141" s="2" t="s">
        <v>4</v>
      </c>
      <c r="C141" s="2">
        <v>2023</v>
      </c>
      <c r="D141" s="1">
        <v>33118</v>
      </c>
      <c r="E141" s="11">
        <v>4198005</v>
      </c>
      <c r="F141" s="1">
        <v>12893</v>
      </c>
      <c r="G141" s="11">
        <v>1846380</v>
      </c>
      <c r="H141" s="1">
        <v>49337</v>
      </c>
      <c r="I141" s="11">
        <v>7873061</v>
      </c>
      <c r="J141" s="1">
        <v>357807</v>
      </c>
      <c r="K141" s="11">
        <v>64358034</v>
      </c>
      <c r="L141" s="1">
        <v>14833</v>
      </c>
      <c r="M141" s="11">
        <v>2907862</v>
      </c>
      <c r="N141" s="1">
        <v>47692</v>
      </c>
      <c r="O141" s="11">
        <v>7517944</v>
      </c>
      <c r="P141" s="1">
        <v>19</v>
      </c>
      <c r="Q141" s="11">
        <v>4278</v>
      </c>
      <c r="R141" s="1">
        <v>0</v>
      </c>
      <c r="S141" s="11">
        <v>0</v>
      </c>
      <c r="T141" s="53">
        <f t="shared" si="77"/>
        <v>515699</v>
      </c>
      <c r="U141" s="54">
        <f t="shared" si="78"/>
        <v>88705564</v>
      </c>
      <c r="V141" s="2" t="s">
        <v>61</v>
      </c>
      <c r="W141" s="66"/>
      <c r="X141" s="66"/>
      <c r="Z141" s="30"/>
      <c r="AA141" s="30"/>
      <c r="AB141" s="31"/>
      <c r="AC141" s="32"/>
      <c r="AE141" s="2" t="s">
        <v>4</v>
      </c>
      <c r="AF141" s="2">
        <v>2023</v>
      </c>
      <c r="AG141" s="1">
        <f t="shared" si="94"/>
        <v>95348</v>
      </c>
      <c r="AH141" s="11">
        <f t="shared" si="79"/>
        <v>13917446</v>
      </c>
      <c r="AI141" s="1">
        <f t="shared" si="80"/>
        <v>357807</v>
      </c>
      <c r="AJ141" s="11">
        <f t="shared" si="81"/>
        <v>64358034</v>
      </c>
      <c r="AK141" s="8">
        <f t="shared" si="82"/>
        <v>14833</v>
      </c>
      <c r="AL141" s="11">
        <f t="shared" si="83"/>
        <v>2907862</v>
      </c>
      <c r="AM141" s="8">
        <f t="shared" si="84"/>
        <v>47692</v>
      </c>
      <c r="AN141" s="11">
        <f t="shared" si="85"/>
        <v>7517944</v>
      </c>
      <c r="AO141" s="8">
        <f t="shared" si="86"/>
        <v>19</v>
      </c>
      <c r="AP141" s="11">
        <f t="shared" si="87"/>
        <v>4278</v>
      </c>
      <c r="AQ141" s="11">
        <f t="shared" si="88"/>
        <v>0</v>
      </c>
      <c r="AR141" s="11">
        <f t="shared" si="89"/>
        <v>0</v>
      </c>
      <c r="AS141" s="8">
        <f t="shared" si="95"/>
        <v>515699</v>
      </c>
      <c r="AT141" s="11">
        <f t="shared" si="90"/>
        <v>88705564</v>
      </c>
      <c r="AU141" s="2" t="str">
        <f t="shared" si="91"/>
        <v>GANA</v>
      </c>
      <c r="AV141" s="37">
        <f t="shared" si="92"/>
        <v>0</v>
      </c>
      <c r="AW141" s="37">
        <f t="shared" si="93"/>
        <v>0</v>
      </c>
      <c r="AX141" s="13"/>
    </row>
    <row r="142" spans="1:50" outlineLevel="1" x14ac:dyDescent="0.25">
      <c r="B142" s="2" t="s">
        <v>28</v>
      </c>
      <c r="C142" s="2">
        <v>2023</v>
      </c>
      <c r="D142" s="1">
        <v>28020</v>
      </c>
      <c r="E142" s="11">
        <v>3649976</v>
      </c>
      <c r="F142" s="1">
        <v>13321</v>
      </c>
      <c r="G142" s="11">
        <v>1931981</v>
      </c>
      <c r="H142" s="1">
        <v>53462</v>
      </c>
      <c r="I142" s="11">
        <v>7800951</v>
      </c>
      <c r="J142" s="1">
        <v>328738</v>
      </c>
      <c r="K142" s="11">
        <v>59863830</v>
      </c>
      <c r="L142" s="1">
        <v>14316</v>
      </c>
      <c r="M142" s="11">
        <v>2815564</v>
      </c>
      <c r="N142" s="1">
        <v>43734</v>
      </c>
      <c r="O142" s="11">
        <v>6726552</v>
      </c>
      <c r="P142" s="1">
        <v>8</v>
      </c>
      <c r="Q142" s="11">
        <v>1742</v>
      </c>
      <c r="R142" s="1">
        <v>0</v>
      </c>
      <c r="S142" s="11">
        <v>0</v>
      </c>
      <c r="T142" s="53">
        <f t="shared" si="77"/>
        <v>481599</v>
      </c>
      <c r="U142" s="54">
        <f t="shared" si="78"/>
        <v>82790596</v>
      </c>
      <c r="V142" s="2" t="s">
        <v>61</v>
      </c>
      <c r="W142" s="66"/>
      <c r="X142" s="66"/>
      <c r="Z142" s="30"/>
      <c r="AA142" s="30"/>
      <c r="AB142" s="31"/>
      <c r="AC142" s="32"/>
      <c r="AE142" s="2" t="s">
        <v>28</v>
      </c>
      <c r="AF142" s="2">
        <v>2023</v>
      </c>
      <c r="AG142" s="1">
        <f t="shared" si="94"/>
        <v>94803</v>
      </c>
      <c r="AH142" s="11">
        <f t="shared" si="79"/>
        <v>13382908</v>
      </c>
      <c r="AI142" s="1">
        <f t="shared" si="80"/>
        <v>328738</v>
      </c>
      <c r="AJ142" s="11">
        <f t="shared" si="81"/>
        <v>59863830</v>
      </c>
      <c r="AK142" s="8">
        <f t="shared" si="82"/>
        <v>14316</v>
      </c>
      <c r="AL142" s="11">
        <f t="shared" si="83"/>
        <v>2815564</v>
      </c>
      <c r="AM142" s="8">
        <f t="shared" si="84"/>
        <v>43734</v>
      </c>
      <c r="AN142" s="11">
        <f t="shared" si="85"/>
        <v>6726552</v>
      </c>
      <c r="AO142" s="8">
        <f t="shared" si="86"/>
        <v>8</v>
      </c>
      <c r="AP142" s="11">
        <f t="shared" si="87"/>
        <v>1742</v>
      </c>
      <c r="AQ142" s="11">
        <f t="shared" si="88"/>
        <v>0</v>
      </c>
      <c r="AR142" s="11">
        <f t="shared" si="89"/>
        <v>0</v>
      </c>
      <c r="AS142" s="8">
        <f t="shared" si="95"/>
        <v>481599</v>
      </c>
      <c r="AT142" s="11">
        <f t="shared" si="90"/>
        <v>82790596</v>
      </c>
      <c r="AU142" s="2" t="str">
        <f t="shared" si="91"/>
        <v>GANA</v>
      </c>
      <c r="AV142" s="37">
        <f t="shared" si="92"/>
        <v>0</v>
      </c>
      <c r="AW142" s="37">
        <f t="shared" si="93"/>
        <v>0</v>
      </c>
      <c r="AX142" s="13"/>
    </row>
    <row r="143" spans="1:50" outlineLevel="1" x14ac:dyDescent="0.25">
      <c r="B143" s="2" t="s">
        <v>29</v>
      </c>
      <c r="C143" s="2">
        <v>2023</v>
      </c>
      <c r="D143" s="1">
        <v>29585</v>
      </c>
      <c r="E143" s="11">
        <v>3812404</v>
      </c>
      <c r="F143" s="1">
        <v>18090</v>
      </c>
      <c r="G143" s="11">
        <v>2485714</v>
      </c>
      <c r="H143" s="1">
        <v>53746</v>
      </c>
      <c r="I143" s="11">
        <v>8000153</v>
      </c>
      <c r="J143" s="1">
        <v>345241</v>
      </c>
      <c r="K143" s="11">
        <v>62475687</v>
      </c>
      <c r="L143" s="1">
        <v>14720</v>
      </c>
      <c r="M143" s="11">
        <v>2878505</v>
      </c>
      <c r="N143" s="1">
        <v>45860</v>
      </c>
      <c r="O143" s="11">
        <v>7001093</v>
      </c>
      <c r="P143" s="1">
        <v>33</v>
      </c>
      <c r="Q143" s="11">
        <v>7317</v>
      </c>
      <c r="R143" s="1">
        <v>0</v>
      </c>
      <c r="S143" s="11">
        <v>0</v>
      </c>
      <c r="T143" s="53">
        <f t="shared" si="77"/>
        <v>507275</v>
      </c>
      <c r="U143" s="54">
        <f t="shared" si="78"/>
        <v>86660873</v>
      </c>
      <c r="V143" s="2" t="s">
        <v>61</v>
      </c>
      <c r="W143" s="66"/>
      <c r="X143" s="66"/>
      <c r="Z143" s="30"/>
      <c r="AA143" s="30"/>
      <c r="AB143" s="31"/>
      <c r="AC143" s="32"/>
      <c r="AE143" s="2" t="s">
        <v>29</v>
      </c>
      <c r="AF143" s="2">
        <v>2023</v>
      </c>
      <c r="AG143" s="1">
        <f t="shared" si="94"/>
        <v>101421</v>
      </c>
      <c r="AH143" s="11">
        <f t="shared" si="79"/>
        <v>14298271</v>
      </c>
      <c r="AI143" s="1">
        <f t="shared" si="80"/>
        <v>345241</v>
      </c>
      <c r="AJ143" s="11">
        <f t="shared" si="81"/>
        <v>62475687</v>
      </c>
      <c r="AK143" s="8">
        <f t="shared" si="82"/>
        <v>14720</v>
      </c>
      <c r="AL143" s="11">
        <f t="shared" si="83"/>
        <v>2878505</v>
      </c>
      <c r="AM143" s="8">
        <f t="shared" si="84"/>
        <v>45860</v>
      </c>
      <c r="AN143" s="11">
        <f t="shared" si="85"/>
        <v>7001093</v>
      </c>
      <c r="AO143" s="8">
        <f t="shared" si="86"/>
        <v>33</v>
      </c>
      <c r="AP143" s="11">
        <f t="shared" si="87"/>
        <v>7317</v>
      </c>
      <c r="AQ143" s="11">
        <f t="shared" si="88"/>
        <v>0</v>
      </c>
      <c r="AR143" s="11">
        <f t="shared" si="89"/>
        <v>0</v>
      </c>
      <c r="AS143" s="8">
        <f t="shared" si="95"/>
        <v>507275</v>
      </c>
      <c r="AT143" s="11">
        <f t="shared" si="90"/>
        <v>86660873</v>
      </c>
      <c r="AU143" s="2" t="str">
        <f t="shared" si="91"/>
        <v>GANA</v>
      </c>
      <c r="AV143" s="37">
        <f t="shared" si="92"/>
        <v>0</v>
      </c>
      <c r="AW143" s="37">
        <f t="shared" si="93"/>
        <v>0</v>
      </c>
      <c r="AX143" s="13"/>
    </row>
    <row r="144" spans="1:50" outlineLevel="1" x14ac:dyDescent="0.25">
      <c r="B144" s="2" t="s">
        <v>30</v>
      </c>
      <c r="C144" s="2">
        <v>2023</v>
      </c>
      <c r="D144" s="1">
        <v>30356</v>
      </c>
      <c r="E144" s="11">
        <v>3974967</v>
      </c>
      <c r="F144" s="1">
        <v>14420</v>
      </c>
      <c r="G144" s="11">
        <v>2230745</v>
      </c>
      <c r="H144" s="1">
        <v>51396</v>
      </c>
      <c r="I144" s="11">
        <v>7661640</v>
      </c>
      <c r="J144" s="1">
        <v>349971</v>
      </c>
      <c r="K144" s="11">
        <v>63852900</v>
      </c>
      <c r="L144" s="1">
        <v>13134</v>
      </c>
      <c r="M144" s="11">
        <v>2618256</v>
      </c>
      <c r="N144" s="1">
        <v>44083</v>
      </c>
      <c r="O144" s="11">
        <v>6701690</v>
      </c>
      <c r="P144" s="1">
        <v>15</v>
      </c>
      <c r="Q144" s="11">
        <v>3535</v>
      </c>
      <c r="R144" s="1">
        <v>0</v>
      </c>
      <c r="S144" s="11">
        <v>0</v>
      </c>
      <c r="T144" s="53">
        <f t="shared" si="77"/>
        <v>503375</v>
      </c>
      <c r="U144" s="54">
        <f t="shared" si="78"/>
        <v>87043733</v>
      </c>
      <c r="V144" s="2" t="s">
        <v>61</v>
      </c>
      <c r="W144" s="66"/>
      <c r="X144" s="66"/>
      <c r="Z144" s="30"/>
      <c r="AA144" s="30"/>
      <c r="AB144" s="31"/>
      <c r="AC144" s="32"/>
      <c r="AE144" s="2" t="s">
        <v>30</v>
      </c>
      <c r="AF144" s="2">
        <v>2023</v>
      </c>
      <c r="AG144" s="1">
        <f t="shared" si="94"/>
        <v>96172</v>
      </c>
      <c r="AH144" s="11">
        <f t="shared" si="79"/>
        <v>13867352</v>
      </c>
      <c r="AI144" s="1">
        <f t="shared" si="80"/>
        <v>349971</v>
      </c>
      <c r="AJ144" s="11">
        <f t="shared" si="81"/>
        <v>63852900</v>
      </c>
      <c r="AK144" s="8">
        <f t="shared" si="82"/>
        <v>13134</v>
      </c>
      <c r="AL144" s="11">
        <f t="shared" si="83"/>
        <v>2618256</v>
      </c>
      <c r="AM144" s="8">
        <f t="shared" si="84"/>
        <v>44083</v>
      </c>
      <c r="AN144" s="11">
        <f t="shared" si="85"/>
        <v>6701690</v>
      </c>
      <c r="AO144" s="8">
        <f t="shared" si="86"/>
        <v>15</v>
      </c>
      <c r="AP144" s="11">
        <f t="shared" si="87"/>
        <v>3535</v>
      </c>
      <c r="AQ144" s="11">
        <f t="shared" si="88"/>
        <v>0</v>
      </c>
      <c r="AR144" s="11">
        <f t="shared" si="89"/>
        <v>0</v>
      </c>
      <c r="AS144" s="8">
        <f t="shared" si="95"/>
        <v>503375</v>
      </c>
      <c r="AT144" s="11">
        <f t="shared" si="90"/>
        <v>87043733</v>
      </c>
      <c r="AU144" s="2" t="str">
        <f t="shared" si="91"/>
        <v>GANA</v>
      </c>
      <c r="AV144" s="37">
        <f t="shared" si="92"/>
        <v>0</v>
      </c>
      <c r="AW144" s="37">
        <f t="shared" si="93"/>
        <v>0</v>
      </c>
    </row>
    <row r="145" spans="1:49" outlineLevel="1" x14ac:dyDescent="0.25">
      <c r="B145" s="2" t="s">
        <v>31</v>
      </c>
      <c r="C145" s="2">
        <v>2023</v>
      </c>
      <c r="D145" s="1">
        <v>36907</v>
      </c>
      <c r="E145" s="11">
        <v>4876557</v>
      </c>
      <c r="F145" s="1">
        <v>15578</v>
      </c>
      <c r="G145" s="11">
        <v>2489528</v>
      </c>
      <c r="H145" s="1">
        <v>52265</v>
      </c>
      <c r="I145" s="11">
        <v>7941193</v>
      </c>
      <c r="J145" s="1">
        <v>399732</v>
      </c>
      <c r="K145" s="11">
        <v>73945895</v>
      </c>
      <c r="L145" s="1">
        <v>14302</v>
      </c>
      <c r="M145" s="11">
        <v>2933481</v>
      </c>
      <c r="N145" s="1">
        <v>48595</v>
      </c>
      <c r="O145" s="11">
        <v>7832361</v>
      </c>
      <c r="P145" s="1">
        <v>11</v>
      </c>
      <c r="Q145" s="11">
        <v>2708</v>
      </c>
      <c r="R145" s="1">
        <v>0</v>
      </c>
      <c r="S145" s="11">
        <v>0</v>
      </c>
      <c r="T145" s="53">
        <f t="shared" si="77"/>
        <v>567390</v>
      </c>
      <c r="U145" s="54">
        <f t="shared" si="78"/>
        <v>100021723</v>
      </c>
      <c r="V145" s="2" t="s">
        <v>61</v>
      </c>
      <c r="W145" s="66"/>
      <c r="X145" s="66"/>
      <c r="Z145" s="30"/>
      <c r="AA145" s="30"/>
      <c r="AB145" s="31"/>
      <c r="AC145" s="32"/>
      <c r="AE145" s="2" t="s">
        <v>31</v>
      </c>
      <c r="AF145" s="2">
        <v>2023</v>
      </c>
      <c r="AG145" s="1">
        <f t="shared" si="94"/>
        <v>104750</v>
      </c>
      <c r="AH145" s="11">
        <f t="shared" si="79"/>
        <v>15307278</v>
      </c>
      <c r="AI145" s="1">
        <f t="shared" si="80"/>
        <v>399732</v>
      </c>
      <c r="AJ145" s="11">
        <f t="shared" si="81"/>
        <v>73945895</v>
      </c>
      <c r="AK145" s="8">
        <f t="shared" si="82"/>
        <v>14302</v>
      </c>
      <c r="AL145" s="11">
        <f t="shared" si="83"/>
        <v>2933481</v>
      </c>
      <c r="AM145" s="8">
        <f t="shared" si="84"/>
        <v>48595</v>
      </c>
      <c r="AN145" s="11">
        <f t="shared" si="85"/>
        <v>7832361</v>
      </c>
      <c r="AO145" s="8">
        <f t="shared" si="86"/>
        <v>11</v>
      </c>
      <c r="AP145" s="11">
        <f t="shared" si="87"/>
        <v>2708</v>
      </c>
      <c r="AQ145" s="11">
        <f t="shared" si="88"/>
        <v>0</v>
      </c>
      <c r="AR145" s="11">
        <f t="shared" si="89"/>
        <v>0</v>
      </c>
      <c r="AS145" s="8">
        <f t="shared" si="95"/>
        <v>567390</v>
      </c>
      <c r="AT145" s="11">
        <f t="shared" si="90"/>
        <v>100021723</v>
      </c>
      <c r="AU145" s="2" t="str">
        <f t="shared" si="91"/>
        <v>GANA</v>
      </c>
      <c r="AV145" s="37">
        <f t="shared" si="92"/>
        <v>0</v>
      </c>
      <c r="AW145" s="37">
        <f t="shared" si="93"/>
        <v>0</v>
      </c>
    </row>
    <row r="146" spans="1:49" outlineLevel="1" x14ac:dyDescent="0.25">
      <c r="AH146" s="9"/>
      <c r="AJ146" s="9"/>
      <c r="AL146" s="9"/>
      <c r="AN146" s="9"/>
      <c r="AO146" s="9"/>
      <c r="AP146" s="9"/>
      <c r="AQ146" s="9"/>
      <c r="AR146" s="9"/>
      <c r="AT146" s="9"/>
    </row>
    <row r="147" spans="1:49" outlineLevel="1" x14ac:dyDescent="0.25">
      <c r="B147" s="3" t="s">
        <v>12</v>
      </c>
      <c r="C147" s="3"/>
      <c r="D147" s="4">
        <f t="shared" ref="D147:U147" si="96">SUM(D134:D146)</f>
        <v>367321</v>
      </c>
      <c r="E147" s="12">
        <f t="shared" si="96"/>
        <v>46029910</v>
      </c>
      <c r="F147" s="4">
        <f t="shared" si="96"/>
        <v>149374</v>
      </c>
      <c r="G147" s="12">
        <f t="shared" si="96"/>
        <v>21600812</v>
      </c>
      <c r="H147" s="4">
        <f t="shared" si="96"/>
        <v>584630</v>
      </c>
      <c r="I147" s="12">
        <f t="shared" si="96"/>
        <v>88066942</v>
      </c>
      <c r="J147" s="4">
        <f t="shared" si="96"/>
        <v>3982280</v>
      </c>
      <c r="K147" s="12">
        <f t="shared" si="96"/>
        <v>708884985</v>
      </c>
      <c r="L147" s="4">
        <f t="shared" si="96"/>
        <v>160136</v>
      </c>
      <c r="M147" s="12">
        <f t="shared" si="96"/>
        <v>30829882</v>
      </c>
      <c r="N147" s="4">
        <f t="shared" si="96"/>
        <v>534724</v>
      </c>
      <c r="O147" s="12">
        <f t="shared" si="96"/>
        <v>81976549</v>
      </c>
      <c r="P147" s="4">
        <f t="shared" si="96"/>
        <v>117</v>
      </c>
      <c r="Q147" s="12">
        <f t="shared" si="96"/>
        <v>26882</v>
      </c>
      <c r="R147" s="4">
        <f t="shared" si="96"/>
        <v>0</v>
      </c>
      <c r="S147" s="12">
        <f t="shared" si="96"/>
        <v>0</v>
      </c>
      <c r="T147" s="4">
        <f t="shared" si="96"/>
        <v>5778582</v>
      </c>
      <c r="U147" s="12">
        <f t="shared" si="96"/>
        <v>977415962</v>
      </c>
      <c r="Z147" s="12" t="e">
        <f>AVERAGE(Z134:Z146)</f>
        <v>#DIV/0!</v>
      </c>
      <c r="AA147" s="12">
        <f t="shared" ref="AA147:AC147" si="97">AVERAGE(AA134:AA146)</f>
        <v>0</v>
      </c>
      <c r="AB147" s="12" t="e">
        <f t="shared" si="97"/>
        <v>#DIV/0!</v>
      </c>
      <c r="AC147" s="16">
        <f t="shared" si="97"/>
        <v>0</v>
      </c>
      <c r="AE147" s="3" t="s">
        <v>12</v>
      </c>
      <c r="AF147" s="3"/>
      <c r="AG147" s="4">
        <f t="shared" ref="AG147:AT147" si="98">SUM(AG134:AG146)</f>
        <v>1101325</v>
      </c>
      <c r="AH147" s="12">
        <f t="shared" si="98"/>
        <v>155697664</v>
      </c>
      <c r="AI147" s="4">
        <f t="shared" si="98"/>
        <v>3982280</v>
      </c>
      <c r="AJ147" s="12">
        <f t="shared" si="98"/>
        <v>708884985</v>
      </c>
      <c r="AK147" s="4">
        <f t="shared" si="98"/>
        <v>160136</v>
      </c>
      <c r="AL147" s="12">
        <f t="shared" si="98"/>
        <v>30829882</v>
      </c>
      <c r="AM147" s="4">
        <f t="shared" si="98"/>
        <v>534724</v>
      </c>
      <c r="AN147" s="12">
        <f t="shared" si="98"/>
        <v>81976549</v>
      </c>
      <c r="AO147" s="4">
        <f t="shared" si="98"/>
        <v>117</v>
      </c>
      <c r="AP147" s="12">
        <f t="shared" si="98"/>
        <v>26882</v>
      </c>
      <c r="AQ147" s="4">
        <f t="shared" si="98"/>
        <v>0</v>
      </c>
      <c r="AR147" s="12">
        <f t="shared" si="98"/>
        <v>0</v>
      </c>
      <c r="AS147" s="4">
        <f t="shared" si="98"/>
        <v>5778582</v>
      </c>
      <c r="AT147" s="12">
        <f t="shared" si="98"/>
        <v>977415962</v>
      </c>
    </row>
    <row r="148" spans="1:49" outlineLevel="1" x14ac:dyDescent="0.25">
      <c r="J148" s="46" t="str">
        <f>+$A$129</f>
        <v>Aforo e Ingreso - GANA</v>
      </c>
      <c r="K148" s="9" t="s">
        <v>84</v>
      </c>
      <c r="L148" s="15">
        <f>AVERAGE(L134:L145)</f>
        <v>13344.666666666666</v>
      </c>
      <c r="M148" s="60">
        <f>AVERAGE(M134:M145)</f>
        <v>2569156.8333333335</v>
      </c>
      <c r="T148" s="15">
        <f>AVERAGE(T134:T145)</f>
        <v>481548.5</v>
      </c>
      <c r="U148" s="28">
        <f>AVERAGE(U134:U145)</f>
        <v>81451330.166666672</v>
      </c>
    </row>
    <row r="149" spans="1:49" outlineLevel="1" x14ac:dyDescent="0.25">
      <c r="A149" s="67" t="s">
        <v>14</v>
      </c>
      <c r="J149" s="46" t="str">
        <f>+$A$129</f>
        <v>Aforo e Ingreso - GANA</v>
      </c>
      <c r="K149" s="9" t="s">
        <v>85</v>
      </c>
      <c r="L149" s="26">
        <f>+L148/$L$337</f>
        <v>9.9913336398899641E-2</v>
      </c>
      <c r="M149" s="36">
        <f>+M148/$M$337</f>
        <v>0.12765392396952388</v>
      </c>
      <c r="N149" s="26"/>
      <c r="O149" s="19"/>
      <c r="P149" s="19"/>
      <c r="Q149" s="19"/>
      <c r="R149" s="19"/>
      <c r="S149" s="19"/>
      <c r="T149" s="36">
        <f>+L148/T148</f>
        <v>2.7711988858166239E-2</v>
      </c>
      <c r="U149" s="62">
        <f>+M148/U148</f>
        <v>3.1542232988415221E-2</v>
      </c>
    </row>
    <row r="150" spans="1:49" outlineLevel="1" x14ac:dyDescent="0.25">
      <c r="A150" s="67" t="s">
        <v>36</v>
      </c>
      <c r="L150" s="26"/>
      <c r="M150" s="26"/>
      <c r="U150"/>
    </row>
    <row r="151" spans="1:49" outlineLevel="1" x14ac:dyDescent="0.25">
      <c r="B151" s="5"/>
      <c r="U151"/>
    </row>
    <row r="152" spans="1:49" outlineLevel="1" x14ac:dyDescent="0.25">
      <c r="D152" s="89" t="s">
        <v>15</v>
      </c>
      <c r="E152" s="90"/>
      <c r="F152" s="89" t="s">
        <v>71</v>
      </c>
      <c r="G152" s="90"/>
      <c r="H152" s="89" t="s">
        <v>16</v>
      </c>
      <c r="I152" s="90"/>
      <c r="J152" s="89" t="s">
        <v>17</v>
      </c>
      <c r="K152" s="93"/>
      <c r="L152" s="89" t="s">
        <v>18</v>
      </c>
      <c r="M152" s="93"/>
      <c r="N152" s="89" t="s">
        <v>13</v>
      </c>
      <c r="O152" s="93"/>
      <c r="P152" s="89" t="s">
        <v>34</v>
      </c>
      <c r="Q152" s="93"/>
      <c r="R152" s="89" t="s">
        <v>87</v>
      </c>
      <c r="S152" s="93"/>
      <c r="T152" s="89" t="s">
        <v>12</v>
      </c>
      <c r="U152" s="93"/>
      <c r="W152" s="13"/>
      <c r="AG152" s="89" t="s">
        <v>69</v>
      </c>
      <c r="AH152" s="90"/>
      <c r="AI152" s="89" t="s">
        <v>17</v>
      </c>
      <c r="AJ152" s="93"/>
      <c r="AK152" s="89" t="s">
        <v>18</v>
      </c>
      <c r="AL152" s="93"/>
      <c r="AM152" s="89" t="s">
        <v>13</v>
      </c>
      <c r="AN152" s="93"/>
      <c r="AO152" s="89" t="s">
        <v>34</v>
      </c>
      <c r="AP152" s="93"/>
      <c r="AQ152" s="89" t="s">
        <v>87</v>
      </c>
      <c r="AR152" s="93"/>
      <c r="AS152" s="89" t="s">
        <v>12</v>
      </c>
      <c r="AT152" s="93"/>
    </row>
    <row r="153" spans="1:49" outlineLevel="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T153" s="7" t="s">
        <v>2</v>
      </c>
      <c r="U153" s="10" t="s">
        <v>3</v>
      </c>
      <c r="AE153" s="7" t="s">
        <v>0</v>
      </c>
      <c r="AF153" s="7" t="s">
        <v>1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</row>
    <row r="154" spans="1:49" outlineLevel="1" x14ac:dyDescent="0.25">
      <c r="AH154" s="9"/>
      <c r="AJ154" s="9"/>
      <c r="AL154" s="9"/>
      <c r="AN154" s="9"/>
      <c r="AO154" s="9"/>
      <c r="AP154" s="9"/>
      <c r="AQ154" s="9"/>
      <c r="AR154" s="9"/>
      <c r="AT154" s="9"/>
    </row>
    <row r="155" spans="1:49" outlineLevel="1" x14ac:dyDescent="0.25">
      <c r="B155" s="2" t="s">
        <v>5</v>
      </c>
      <c r="C155" s="2">
        <v>2023</v>
      </c>
      <c r="D155" s="1">
        <v>19667</v>
      </c>
      <c r="E155" s="11">
        <v>2309083</v>
      </c>
      <c r="F155" s="1">
        <v>7379</v>
      </c>
      <c r="G155" s="11">
        <v>1110362</v>
      </c>
      <c r="H155" s="1">
        <v>6667</v>
      </c>
      <c r="I155" s="11">
        <v>1077180</v>
      </c>
      <c r="J155" s="45">
        <v>0</v>
      </c>
      <c r="K155" s="11">
        <v>0</v>
      </c>
      <c r="L155" s="45">
        <v>0</v>
      </c>
      <c r="M155" s="11">
        <v>0</v>
      </c>
      <c r="N155" s="1">
        <v>15300</v>
      </c>
      <c r="O155" s="11">
        <v>2713103</v>
      </c>
      <c r="P155" s="1">
        <v>0</v>
      </c>
      <c r="Q155" s="11">
        <v>0</v>
      </c>
      <c r="R155" s="1">
        <v>75</v>
      </c>
      <c r="S155" s="11">
        <v>6455</v>
      </c>
      <c r="T155" s="53">
        <f>N155+L155+J155+H155+D155+P155+F155+R155</f>
        <v>49088</v>
      </c>
      <c r="U155" s="54">
        <f t="shared" ref="U155:U166" si="99">O155+M155+K155+I155+E155+Q155+G155+S155</f>
        <v>7216183</v>
      </c>
      <c r="V155" s="2" t="s">
        <v>62</v>
      </c>
      <c r="AE155" s="2" t="s">
        <v>5</v>
      </c>
      <c r="AF155" s="2">
        <v>2023</v>
      </c>
      <c r="AG155" s="1">
        <f t="shared" ref="AG155:AH166" si="100">D155+H155+F155</f>
        <v>33713</v>
      </c>
      <c r="AH155" s="11">
        <f t="shared" si="100"/>
        <v>4496625</v>
      </c>
      <c r="AI155" s="1">
        <f t="shared" ref="AI155:AR166" si="101">+J155</f>
        <v>0</v>
      </c>
      <c r="AJ155" s="11">
        <f t="shared" si="101"/>
        <v>0</v>
      </c>
      <c r="AK155" s="8">
        <f t="shared" si="101"/>
        <v>0</v>
      </c>
      <c r="AL155" s="11">
        <f t="shared" si="101"/>
        <v>0</v>
      </c>
      <c r="AM155" s="8">
        <f t="shared" si="101"/>
        <v>15300</v>
      </c>
      <c r="AN155" s="11">
        <f t="shared" si="101"/>
        <v>2713103</v>
      </c>
      <c r="AO155" s="8">
        <f t="shared" si="101"/>
        <v>0</v>
      </c>
      <c r="AP155" s="11">
        <f t="shared" si="101"/>
        <v>0</v>
      </c>
      <c r="AQ155" s="11">
        <f t="shared" si="101"/>
        <v>75</v>
      </c>
      <c r="AR155" s="11">
        <f t="shared" si="101"/>
        <v>6455</v>
      </c>
      <c r="AS155" s="8">
        <f>AO155+AM155+AK155+AI155+AG155+AQ155</f>
        <v>49088</v>
      </c>
      <c r="AT155" s="11">
        <f t="shared" ref="AT155:AT166" si="102">AP155+AN155+AL155+AJ155+AH155+AR155</f>
        <v>7216183</v>
      </c>
      <c r="AU155" s="2" t="str">
        <f t="shared" ref="AU155:AU166" si="103">+V155</f>
        <v>CAMS</v>
      </c>
      <c r="AV155" s="37">
        <f t="shared" ref="AV155:AW166" si="104">+AS155-T155</f>
        <v>0</v>
      </c>
      <c r="AW155" s="37">
        <f t="shared" si="104"/>
        <v>0</v>
      </c>
    </row>
    <row r="156" spans="1:49" outlineLevel="1" x14ac:dyDescent="0.25">
      <c r="B156" s="2" t="s">
        <v>6</v>
      </c>
      <c r="C156" s="2">
        <v>2023</v>
      </c>
      <c r="D156" s="1">
        <v>18201</v>
      </c>
      <c r="E156" s="11">
        <v>2386736</v>
      </c>
      <c r="F156" s="1">
        <v>7275</v>
      </c>
      <c r="G156" s="11">
        <v>1162276</v>
      </c>
      <c r="H156" s="1">
        <v>6444</v>
      </c>
      <c r="I156" s="11">
        <v>1116446</v>
      </c>
      <c r="J156" s="45">
        <v>0</v>
      </c>
      <c r="K156" s="11">
        <v>0</v>
      </c>
      <c r="L156" s="45">
        <v>0</v>
      </c>
      <c r="M156" s="11">
        <v>0</v>
      </c>
      <c r="N156" s="1">
        <v>13600</v>
      </c>
      <c r="O156" s="11">
        <v>2625479</v>
      </c>
      <c r="P156" s="1">
        <v>0</v>
      </c>
      <c r="Q156" s="11">
        <v>0</v>
      </c>
      <c r="R156" s="1">
        <v>84</v>
      </c>
      <c r="S156" s="11">
        <v>8020</v>
      </c>
      <c r="T156" s="53">
        <f t="shared" ref="T156:T166" si="105">N156+L156+J156+H156+D156+P156+F156+R156</f>
        <v>45604</v>
      </c>
      <c r="U156" s="54">
        <f t="shared" si="99"/>
        <v>7298957</v>
      </c>
      <c r="V156" s="2" t="s">
        <v>62</v>
      </c>
      <c r="AE156" s="2" t="s">
        <v>6</v>
      </c>
      <c r="AF156" s="2">
        <v>2023</v>
      </c>
      <c r="AG156" s="1">
        <f t="shared" si="100"/>
        <v>31920</v>
      </c>
      <c r="AH156" s="11">
        <f t="shared" si="100"/>
        <v>4665458</v>
      </c>
      <c r="AI156" s="1">
        <f t="shared" si="101"/>
        <v>0</v>
      </c>
      <c r="AJ156" s="11">
        <f t="shared" si="101"/>
        <v>0</v>
      </c>
      <c r="AK156" s="8">
        <f t="shared" si="101"/>
        <v>0</v>
      </c>
      <c r="AL156" s="11">
        <f t="shared" si="101"/>
        <v>0</v>
      </c>
      <c r="AM156" s="8">
        <f t="shared" si="101"/>
        <v>13600</v>
      </c>
      <c r="AN156" s="11">
        <f t="shared" si="101"/>
        <v>2625479</v>
      </c>
      <c r="AO156" s="8">
        <f t="shared" si="101"/>
        <v>0</v>
      </c>
      <c r="AP156" s="11">
        <f t="shared" si="101"/>
        <v>0</v>
      </c>
      <c r="AQ156" s="11">
        <f t="shared" si="101"/>
        <v>84</v>
      </c>
      <c r="AR156" s="11">
        <f t="shared" si="101"/>
        <v>8020</v>
      </c>
      <c r="AS156" s="8">
        <f t="shared" ref="AS156:AS166" si="106">AO156+AM156+AK156+AI156+AG156+AQ156</f>
        <v>45604</v>
      </c>
      <c r="AT156" s="11">
        <f t="shared" si="102"/>
        <v>7298957</v>
      </c>
      <c r="AU156" s="2" t="str">
        <f t="shared" si="103"/>
        <v>CAMS</v>
      </c>
      <c r="AV156" s="37">
        <f t="shared" si="104"/>
        <v>0</v>
      </c>
      <c r="AW156" s="37">
        <f t="shared" si="104"/>
        <v>0</v>
      </c>
    </row>
    <row r="157" spans="1:49" outlineLevel="1" x14ac:dyDescent="0.25">
      <c r="B157" s="2" t="s">
        <v>7</v>
      </c>
      <c r="C157" s="2">
        <v>2023</v>
      </c>
      <c r="D157" s="1">
        <v>22156</v>
      </c>
      <c r="E157" s="11">
        <v>2975690</v>
      </c>
      <c r="F157" s="1">
        <v>9413</v>
      </c>
      <c r="G157" s="11">
        <v>1503890</v>
      </c>
      <c r="H157" s="1">
        <v>7888</v>
      </c>
      <c r="I157" s="11">
        <v>1373067</v>
      </c>
      <c r="J157" s="45">
        <v>0</v>
      </c>
      <c r="K157" s="11">
        <v>0</v>
      </c>
      <c r="L157" s="45">
        <v>0</v>
      </c>
      <c r="M157" s="11">
        <v>0</v>
      </c>
      <c r="N157" s="1">
        <v>15126</v>
      </c>
      <c r="O157" s="11">
        <v>2989797</v>
      </c>
      <c r="P157" s="1">
        <v>0</v>
      </c>
      <c r="Q157" s="11">
        <v>0</v>
      </c>
      <c r="R157" s="1">
        <v>140</v>
      </c>
      <c r="S157" s="11">
        <v>12901</v>
      </c>
      <c r="T157" s="53">
        <f t="shared" si="105"/>
        <v>54723</v>
      </c>
      <c r="U157" s="54">
        <f t="shared" si="99"/>
        <v>8855345</v>
      </c>
      <c r="V157" s="2" t="s">
        <v>62</v>
      </c>
      <c r="AE157" s="2" t="s">
        <v>7</v>
      </c>
      <c r="AF157" s="2">
        <v>2023</v>
      </c>
      <c r="AG157" s="1">
        <f t="shared" si="100"/>
        <v>39457</v>
      </c>
      <c r="AH157" s="11">
        <f t="shared" si="100"/>
        <v>5852647</v>
      </c>
      <c r="AI157" s="1">
        <f t="shared" si="101"/>
        <v>0</v>
      </c>
      <c r="AJ157" s="11">
        <f t="shared" si="101"/>
        <v>0</v>
      </c>
      <c r="AK157" s="8">
        <f t="shared" si="101"/>
        <v>0</v>
      </c>
      <c r="AL157" s="11">
        <f t="shared" si="101"/>
        <v>0</v>
      </c>
      <c r="AM157" s="8">
        <f t="shared" si="101"/>
        <v>15126</v>
      </c>
      <c r="AN157" s="11">
        <f t="shared" si="101"/>
        <v>2989797</v>
      </c>
      <c r="AO157" s="8">
        <f t="shared" si="101"/>
        <v>0</v>
      </c>
      <c r="AP157" s="11">
        <f t="shared" si="101"/>
        <v>0</v>
      </c>
      <c r="AQ157" s="11">
        <f t="shared" si="101"/>
        <v>140</v>
      </c>
      <c r="AR157" s="11">
        <f t="shared" si="101"/>
        <v>12901</v>
      </c>
      <c r="AS157" s="8">
        <f t="shared" si="106"/>
        <v>54723</v>
      </c>
      <c r="AT157" s="11">
        <f t="shared" si="102"/>
        <v>8855345</v>
      </c>
      <c r="AU157" s="2" t="str">
        <f t="shared" si="103"/>
        <v>CAMS</v>
      </c>
      <c r="AV157" s="37">
        <f t="shared" si="104"/>
        <v>0</v>
      </c>
      <c r="AW157" s="37">
        <f t="shared" si="104"/>
        <v>0</v>
      </c>
    </row>
    <row r="158" spans="1:49" outlineLevel="1" x14ac:dyDescent="0.25">
      <c r="B158" s="2" t="s">
        <v>8</v>
      </c>
      <c r="C158" s="2">
        <v>2023</v>
      </c>
      <c r="D158" s="1">
        <v>22703</v>
      </c>
      <c r="E158" s="11">
        <v>2932783</v>
      </c>
      <c r="F158" s="1">
        <v>9255</v>
      </c>
      <c r="G158" s="11">
        <v>1493093</v>
      </c>
      <c r="H158" s="1">
        <v>7561</v>
      </c>
      <c r="I158" s="11">
        <v>1368171</v>
      </c>
      <c r="J158" s="45">
        <v>0</v>
      </c>
      <c r="K158" s="11">
        <v>0</v>
      </c>
      <c r="L158" s="45">
        <v>0</v>
      </c>
      <c r="M158" s="11">
        <v>0</v>
      </c>
      <c r="N158" s="1">
        <v>14091</v>
      </c>
      <c r="O158" s="11">
        <v>2729745</v>
      </c>
      <c r="P158" s="1">
        <v>0</v>
      </c>
      <c r="Q158" s="11">
        <v>0</v>
      </c>
      <c r="R158" s="1">
        <v>212</v>
      </c>
      <c r="S158" s="11">
        <v>18114</v>
      </c>
      <c r="T158" s="53">
        <f t="shared" si="105"/>
        <v>53822</v>
      </c>
      <c r="U158" s="54">
        <f t="shared" si="99"/>
        <v>8541906</v>
      </c>
      <c r="V158" s="2" t="s">
        <v>62</v>
      </c>
      <c r="AE158" s="2" t="s">
        <v>8</v>
      </c>
      <c r="AF158" s="2">
        <v>2023</v>
      </c>
      <c r="AG158" s="1">
        <f t="shared" si="100"/>
        <v>39519</v>
      </c>
      <c r="AH158" s="11">
        <f t="shared" si="100"/>
        <v>5794047</v>
      </c>
      <c r="AI158" s="1">
        <f t="shared" si="101"/>
        <v>0</v>
      </c>
      <c r="AJ158" s="11">
        <f t="shared" si="101"/>
        <v>0</v>
      </c>
      <c r="AK158" s="8">
        <f t="shared" si="101"/>
        <v>0</v>
      </c>
      <c r="AL158" s="11">
        <f t="shared" si="101"/>
        <v>0</v>
      </c>
      <c r="AM158" s="8">
        <f t="shared" si="101"/>
        <v>14091</v>
      </c>
      <c r="AN158" s="11">
        <f t="shared" si="101"/>
        <v>2729745</v>
      </c>
      <c r="AO158" s="8">
        <f t="shared" si="101"/>
        <v>0</v>
      </c>
      <c r="AP158" s="11">
        <f t="shared" si="101"/>
        <v>0</v>
      </c>
      <c r="AQ158" s="11">
        <f t="shared" si="101"/>
        <v>212</v>
      </c>
      <c r="AR158" s="11">
        <f t="shared" si="101"/>
        <v>18114</v>
      </c>
      <c r="AS158" s="8">
        <f t="shared" si="106"/>
        <v>53822</v>
      </c>
      <c r="AT158" s="11">
        <f t="shared" si="102"/>
        <v>8541906</v>
      </c>
      <c r="AU158" s="2" t="str">
        <f t="shared" si="103"/>
        <v>CAMS</v>
      </c>
      <c r="AV158" s="37">
        <f t="shared" si="104"/>
        <v>0</v>
      </c>
      <c r="AW158" s="37">
        <f t="shared" si="104"/>
        <v>0</v>
      </c>
    </row>
    <row r="159" spans="1:49" outlineLevel="1" x14ac:dyDescent="0.25">
      <c r="B159" s="2" t="s">
        <v>9</v>
      </c>
      <c r="C159" s="2">
        <v>2023</v>
      </c>
      <c r="D159" s="1">
        <v>22736</v>
      </c>
      <c r="E159" s="11">
        <v>3028775</v>
      </c>
      <c r="F159" s="1">
        <v>9857</v>
      </c>
      <c r="G159" s="11">
        <v>1581703</v>
      </c>
      <c r="H159" s="1">
        <v>7928</v>
      </c>
      <c r="I159" s="11">
        <v>1430291</v>
      </c>
      <c r="J159" s="45">
        <v>0</v>
      </c>
      <c r="K159" s="11">
        <v>0</v>
      </c>
      <c r="L159" s="45">
        <v>0</v>
      </c>
      <c r="M159" s="11">
        <v>0</v>
      </c>
      <c r="N159" s="1">
        <v>15916</v>
      </c>
      <c r="O159" s="11">
        <v>3108371</v>
      </c>
      <c r="P159" s="1">
        <v>0</v>
      </c>
      <c r="Q159" s="11">
        <v>0</v>
      </c>
      <c r="R159" s="1">
        <v>349</v>
      </c>
      <c r="S159" s="11">
        <v>35552</v>
      </c>
      <c r="T159" s="53">
        <f t="shared" si="105"/>
        <v>56786</v>
      </c>
      <c r="U159" s="54">
        <f t="shared" si="99"/>
        <v>9184692</v>
      </c>
      <c r="V159" s="2" t="s">
        <v>62</v>
      </c>
      <c r="AE159" s="2" t="s">
        <v>9</v>
      </c>
      <c r="AF159" s="2">
        <v>2023</v>
      </c>
      <c r="AG159" s="1">
        <f t="shared" si="100"/>
        <v>40521</v>
      </c>
      <c r="AH159" s="11">
        <f t="shared" si="100"/>
        <v>6040769</v>
      </c>
      <c r="AI159" s="1">
        <f t="shared" si="101"/>
        <v>0</v>
      </c>
      <c r="AJ159" s="11">
        <f t="shared" si="101"/>
        <v>0</v>
      </c>
      <c r="AK159" s="8">
        <f t="shared" si="101"/>
        <v>0</v>
      </c>
      <c r="AL159" s="11">
        <f t="shared" si="101"/>
        <v>0</v>
      </c>
      <c r="AM159" s="8">
        <f t="shared" si="101"/>
        <v>15916</v>
      </c>
      <c r="AN159" s="11">
        <f t="shared" si="101"/>
        <v>3108371</v>
      </c>
      <c r="AO159" s="8">
        <f t="shared" si="101"/>
        <v>0</v>
      </c>
      <c r="AP159" s="11">
        <f t="shared" si="101"/>
        <v>0</v>
      </c>
      <c r="AQ159" s="11">
        <f t="shared" si="101"/>
        <v>349</v>
      </c>
      <c r="AR159" s="11">
        <f t="shared" si="101"/>
        <v>35552</v>
      </c>
      <c r="AS159" s="8">
        <f t="shared" si="106"/>
        <v>56786</v>
      </c>
      <c r="AT159" s="11">
        <f t="shared" si="102"/>
        <v>9184692</v>
      </c>
      <c r="AU159" s="2" t="str">
        <f t="shared" si="103"/>
        <v>CAMS</v>
      </c>
      <c r="AV159" s="37">
        <f t="shared" si="104"/>
        <v>0</v>
      </c>
      <c r="AW159" s="37">
        <f t="shared" si="104"/>
        <v>0</v>
      </c>
    </row>
    <row r="160" spans="1:49" outlineLevel="1" x14ac:dyDescent="0.25">
      <c r="B160" s="2" t="s">
        <v>10</v>
      </c>
      <c r="C160" s="2">
        <v>2023</v>
      </c>
      <c r="D160" s="1">
        <v>21454</v>
      </c>
      <c r="E160" s="11">
        <v>2788718</v>
      </c>
      <c r="F160" s="1">
        <v>10173</v>
      </c>
      <c r="G160" s="11">
        <v>1704288</v>
      </c>
      <c r="H160" s="1">
        <v>7808</v>
      </c>
      <c r="I160" s="11">
        <v>1415711</v>
      </c>
      <c r="J160" s="45">
        <v>0</v>
      </c>
      <c r="K160" s="11">
        <v>0</v>
      </c>
      <c r="L160" s="45">
        <v>0</v>
      </c>
      <c r="M160" s="11">
        <v>0</v>
      </c>
      <c r="N160" s="1">
        <v>15511</v>
      </c>
      <c r="O160" s="11">
        <v>3038347</v>
      </c>
      <c r="P160" s="1">
        <v>0</v>
      </c>
      <c r="Q160" s="11">
        <v>0</v>
      </c>
      <c r="R160" s="1">
        <v>302</v>
      </c>
      <c r="S160" s="11">
        <v>30786</v>
      </c>
      <c r="T160" s="53">
        <f t="shared" si="105"/>
        <v>55248</v>
      </c>
      <c r="U160" s="54">
        <f t="shared" si="99"/>
        <v>8977850</v>
      </c>
      <c r="V160" s="2" t="s">
        <v>62</v>
      </c>
      <c r="AE160" s="2" t="s">
        <v>10</v>
      </c>
      <c r="AF160" s="2">
        <v>2023</v>
      </c>
      <c r="AG160" s="1">
        <f t="shared" si="100"/>
        <v>39435</v>
      </c>
      <c r="AH160" s="11">
        <f t="shared" si="100"/>
        <v>5908717</v>
      </c>
      <c r="AI160" s="1">
        <f t="shared" si="101"/>
        <v>0</v>
      </c>
      <c r="AJ160" s="11">
        <f t="shared" si="101"/>
        <v>0</v>
      </c>
      <c r="AK160" s="8">
        <f t="shared" si="101"/>
        <v>0</v>
      </c>
      <c r="AL160" s="11">
        <f t="shared" si="101"/>
        <v>0</v>
      </c>
      <c r="AM160" s="8">
        <f t="shared" si="101"/>
        <v>15511</v>
      </c>
      <c r="AN160" s="11">
        <f t="shared" si="101"/>
        <v>3038347</v>
      </c>
      <c r="AO160" s="8">
        <f t="shared" si="101"/>
        <v>0</v>
      </c>
      <c r="AP160" s="11">
        <f t="shared" si="101"/>
        <v>0</v>
      </c>
      <c r="AQ160" s="11">
        <f t="shared" si="101"/>
        <v>302</v>
      </c>
      <c r="AR160" s="11">
        <f t="shared" si="101"/>
        <v>30786</v>
      </c>
      <c r="AS160" s="8">
        <f t="shared" si="106"/>
        <v>55248</v>
      </c>
      <c r="AT160" s="11">
        <f t="shared" si="102"/>
        <v>8977850</v>
      </c>
      <c r="AU160" s="2" t="str">
        <f t="shared" si="103"/>
        <v>CAMS</v>
      </c>
      <c r="AV160" s="37">
        <f t="shared" si="104"/>
        <v>0</v>
      </c>
      <c r="AW160" s="37">
        <f t="shared" si="104"/>
        <v>0</v>
      </c>
    </row>
    <row r="161" spans="1:49" outlineLevel="1" x14ac:dyDescent="0.25">
      <c r="B161" s="2" t="s">
        <v>11</v>
      </c>
      <c r="C161" s="2">
        <v>2023</v>
      </c>
      <c r="D161" s="1">
        <v>23942</v>
      </c>
      <c r="E161" s="11">
        <v>3031267</v>
      </c>
      <c r="F161" s="1">
        <v>9709</v>
      </c>
      <c r="G161" s="11">
        <v>1631888</v>
      </c>
      <c r="H161" s="1">
        <v>8714</v>
      </c>
      <c r="I161" s="11">
        <v>1579668</v>
      </c>
      <c r="J161" s="45">
        <v>0</v>
      </c>
      <c r="K161" s="11">
        <v>0</v>
      </c>
      <c r="L161" s="45">
        <v>0</v>
      </c>
      <c r="M161" s="11">
        <v>0</v>
      </c>
      <c r="N161" s="1">
        <v>15755</v>
      </c>
      <c r="O161" s="11">
        <v>3049561</v>
      </c>
      <c r="P161" s="1">
        <v>26</v>
      </c>
      <c r="Q161" s="11">
        <v>4293</v>
      </c>
      <c r="R161" s="1">
        <v>322</v>
      </c>
      <c r="S161" s="11">
        <v>34507</v>
      </c>
      <c r="T161" s="53">
        <f t="shared" si="105"/>
        <v>58468</v>
      </c>
      <c r="U161" s="54">
        <f t="shared" si="99"/>
        <v>9331184</v>
      </c>
      <c r="V161" s="2" t="s">
        <v>62</v>
      </c>
      <c r="AE161" s="2" t="s">
        <v>11</v>
      </c>
      <c r="AF161" s="2">
        <v>2023</v>
      </c>
      <c r="AG161" s="1">
        <f t="shared" si="100"/>
        <v>42365</v>
      </c>
      <c r="AH161" s="11">
        <f t="shared" si="100"/>
        <v>6242823</v>
      </c>
      <c r="AI161" s="1">
        <f t="shared" si="101"/>
        <v>0</v>
      </c>
      <c r="AJ161" s="11">
        <f t="shared" si="101"/>
        <v>0</v>
      </c>
      <c r="AK161" s="8">
        <f t="shared" si="101"/>
        <v>0</v>
      </c>
      <c r="AL161" s="11">
        <f t="shared" si="101"/>
        <v>0</v>
      </c>
      <c r="AM161" s="8">
        <f t="shared" si="101"/>
        <v>15755</v>
      </c>
      <c r="AN161" s="11">
        <f t="shared" si="101"/>
        <v>3049561</v>
      </c>
      <c r="AO161" s="8">
        <f t="shared" si="101"/>
        <v>26</v>
      </c>
      <c r="AP161" s="11">
        <f t="shared" si="101"/>
        <v>4293</v>
      </c>
      <c r="AQ161" s="11">
        <f t="shared" si="101"/>
        <v>322</v>
      </c>
      <c r="AR161" s="11">
        <f t="shared" si="101"/>
        <v>34507</v>
      </c>
      <c r="AS161" s="8">
        <f t="shared" si="106"/>
        <v>58468</v>
      </c>
      <c r="AT161" s="11">
        <f t="shared" si="102"/>
        <v>9331184</v>
      </c>
      <c r="AU161" s="2" t="str">
        <f t="shared" si="103"/>
        <v>CAMS</v>
      </c>
      <c r="AV161" s="37">
        <f t="shared" si="104"/>
        <v>0</v>
      </c>
      <c r="AW161" s="37">
        <f t="shared" si="104"/>
        <v>0</v>
      </c>
    </row>
    <row r="162" spans="1:49" outlineLevel="1" x14ac:dyDescent="0.25">
      <c r="B162" s="2" t="s">
        <v>4</v>
      </c>
      <c r="C162" s="2">
        <v>2023</v>
      </c>
      <c r="D162" s="1">
        <v>25589</v>
      </c>
      <c r="E162" s="11">
        <v>3241856</v>
      </c>
      <c r="F162" s="1">
        <v>10555</v>
      </c>
      <c r="G162" s="11">
        <v>1791468</v>
      </c>
      <c r="H162" s="1">
        <v>9749</v>
      </c>
      <c r="I162" s="11">
        <v>1773627</v>
      </c>
      <c r="J162" s="45">
        <v>0</v>
      </c>
      <c r="K162" s="11">
        <v>0</v>
      </c>
      <c r="L162" s="45">
        <v>0</v>
      </c>
      <c r="M162" s="11">
        <v>0</v>
      </c>
      <c r="N162" s="1">
        <v>16338</v>
      </c>
      <c r="O162" s="11">
        <v>3191786</v>
      </c>
      <c r="P162" s="1">
        <v>23</v>
      </c>
      <c r="Q162" s="11">
        <v>4742</v>
      </c>
      <c r="R162" s="1">
        <v>311</v>
      </c>
      <c r="S162" s="11">
        <v>35991</v>
      </c>
      <c r="T162" s="53">
        <f t="shared" si="105"/>
        <v>62565</v>
      </c>
      <c r="U162" s="54">
        <f t="shared" si="99"/>
        <v>10039470</v>
      </c>
      <c r="V162" s="2" t="s">
        <v>62</v>
      </c>
      <c r="AE162" s="2" t="s">
        <v>4</v>
      </c>
      <c r="AF162" s="2">
        <v>2023</v>
      </c>
      <c r="AG162" s="1">
        <f t="shared" si="100"/>
        <v>45893</v>
      </c>
      <c r="AH162" s="11">
        <f t="shared" si="100"/>
        <v>6806951</v>
      </c>
      <c r="AI162" s="1">
        <f t="shared" si="101"/>
        <v>0</v>
      </c>
      <c r="AJ162" s="11">
        <f t="shared" si="101"/>
        <v>0</v>
      </c>
      <c r="AK162" s="8">
        <f t="shared" si="101"/>
        <v>0</v>
      </c>
      <c r="AL162" s="11">
        <f t="shared" si="101"/>
        <v>0</v>
      </c>
      <c r="AM162" s="8">
        <f t="shared" si="101"/>
        <v>16338</v>
      </c>
      <c r="AN162" s="11">
        <f t="shared" si="101"/>
        <v>3191786</v>
      </c>
      <c r="AO162" s="8">
        <f t="shared" si="101"/>
        <v>23</v>
      </c>
      <c r="AP162" s="11">
        <f t="shared" si="101"/>
        <v>4742</v>
      </c>
      <c r="AQ162" s="11">
        <f t="shared" si="101"/>
        <v>311</v>
      </c>
      <c r="AR162" s="11">
        <f t="shared" si="101"/>
        <v>35991</v>
      </c>
      <c r="AS162" s="8">
        <f t="shared" si="106"/>
        <v>62565</v>
      </c>
      <c r="AT162" s="11">
        <f t="shared" si="102"/>
        <v>10039470</v>
      </c>
      <c r="AU162" s="2" t="str">
        <f t="shared" si="103"/>
        <v>CAMS</v>
      </c>
      <c r="AV162" s="37">
        <f t="shared" si="104"/>
        <v>0</v>
      </c>
      <c r="AW162" s="37">
        <f t="shared" si="104"/>
        <v>0</v>
      </c>
    </row>
    <row r="163" spans="1:49" outlineLevel="1" x14ac:dyDescent="0.25">
      <c r="B163" s="2" t="s">
        <v>28</v>
      </c>
      <c r="C163" s="2">
        <v>2023</v>
      </c>
      <c r="D163" s="1">
        <v>23287</v>
      </c>
      <c r="E163" s="11">
        <v>2951350</v>
      </c>
      <c r="F163" s="1">
        <v>9620</v>
      </c>
      <c r="G163" s="11">
        <v>1602487</v>
      </c>
      <c r="H163" s="1">
        <v>9821</v>
      </c>
      <c r="I163" s="11">
        <v>1825244</v>
      </c>
      <c r="J163" s="45">
        <v>0</v>
      </c>
      <c r="K163" s="11">
        <v>0</v>
      </c>
      <c r="L163" s="45">
        <v>0</v>
      </c>
      <c r="M163" s="11">
        <v>0</v>
      </c>
      <c r="N163" s="1">
        <v>14763</v>
      </c>
      <c r="O163" s="11">
        <v>2911213</v>
      </c>
      <c r="P163" s="1">
        <v>0</v>
      </c>
      <c r="Q163" s="11">
        <v>0</v>
      </c>
      <c r="R163" s="1">
        <v>282</v>
      </c>
      <c r="S163" s="11">
        <v>31121</v>
      </c>
      <c r="T163" s="53">
        <f t="shared" si="105"/>
        <v>57773</v>
      </c>
      <c r="U163" s="54">
        <f t="shared" si="99"/>
        <v>9321415</v>
      </c>
      <c r="V163" s="2" t="s">
        <v>62</v>
      </c>
      <c r="AE163" s="2" t="s">
        <v>28</v>
      </c>
      <c r="AF163" s="2">
        <v>2023</v>
      </c>
      <c r="AG163" s="1">
        <f t="shared" si="100"/>
        <v>42728</v>
      </c>
      <c r="AH163" s="11">
        <f t="shared" si="100"/>
        <v>6379081</v>
      </c>
      <c r="AI163" s="1">
        <f t="shared" si="101"/>
        <v>0</v>
      </c>
      <c r="AJ163" s="11">
        <f t="shared" si="101"/>
        <v>0</v>
      </c>
      <c r="AK163" s="8">
        <f t="shared" si="101"/>
        <v>0</v>
      </c>
      <c r="AL163" s="11">
        <f t="shared" si="101"/>
        <v>0</v>
      </c>
      <c r="AM163" s="8">
        <f t="shared" si="101"/>
        <v>14763</v>
      </c>
      <c r="AN163" s="11">
        <f t="shared" si="101"/>
        <v>2911213</v>
      </c>
      <c r="AO163" s="8">
        <f t="shared" si="101"/>
        <v>0</v>
      </c>
      <c r="AP163" s="11">
        <f t="shared" si="101"/>
        <v>0</v>
      </c>
      <c r="AQ163" s="11">
        <f t="shared" si="101"/>
        <v>282</v>
      </c>
      <c r="AR163" s="11">
        <f t="shared" si="101"/>
        <v>31121</v>
      </c>
      <c r="AS163" s="8">
        <f t="shared" si="106"/>
        <v>57773</v>
      </c>
      <c r="AT163" s="11">
        <f t="shared" si="102"/>
        <v>9321415</v>
      </c>
      <c r="AU163" s="2" t="str">
        <f t="shared" si="103"/>
        <v>CAMS</v>
      </c>
      <c r="AV163" s="37">
        <f t="shared" si="104"/>
        <v>0</v>
      </c>
      <c r="AW163" s="37">
        <f t="shared" si="104"/>
        <v>0</v>
      </c>
    </row>
    <row r="164" spans="1:49" outlineLevel="1" x14ac:dyDescent="0.25">
      <c r="B164" s="2" t="s">
        <v>29</v>
      </c>
      <c r="C164" s="2">
        <v>2023</v>
      </c>
      <c r="D164" s="1">
        <v>24513</v>
      </c>
      <c r="E164" s="11">
        <v>3200330</v>
      </c>
      <c r="F164" s="1">
        <v>11229</v>
      </c>
      <c r="G164" s="11">
        <v>1873216</v>
      </c>
      <c r="H164" s="1">
        <v>12282</v>
      </c>
      <c r="I164" s="11">
        <v>2377086</v>
      </c>
      <c r="J164" s="45">
        <v>0</v>
      </c>
      <c r="K164" s="11">
        <v>0</v>
      </c>
      <c r="L164" s="45">
        <v>0</v>
      </c>
      <c r="M164" s="11">
        <v>0</v>
      </c>
      <c r="N164" s="1">
        <v>16605</v>
      </c>
      <c r="O164" s="11">
        <v>3305143</v>
      </c>
      <c r="P164" s="1">
        <v>31</v>
      </c>
      <c r="Q164" s="11">
        <v>6963</v>
      </c>
      <c r="R164" s="1">
        <v>313</v>
      </c>
      <c r="S164" s="11">
        <v>36931</v>
      </c>
      <c r="T164" s="53">
        <f>N164+L164+J164+H164+D164+P164+F164+R164</f>
        <v>64973</v>
      </c>
      <c r="U164" s="54">
        <f>O164+M164+K164+I164+E164+Q164+G164+S164</f>
        <v>10799669</v>
      </c>
      <c r="V164" s="2" t="s">
        <v>62</v>
      </c>
      <c r="AE164" s="2" t="s">
        <v>29</v>
      </c>
      <c r="AF164" s="2">
        <v>2023</v>
      </c>
      <c r="AG164" s="1">
        <f t="shared" si="100"/>
        <v>48024</v>
      </c>
      <c r="AH164" s="11">
        <f t="shared" si="100"/>
        <v>7450632</v>
      </c>
      <c r="AI164" s="1">
        <f t="shared" si="101"/>
        <v>0</v>
      </c>
      <c r="AJ164" s="11">
        <f t="shared" si="101"/>
        <v>0</v>
      </c>
      <c r="AK164" s="8">
        <f t="shared" si="101"/>
        <v>0</v>
      </c>
      <c r="AL164" s="11">
        <f t="shared" si="101"/>
        <v>0</v>
      </c>
      <c r="AM164" s="8">
        <f t="shared" si="101"/>
        <v>16605</v>
      </c>
      <c r="AN164" s="11">
        <f t="shared" si="101"/>
        <v>3305143</v>
      </c>
      <c r="AO164" s="8">
        <f t="shared" si="101"/>
        <v>31</v>
      </c>
      <c r="AP164" s="11">
        <f t="shared" si="101"/>
        <v>6963</v>
      </c>
      <c r="AQ164" s="11">
        <f t="shared" si="101"/>
        <v>313</v>
      </c>
      <c r="AR164" s="11">
        <f t="shared" si="101"/>
        <v>36931</v>
      </c>
      <c r="AS164" s="8">
        <f t="shared" si="106"/>
        <v>64973</v>
      </c>
      <c r="AT164" s="11">
        <f t="shared" si="102"/>
        <v>10799669</v>
      </c>
      <c r="AU164" s="2" t="str">
        <f t="shared" si="103"/>
        <v>CAMS</v>
      </c>
      <c r="AV164" s="37">
        <f t="shared" si="104"/>
        <v>0</v>
      </c>
      <c r="AW164" s="37">
        <f t="shared" si="104"/>
        <v>0</v>
      </c>
    </row>
    <row r="165" spans="1:49" outlineLevel="1" x14ac:dyDescent="0.25">
      <c r="B165" s="2" t="s">
        <v>30</v>
      </c>
      <c r="C165" s="2">
        <v>2023</v>
      </c>
      <c r="D165" s="1">
        <v>26001</v>
      </c>
      <c r="E165" s="11">
        <v>3318791</v>
      </c>
      <c r="F165" s="1">
        <v>10759</v>
      </c>
      <c r="G165" s="11">
        <v>1813250</v>
      </c>
      <c r="H165" s="1">
        <v>12434</v>
      </c>
      <c r="I165" s="11">
        <v>2493715</v>
      </c>
      <c r="J165" s="1">
        <v>0</v>
      </c>
      <c r="K165" s="11">
        <v>0</v>
      </c>
      <c r="L165" s="1">
        <v>0</v>
      </c>
      <c r="M165" s="11">
        <v>0</v>
      </c>
      <c r="N165" s="1">
        <v>17314</v>
      </c>
      <c r="O165" s="11">
        <v>3431771</v>
      </c>
      <c r="P165" s="1">
        <v>36</v>
      </c>
      <c r="Q165" s="11">
        <v>7729</v>
      </c>
      <c r="R165" s="1">
        <v>381</v>
      </c>
      <c r="S165" s="11">
        <v>42830</v>
      </c>
      <c r="T165" s="53">
        <f t="shared" si="105"/>
        <v>66925</v>
      </c>
      <c r="U165" s="54">
        <f t="shared" si="99"/>
        <v>11108086</v>
      </c>
      <c r="V165" s="2" t="s">
        <v>62</v>
      </c>
      <c r="AE165" s="2" t="s">
        <v>30</v>
      </c>
      <c r="AF165" s="2">
        <v>2023</v>
      </c>
      <c r="AG165" s="1">
        <f t="shared" si="100"/>
        <v>49194</v>
      </c>
      <c r="AH165" s="11">
        <f t="shared" si="100"/>
        <v>7625756</v>
      </c>
      <c r="AI165" s="1">
        <f t="shared" si="101"/>
        <v>0</v>
      </c>
      <c r="AJ165" s="11">
        <f t="shared" si="101"/>
        <v>0</v>
      </c>
      <c r="AK165" s="8">
        <f t="shared" si="101"/>
        <v>0</v>
      </c>
      <c r="AL165" s="11">
        <f t="shared" si="101"/>
        <v>0</v>
      </c>
      <c r="AM165" s="8">
        <f t="shared" si="101"/>
        <v>17314</v>
      </c>
      <c r="AN165" s="11">
        <f t="shared" si="101"/>
        <v>3431771</v>
      </c>
      <c r="AO165" s="8">
        <f t="shared" si="101"/>
        <v>36</v>
      </c>
      <c r="AP165" s="11">
        <f t="shared" si="101"/>
        <v>7729</v>
      </c>
      <c r="AQ165" s="11">
        <f t="shared" si="101"/>
        <v>381</v>
      </c>
      <c r="AR165" s="11">
        <f t="shared" si="101"/>
        <v>42830</v>
      </c>
      <c r="AS165" s="8">
        <f t="shared" si="106"/>
        <v>66925</v>
      </c>
      <c r="AT165" s="11">
        <f t="shared" si="102"/>
        <v>11108086</v>
      </c>
      <c r="AU165" s="2" t="str">
        <f t="shared" si="103"/>
        <v>CAMS</v>
      </c>
      <c r="AV165" s="37">
        <f t="shared" si="104"/>
        <v>0</v>
      </c>
      <c r="AW165" s="37">
        <f t="shared" si="104"/>
        <v>0</v>
      </c>
    </row>
    <row r="166" spans="1:49" outlineLevel="1" x14ac:dyDescent="0.25">
      <c r="B166" s="2" t="s">
        <v>31</v>
      </c>
      <c r="C166" s="2">
        <v>2023</v>
      </c>
      <c r="D166" s="1">
        <v>28630</v>
      </c>
      <c r="E166" s="11">
        <v>3512469</v>
      </c>
      <c r="F166" s="1">
        <v>10680</v>
      </c>
      <c r="G166" s="11">
        <v>1826334</v>
      </c>
      <c r="H166" s="1">
        <v>12701</v>
      </c>
      <c r="I166" s="11">
        <v>2562617</v>
      </c>
      <c r="J166" s="1">
        <v>0</v>
      </c>
      <c r="K166" s="11">
        <v>0</v>
      </c>
      <c r="L166" s="1">
        <v>0</v>
      </c>
      <c r="M166" s="11">
        <v>0</v>
      </c>
      <c r="N166" s="1">
        <v>17654</v>
      </c>
      <c r="O166" s="11">
        <v>3435719</v>
      </c>
      <c r="P166" s="1">
        <v>74</v>
      </c>
      <c r="Q166" s="11">
        <v>14185</v>
      </c>
      <c r="R166" s="1">
        <v>412</v>
      </c>
      <c r="S166" s="11">
        <v>48863</v>
      </c>
      <c r="T166" s="53">
        <f t="shared" si="105"/>
        <v>70151</v>
      </c>
      <c r="U166" s="54">
        <f t="shared" si="99"/>
        <v>11400187</v>
      </c>
      <c r="V166" s="2" t="s">
        <v>62</v>
      </c>
      <c r="X166" s="13"/>
      <c r="AE166" s="2" t="s">
        <v>31</v>
      </c>
      <c r="AF166" s="2">
        <v>2023</v>
      </c>
      <c r="AG166" s="1">
        <f t="shared" si="100"/>
        <v>52011</v>
      </c>
      <c r="AH166" s="11">
        <f t="shared" si="100"/>
        <v>7901420</v>
      </c>
      <c r="AI166" s="1">
        <f t="shared" si="101"/>
        <v>0</v>
      </c>
      <c r="AJ166" s="11">
        <f t="shared" si="101"/>
        <v>0</v>
      </c>
      <c r="AK166" s="8">
        <f t="shared" si="101"/>
        <v>0</v>
      </c>
      <c r="AL166" s="11">
        <f t="shared" si="101"/>
        <v>0</v>
      </c>
      <c r="AM166" s="8">
        <f t="shared" si="101"/>
        <v>17654</v>
      </c>
      <c r="AN166" s="11">
        <f t="shared" si="101"/>
        <v>3435719</v>
      </c>
      <c r="AO166" s="8">
        <f t="shared" si="101"/>
        <v>74</v>
      </c>
      <c r="AP166" s="11">
        <f t="shared" si="101"/>
        <v>14185</v>
      </c>
      <c r="AQ166" s="11">
        <f t="shared" si="101"/>
        <v>412</v>
      </c>
      <c r="AR166" s="11">
        <f t="shared" si="101"/>
        <v>48863</v>
      </c>
      <c r="AS166" s="8">
        <f t="shared" si="106"/>
        <v>70151</v>
      </c>
      <c r="AT166" s="11">
        <f t="shared" si="102"/>
        <v>11400187</v>
      </c>
      <c r="AU166" s="2" t="str">
        <f t="shared" si="103"/>
        <v>CAMS</v>
      </c>
      <c r="AV166" s="37">
        <f t="shared" si="104"/>
        <v>0</v>
      </c>
      <c r="AW166" s="37">
        <f t="shared" si="104"/>
        <v>0</v>
      </c>
    </row>
    <row r="167" spans="1:49" outlineLevel="1" x14ac:dyDescent="0.25">
      <c r="AH167" s="9"/>
      <c r="AJ167" s="9"/>
      <c r="AL167" s="9"/>
      <c r="AN167" s="9"/>
      <c r="AO167" s="9"/>
      <c r="AP167" s="9"/>
      <c r="AQ167" s="9"/>
      <c r="AR167" s="9"/>
      <c r="AT167" s="9"/>
    </row>
    <row r="168" spans="1:49" outlineLevel="1" x14ac:dyDescent="0.25">
      <c r="B168" s="3" t="s">
        <v>12</v>
      </c>
      <c r="C168" s="3"/>
      <c r="D168" s="4">
        <f t="shared" ref="D168:U168" si="107">SUM(D155:D167)</f>
        <v>278879</v>
      </c>
      <c r="E168" s="12">
        <f t="shared" si="107"/>
        <v>35677848</v>
      </c>
      <c r="F168" s="4">
        <f t="shared" si="107"/>
        <v>115904</v>
      </c>
      <c r="G168" s="12">
        <f t="shared" si="107"/>
        <v>19094255</v>
      </c>
      <c r="H168" s="4">
        <f t="shared" si="107"/>
        <v>109997</v>
      </c>
      <c r="I168" s="12">
        <f t="shared" si="107"/>
        <v>20392823</v>
      </c>
      <c r="J168" s="4">
        <f t="shared" si="107"/>
        <v>0</v>
      </c>
      <c r="K168" s="12">
        <f t="shared" si="107"/>
        <v>0</v>
      </c>
      <c r="L168" s="4">
        <f t="shared" si="107"/>
        <v>0</v>
      </c>
      <c r="M168" s="12">
        <f t="shared" si="107"/>
        <v>0</v>
      </c>
      <c r="N168" s="4">
        <f t="shared" si="107"/>
        <v>187973</v>
      </c>
      <c r="O168" s="12">
        <f t="shared" si="107"/>
        <v>36530035</v>
      </c>
      <c r="P168" s="4">
        <f>SUM(P155:P167)</f>
        <v>190</v>
      </c>
      <c r="Q168" s="12">
        <f>SUM(Q155:Q167)</f>
        <v>37912</v>
      </c>
      <c r="R168" s="4">
        <f>SUM(R155:R167)</f>
        <v>3183</v>
      </c>
      <c r="S168" s="12">
        <f>SUM(S155:S167)</f>
        <v>342071</v>
      </c>
      <c r="T168" s="4">
        <f t="shared" si="107"/>
        <v>696126</v>
      </c>
      <c r="U168" s="12">
        <f t="shared" si="107"/>
        <v>112074944</v>
      </c>
      <c r="AE168" s="3" t="s">
        <v>12</v>
      </c>
      <c r="AF168" s="3"/>
      <c r="AG168" s="4">
        <f t="shared" ref="AG168:AT168" si="108">SUM(AG155:AG167)</f>
        <v>504780</v>
      </c>
      <c r="AH168" s="12">
        <f t="shared" si="108"/>
        <v>75164926</v>
      </c>
      <c r="AI168" s="4">
        <f t="shared" si="108"/>
        <v>0</v>
      </c>
      <c r="AJ168" s="12">
        <f t="shared" si="108"/>
        <v>0</v>
      </c>
      <c r="AK168" s="4">
        <f t="shared" si="108"/>
        <v>0</v>
      </c>
      <c r="AL168" s="12">
        <f t="shared" si="108"/>
        <v>0</v>
      </c>
      <c r="AM168" s="4">
        <f t="shared" si="108"/>
        <v>187973</v>
      </c>
      <c r="AN168" s="12">
        <f t="shared" si="108"/>
        <v>36530035</v>
      </c>
      <c r="AO168" s="4">
        <f t="shared" si="108"/>
        <v>190</v>
      </c>
      <c r="AP168" s="12">
        <f t="shared" si="108"/>
        <v>37912</v>
      </c>
      <c r="AQ168" s="4">
        <f t="shared" si="108"/>
        <v>3183</v>
      </c>
      <c r="AR168" s="12">
        <f t="shared" si="108"/>
        <v>342071</v>
      </c>
      <c r="AS168" s="4">
        <f t="shared" si="108"/>
        <v>696126</v>
      </c>
      <c r="AT168" s="12">
        <f t="shared" si="108"/>
        <v>112074944</v>
      </c>
    </row>
    <row r="169" spans="1:49" outlineLevel="1" x14ac:dyDescent="0.25">
      <c r="J169" s="46" t="str">
        <f>+$A$150</f>
        <v>Aforo e Ingreso - CAMS</v>
      </c>
      <c r="K169" s="9" t="s">
        <v>84</v>
      </c>
      <c r="L169" s="15">
        <f>AVERAGE(L155:L166)</f>
        <v>0</v>
      </c>
      <c r="M169" s="60">
        <f>AVERAGE(M155:M166)</f>
        <v>0</v>
      </c>
      <c r="T169" s="15">
        <f>AVERAGE(T155:T166)</f>
        <v>58010.5</v>
      </c>
      <c r="U169" s="28">
        <f>AVERAGE(U155:U166)</f>
        <v>9339578.666666666</v>
      </c>
    </row>
    <row r="170" spans="1:49" outlineLevel="1" x14ac:dyDescent="0.25">
      <c r="A170" s="67" t="s">
        <v>14</v>
      </c>
      <c r="J170" s="46" t="str">
        <f>+$A$150</f>
        <v>Aforo e Ingreso - CAMS</v>
      </c>
      <c r="K170" s="9" t="s">
        <v>85</v>
      </c>
      <c r="L170" s="26">
        <f>+L169/$L$337</f>
        <v>0</v>
      </c>
      <c r="M170" s="36">
        <f>+M169/$M$337</f>
        <v>0</v>
      </c>
      <c r="N170" s="18"/>
      <c r="O170" s="19"/>
      <c r="P170" s="19"/>
      <c r="Q170" s="19"/>
      <c r="R170" s="19"/>
      <c r="S170" s="19"/>
      <c r="T170" s="36">
        <f>+L169/T169</f>
        <v>0</v>
      </c>
      <c r="U170" s="62">
        <f>+M169/U169</f>
        <v>0</v>
      </c>
    </row>
    <row r="171" spans="1:49" outlineLevel="1" x14ac:dyDescent="0.25">
      <c r="A171" s="67" t="s">
        <v>49</v>
      </c>
    </row>
    <row r="172" spans="1:49" outlineLevel="1" x14ac:dyDescent="0.25">
      <c r="B172" s="5"/>
    </row>
    <row r="173" spans="1:49" outlineLevel="1" x14ac:dyDescent="0.25">
      <c r="D173" s="89" t="s">
        <v>15</v>
      </c>
      <c r="E173" s="90"/>
      <c r="F173" s="89" t="s">
        <v>71</v>
      </c>
      <c r="G173" s="90"/>
      <c r="H173" s="89" t="s">
        <v>16</v>
      </c>
      <c r="I173" s="90"/>
      <c r="J173" s="89" t="s">
        <v>17</v>
      </c>
      <c r="K173" s="93"/>
      <c r="L173" s="89" t="s">
        <v>18</v>
      </c>
      <c r="M173" s="93"/>
      <c r="N173" s="89" t="s">
        <v>13</v>
      </c>
      <c r="O173" s="93"/>
      <c r="P173" s="89" t="s">
        <v>34</v>
      </c>
      <c r="Q173" s="93"/>
      <c r="R173" s="89" t="s">
        <v>87</v>
      </c>
      <c r="S173" s="93"/>
      <c r="T173" s="89" t="s">
        <v>12</v>
      </c>
      <c r="U173" s="93"/>
      <c r="AG173" s="89" t="s">
        <v>69</v>
      </c>
      <c r="AH173" s="90"/>
      <c r="AI173" s="89" t="s">
        <v>17</v>
      </c>
      <c r="AJ173" s="93"/>
      <c r="AK173" s="89" t="s">
        <v>18</v>
      </c>
      <c r="AL173" s="93"/>
      <c r="AM173" s="89" t="s">
        <v>13</v>
      </c>
      <c r="AN173" s="93"/>
      <c r="AO173" s="89" t="s">
        <v>34</v>
      </c>
      <c r="AP173" s="93"/>
      <c r="AQ173" s="89" t="s">
        <v>87</v>
      </c>
      <c r="AR173" s="93"/>
      <c r="AS173" s="89" t="s">
        <v>12</v>
      </c>
      <c r="AT173" s="93"/>
    </row>
    <row r="174" spans="1:49" outlineLevel="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T174" s="7" t="s">
        <v>2</v>
      </c>
      <c r="U174" s="10" t="s">
        <v>3</v>
      </c>
      <c r="Z174" s="33">
        <v>2021</v>
      </c>
      <c r="AA174" s="34">
        <v>0.6383378277948728</v>
      </c>
      <c r="AB174" s="33">
        <f>+Z174</f>
        <v>2021</v>
      </c>
      <c r="AC174" s="35">
        <v>7.3932595544215661E-3</v>
      </c>
      <c r="AE174" s="7" t="s">
        <v>0</v>
      </c>
      <c r="AF174" s="7" t="s">
        <v>1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</row>
    <row r="175" spans="1:49" outlineLevel="1" x14ac:dyDescent="0.25">
      <c r="AH175" s="9"/>
      <c r="AJ175" s="9"/>
      <c r="AL175" s="9"/>
      <c r="AN175" s="9"/>
      <c r="AO175" s="9"/>
      <c r="AP175" s="9"/>
      <c r="AQ175" s="9"/>
      <c r="AR175" s="9"/>
      <c r="AT175" s="9"/>
    </row>
    <row r="176" spans="1:49" outlineLevel="1" x14ac:dyDescent="0.25">
      <c r="B176" s="2" t="s">
        <v>5</v>
      </c>
      <c r="C176" s="2">
        <v>2023</v>
      </c>
      <c r="D176" s="1">
        <v>840</v>
      </c>
      <c r="E176" s="11">
        <v>268752</v>
      </c>
      <c r="F176" s="8">
        <v>1008</v>
      </c>
      <c r="G176" s="11">
        <v>402452</v>
      </c>
      <c r="H176" s="1">
        <v>189</v>
      </c>
      <c r="I176" s="11">
        <v>76498</v>
      </c>
      <c r="J176" s="1">
        <v>39512</v>
      </c>
      <c r="K176" s="11">
        <v>15968321</v>
      </c>
      <c r="L176" s="1">
        <v>1482</v>
      </c>
      <c r="M176" s="11">
        <v>583529</v>
      </c>
      <c r="N176" s="1">
        <v>1538</v>
      </c>
      <c r="O176" s="11">
        <v>572499</v>
      </c>
      <c r="P176" s="8">
        <v>0</v>
      </c>
      <c r="Q176" s="11">
        <v>0</v>
      </c>
      <c r="R176" s="8">
        <v>41</v>
      </c>
      <c r="S176" s="11">
        <v>16594</v>
      </c>
      <c r="T176" s="53">
        <f>N176+L176+J176+H176+D176+P176+F176+R176</f>
        <v>44610</v>
      </c>
      <c r="U176" s="54">
        <f t="shared" ref="U176:U187" si="109">O176+M176+K176+I176+E176+Q176+G176+S176</f>
        <v>17888645</v>
      </c>
      <c r="V176" s="2" t="s">
        <v>63</v>
      </c>
      <c r="Z176" s="30">
        <v>21253.75</v>
      </c>
      <c r="AA176" s="30">
        <f>+Z176/J176</f>
        <v>0.53790620570965786</v>
      </c>
      <c r="AB176" s="31">
        <v>90316.724999999991</v>
      </c>
      <c r="AC176" s="32">
        <f>+AB176/K176</f>
        <v>5.6559938267774041E-3</v>
      </c>
      <c r="AE176" s="2" t="s">
        <v>5</v>
      </c>
      <c r="AF176" s="2">
        <v>2023</v>
      </c>
      <c r="AG176" s="1">
        <f t="shared" ref="AG176:AH187" si="110">D176+H176+F176</f>
        <v>2037</v>
      </c>
      <c r="AH176" s="11">
        <f t="shared" si="110"/>
        <v>747702</v>
      </c>
      <c r="AI176" s="1">
        <f t="shared" ref="AI176:AR187" si="111">+J176</f>
        <v>39512</v>
      </c>
      <c r="AJ176" s="11">
        <f t="shared" si="111"/>
        <v>15968321</v>
      </c>
      <c r="AK176" s="8">
        <f t="shared" si="111"/>
        <v>1482</v>
      </c>
      <c r="AL176" s="11">
        <f t="shared" si="111"/>
        <v>583529</v>
      </c>
      <c r="AM176" s="8">
        <f t="shared" si="111"/>
        <v>1538</v>
      </c>
      <c r="AN176" s="11">
        <f t="shared" si="111"/>
        <v>572499</v>
      </c>
      <c r="AO176" s="8">
        <f t="shared" si="111"/>
        <v>0</v>
      </c>
      <c r="AP176" s="11">
        <f t="shared" si="111"/>
        <v>0</v>
      </c>
      <c r="AQ176" s="11">
        <f t="shared" si="111"/>
        <v>41</v>
      </c>
      <c r="AR176" s="11">
        <f t="shared" si="111"/>
        <v>16594</v>
      </c>
      <c r="AS176" s="8">
        <f>AO176+AM176+AK176+AI176+AG176+AQ176</f>
        <v>44610</v>
      </c>
      <c r="AT176" s="11">
        <f t="shared" ref="AT176:AT187" si="112">AP176+AN176+AL176+AJ176+AH176+AR176</f>
        <v>17888645</v>
      </c>
      <c r="AU176" s="2" t="str">
        <f t="shared" ref="AU176:AU187" si="113">+V176</f>
        <v>CALH</v>
      </c>
      <c r="AV176" s="37">
        <f t="shared" ref="AV176:AW187" si="114">+AS176-T176</f>
        <v>0</v>
      </c>
      <c r="AW176" s="37">
        <f t="shared" si="114"/>
        <v>0</v>
      </c>
    </row>
    <row r="177" spans="1:49" outlineLevel="1" x14ac:dyDescent="0.25">
      <c r="B177" s="2" t="s">
        <v>6</v>
      </c>
      <c r="C177" s="2">
        <v>2023</v>
      </c>
      <c r="D177" s="1">
        <v>799</v>
      </c>
      <c r="E177" s="11">
        <v>295717</v>
      </c>
      <c r="F177" s="8">
        <v>931</v>
      </c>
      <c r="G177" s="11">
        <v>383316</v>
      </c>
      <c r="H177" s="1">
        <v>251</v>
      </c>
      <c r="I177" s="11">
        <v>99136</v>
      </c>
      <c r="J177" s="1">
        <v>39117</v>
      </c>
      <c r="K177" s="11">
        <v>15947815</v>
      </c>
      <c r="L177" s="1">
        <v>1329</v>
      </c>
      <c r="M177" s="11">
        <v>542587</v>
      </c>
      <c r="N177" s="1">
        <v>1497</v>
      </c>
      <c r="O177" s="11">
        <v>555887</v>
      </c>
      <c r="P177" s="8">
        <v>0</v>
      </c>
      <c r="Q177" s="11">
        <v>0</v>
      </c>
      <c r="R177" s="8">
        <v>37</v>
      </c>
      <c r="S177" s="11">
        <v>16382</v>
      </c>
      <c r="T177" s="53">
        <f t="shared" ref="T177:T187" si="115">N177+L177+J177+H177+D177+P177+F177+R177</f>
        <v>43961</v>
      </c>
      <c r="U177" s="54">
        <f t="shared" si="109"/>
        <v>17840840</v>
      </c>
      <c r="V177" s="2" t="s">
        <v>63</v>
      </c>
      <c r="Z177" s="30">
        <v>20591.25</v>
      </c>
      <c r="AA177" s="30">
        <f>+Z177/J177</f>
        <v>0.52640156453715781</v>
      </c>
      <c r="AB177" s="31">
        <v>89714.47</v>
      </c>
      <c r="AC177" s="32">
        <f>+AB177/K177</f>
        <v>5.6255023023530186E-3</v>
      </c>
      <c r="AE177" s="2" t="s">
        <v>6</v>
      </c>
      <c r="AF177" s="2">
        <v>2023</v>
      </c>
      <c r="AG177" s="1">
        <f t="shared" si="110"/>
        <v>1981</v>
      </c>
      <c r="AH177" s="11">
        <f t="shared" si="110"/>
        <v>778169</v>
      </c>
      <c r="AI177" s="1">
        <f t="shared" si="111"/>
        <v>39117</v>
      </c>
      <c r="AJ177" s="11">
        <f t="shared" si="111"/>
        <v>15947815</v>
      </c>
      <c r="AK177" s="8">
        <f t="shared" si="111"/>
        <v>1329</v>
      </c>
      <c r="AL177" s="11">
        <f t="shared" si="111"/>
        <v>542587</v>
      </c>
      <c r="AM177" s="8">
        <f t="shared" si="111"/>
        <v>1497</v>
      </c>
      <c r="AN177" s="11">
        <f t="shared" si="111"/>
        <v>555887</v>
      </c>
      <c r="AO177" s="8">
        <f t="shared" si="111"/>
        <v>0</v>
      </c>
      <c r="AP177" s="11">
        <f t="shared" si="111"/>
        <v>0</v>
      </c>
      <c r="AQ177" s="11">
        <f t="shared" si="111"/>
        <v>37</v>
      </c>
      <c r="AR177" s="11">
        <f t="shared" si="111"/>
        <v>16382</v>
      </c>
      <c r="AS177" s="8">
        <f t="shared" ref="AS177:AS187" si="116">AO177+AM177+AK177+AI177+AG177+AQ177</f>
        <v>43961</v>
      </c>
      <c r="AT177" s="11">
        <f t="shared" si="112"/>
        <v>17840840</v>
      </c>
      <c r="AU177" s="2" t="str">
        <f t="shared" si="113"/>
        <v>CALH</v>
      </c>
      <c r="AV177" s="37">
        <f t="shared" si="114"/>
        <v>0</v>
      </c>
      <c r="AW177" s="37">
        <f t="shared" si="114"/>
        <v>0</v>
      </c>
    </row>
    <row r="178" spans="1:49" outlineLevel="1" x14ac:dyDescent="0.25">
      <c r="B178" s="2" t="s">
        <v>7</v>
      </c>
      <c r="C178" s="2">
        <v>2023</v>
      </c>
      <c r="D178" s="1">
        <v>915</v>
      </c>
      <c r="E178" s="11">
        <v>339404</v>
      </c>
      <c r="F178" s="8">
        <v>1144</v>
      </c>
      <c r="G178" s="11">
        <v>456370</v>
      </c>
      <c r="H178" s="1">
        <v>353</v>
      </c>
      <c r="I178" s="11">
        <v>131882</v>
      </c>
      <c r="J178" s="1">
        <v>43327</v>
      </c>
      <c r="K178" s="11">
        <v>17382214</v>
      </c>
      <c r="L178" s="1">
        <v>1471</v>
      </c>
      <c r="M178" s="11">
        <v>581900</v>
      </c>
      <c r="N178" s="1">
        <v>1640</v>
      </c>
      <c r="O178" s="11">
        <v>590403</v>
      </c>
      <c r="P178" s="8">
        <v>0</v>
      </c>
      <c r="Q178" s="11">
        <v>0</v>
      </c>
      <c r="R178" s="8">
        <v>49</v>
      </c>
      <c r="S178" s="11">
        <v>18757</v>
      </c>
      <c r="T178" s="53">
        <f t="shared" si="115"/>
        <v>48899</v>
      </c>
      <c r="U178" s="54">
        <f t="shared" si="109"/>
        <v>19500930</v>
      </c>
      <c r="V178" s="2" t="s">
        <v>63</v>
      </c>
      <c r="Z178" s="30">
        <v>23521.35</v>
      </c>
      <c r="AA178" s="30">
        <f>+Z178/J178</f>
        <v>0.54287972857571487</v>
      </c>
      <c r="AB178" s="31">
        <v>101872.8875</v>
      </c>
      <c r="AC178" s="32">
        <f>+AB178/K178</f>
        <v>5.8607544182806628E-3</v>
      </c>
      <c r="AD178" s="13"/>
      <c r="AE178" s="2" t="s">
        <v>7</v>
      </c>
      <c r="AF178" s="2">
        <v>2023</v>
      </c>
      <c r="AG178" s="1">
        <f t="shared" si="110"/>
        <v>2412</v>
      </c>
      <c r="AH178" s="11">
        <f t="shared" si="110"/>
        <v>927656</v>
      </c>
      <c r="AI178" s="1">
        <f t="shared" si="111"/>
        <v>43327</v>
      </c>
      <c r="AJ178" s="11">
        <f t="shared" si="111"/>
        <v>17382214</v>
      </c>
      <c r="AK178" s="8">
        <f t="shared" si="111"/>
        <v>1471</v>
      </c>
      <c r="AL178" s="11">
        <f t="shared" si="111"/>
        <v>581900</v>
      </c>
      <c r="AM178" s="8">
        <f t="shared" si="111"/>
        <v>1640</v>
      </c>
      <c r="AN178" s="11">
        <f t="shared" si="111"/>
        <v>590403</v>
      </c>
      <c r="AO178" s="8">
        <f t="shared" si="111"/>
        <v>0</v>
      </c>
      <c r="AP178" s="11">
        <f t="shared" si="111"/>
        <v>0</v>
      </c>
      <c r="AQ178" s="11">
        <f t="shared" si="111"/>
        <v>49</v>
      </c>
      <c r="AR178" s="11">
        <f t="shared" si="111"/>
        <v>18757</v>
      </c>
      <c r="AS178" s="8">
        <f t="shared" si="116"/>
        <v>48899</v>
      </c>
      <c r="AT178" s="11">
        <f t="shared" si="112"/>
        <v>19500930</v>
      </c>
      <c r="AU178" s="2" t="str">
        <f t="shared" si="113"/>
        <v>CALH</v>
      </c>
      <c r="AV178" s="37">
        <f t="shared" si="114"/>
        <v>0</v>
      </c>
      <c r="AW178" s="37">
        <f t="shared" si="114"/>
        <v>0</v>
      </c>
    </row>
    <row r="179" spans="1:49" outlineLevel="1" x14ac:dyDescent="0.25">
      <c r="B179" s="2" t="s">
        <v>8</v>
      </c>
      <c r="C179" s="2">
        <v>2023</v>
      </c>
      <c r="D179" s="1">
        <v>996</v>
      </c>
      <c r="E179" s="11">
        <v>351846</v>
      </c>
      <c r="F179" s="8">
        <v>844</v>
      </c>
      <c r="G179" s="11">
        <v>323284</v>
      </c>
      <c r="H179" s="1">
        <v>312</v>
      </c>
      <c r="I179" s="11">
        <v>130695</v>
      </c>
      <c r="J179" s="1">
        <v>41526</v>
      </c>
      <c r="K179" s="11">
        <v>16761613</v>
      </c>
      <c r="L179" s="1">
        <v>1516</v>
      </c>
      <c r="M179" s="11">
        <v>607323</v>
      </c>
      <c r="N179" s="1">
        <v>1540</v>
      </c>
      <c r="O179" s="11">
        <v>562516</v>
      </c>
      <c r="P179" s="8">
        <v>0</v>
      </c>
      <c r="Q179" s="11">
        <v>0</v>
      </c>
      <c r="R179" s="8">
        <v>67</v>
      </c>
      <c r="S179" s="11">
        <v>24857</v>
      </c>
      <c r="T179" s="53">
        <f t="shared" si="115"/>
        <v>46801</v>
      </c>
      <c r="U179" s="54">
        <f t="shared" si="109"/>
        <v>18762134</v>
      </c>
      <c r="V179" s="2" t="s">
        <v>63</v>
      </c>
      <c r="Z179" s="30">
        <v>22897.7</v>
      </c>
      <c r="AA179" s="30">
        <f>+Z179/J179</f>
        <v>0.55140634783027498</v>
      </c>
      <c r="AB179" s="31">
        <v>95966.64</v>
      </c>
      <c r="AC179" s="32">
        <f>+AB179/K179</f>
        <v>5.7253821574331778E-3</v>
      </c>
      <c r="AD179" s="13"/>
      <c r="AE179" s="2" t="s">
        <v>8</v>
      </c>
      <c r="AF179" s="2">
        <v>2023</v>
      </c>
      <c r="AG179" s="1">
        <f t="shared" si="110"/>
        <v>2152</v>
      </c>
      <c r="AH179" s="11">
        <f t="shared" si="110"/>
        <v>805825</v>
      </c>
      <c r="AI179" s="1">
        <f t="shared" si="111"/>
        <v>41526</v>
      </c>
      <c r="AJ179" s="11">
        <f t="shared" si="111"/>
        <v>16761613</v>
      </c>
      <c r="AK179" s="8">
        <f t="shared" si="111"/>
        <v>1516</v>
      </c>
      <c r="AL179" s="11">
        <f t="shared" si="111"/>
        <v>607323</v>
      </c>
      <c r="AM179" s="8">
        <f t="shared" si="111"/>
        <v>1540</v>
      </c>
      <c r="AN179" s="11">
        <f t="shared" si="111"/>
        <v>562516</v>
      </c>
      <c r="AO179" s="8">
        <f t="shared" si="111"/>
        <v>0</v>
      </c>
      <c r="AP179" s="11">
        <f t="shared" si="111"/>
        <v>0</v>
      </c>
      <c r="AQ179" s="11">
        <f t="shared" si="111"/>
        <v>67</v>
      </c>
      <c r="AR179" s="11">
        <f t="shared" si="111"/>
        <v>24857</v>
      </c>
      <c r="AS179" s="8">
        <f t="shared" si="116"/>
        <v>46801</v>
      </c>
      <c r="AT179" s="11">
        <f t="shared" si="112"/>
        <v>18762134</v>
      </c>
      <c r="AU179" s="2" t="str">
        <f t="shared" si="113"/>
        <v>CALH</v>
      </c>
      <c r="AV179" s="37">
        <f t="shared" si="114"/>
        <v>0</v>
      </c>
      <c r="AW179" s="37">
        <f t="shared" si="114"/>
        <v>0</v>
      </c>
    </row>
    <row r="180" spans="1:49" outlineLevel="1" x14ac:dyDescent="0.25">
      <c r="B180" s="2" t="s">
        <v>9</v>
      </c>
      <c r="C180" s="2">
        <v>2023</v>
      </c>
      <c r="D180" s="1">
        <v>886</v>
      </c>
      <c r="E180" s="11">
        <v>324833</v>
      </c>
      <c r="F180" s="8">
        <v>911</v>
      </c>
      <c r="G180" s="11">
        <v>361622</v>
      </c>
      <c r="H180" s="1">
        <v>347</v>
      </c>
      <c r="I180" s="11">
        <v>152858</v>
      </c>
      <c r="J180" s="1">
        <v>41673</v>
      </c>
      <c r="K180" s="11">
        <v>16547139</v>
      </c>
      <c r="L180" s="1">
        <v>1573</v>
      </c>
      <c r="M180" s="11">
        <v>627577</v>
      </c>
      <c r="N180" s="1">
        <v>1471</v>
      </c>
      <c r="O180" s="11">
        <v>546809</v>
      </c>
      <c r="P180" s="8">
        <v>0</v>
      </c>
      <c r="Q180" s="11">
        <v>0</v>
      </c>
      <c r="R180" s="8">
        <v>60</v>
      </c>
      <c r="S180" s="11">
        <v>24857</v>
      </c>
      <c r="T180" s="53">
        <f t="shared" si="115"/>
        <v>46921</v>
      </c>
      <c r="U180" s="54">
        <f t="shared" si="109"/>
        <v>18585695</v>
      </c>
      <c r="V180" s="2" t="s">
        <v>63</v>
      </c>
      <c r="Z180" s="30">
        <v>22246.75</v>
      </c>
      <c r="AA180" s="30">
        <f>+Z180/J180</f>
        <v>0.5338408561898591</v>
      </c>
      <c r="AB180" s="31">
        <v>96090.065000000002</v>
      </c>
      <c r="AC180" s="32">
        <f>+AB180/K180</f>
        <v>5.8070500888401317E-3</v>
      </c>
      <c r="AD180" s="13"/>
      <c r="AE180" s="2" t="s">
        <v>9</v>
      </c>
      <c r="AF180" s="2">
        <v>2023</v>
      </c>
      <c r="AG180" s="1">
        <f t="shared" si="110"/>
        <v>2144</v>
      </c>
      <c r="AH180" s="11">
        <f t="shared" si="110"/>
        <v>839313</v>
      </c>
      <c r="AI180" s="1">
        <f t="shared" si="111"/>
        <v>41673</v>
      </c>
      <c r="AJ180" s="11">
        <f t="shared" si="111"/>
        <v>16547139</v>
      </c>
      <c r="AK180" s="8">
        <f t="shared" si="111"/>
        <v>1573</v>
      </c>
      <c r="AL180" s="11">
        <f t="shared" si="111"/>
        <v>627577</v>
      </c>
      <c r="AM180" s="8">
        <f t="shared" si="111"/>
        <v>1471</v>
      </c>
      <c r="AN180" s="11">
        <f t="shared" si="111"/>
        <v>546809</v>
      </c>
      <c r="AO180" s="8">
        <f t="shared" si="111"/>
        <v>0</v>
      </c>
      <c r="AP180" s="11">
        <f t="shared" si="111"/>
        <v>0</v>
      </c>
      <c r="AQ180" s="11">
        <f t="shared" si="111"/>
        <v>60</v>
      </c>
      <c r="AR180" s="11">
        <f t="shared" si="111"/>
        <v>24857</v>
      </c>
      <c r="AS180" s="8">
        <f t="shared" si="116"/>
        <v>46921</v>
      </c>
      <c r="AT180" s="11">
        <f t="shared" si="112"/>
        <v>18585695</v>
      </c>
      <c r="AU180" s="2" t="str">
        <f t="shared" si="113"/>
        <v>CALH</v>
      </c>
      <c r="AV180" s="37">
        <f t="shared" si="114"/>
        <v>0</v>
      </c>
      <c r="AW180" s="37">
        <f t="shared" si="114"/>
        <v>0</v>
      </c>
    </row>
    <row r="181" spans="1:49" outlineLevel="1" x14ac:dyDescent="0.25">
      <c r="B181" s="2" t="s">
        <v>10</v>
      </c>
      <c r="C181" s="2">
        <v>2023</v>
      </c>
      <c r="D181" s="1">
        <v>752</v>
      </c>
      <c r="E181" s="11">
        <v>262083</v>
      </c>
      <c r="F181" s="8">
        <v>890</v>
      </c>
      <c r="G181" s="11">
        <v>355667</v>
      </c>
      <c r="H181" s="1">
        <v>505</v>
      </c>
      <c r="I181" s="11">
        <v>221317</v>
      </c>
      <c r="J181" s="1">
        <v>39313</v>
      </c>
      <c r="K181" s="11">
        <v>15348467</v>
      </c>
      <c r="L181" s="1">
        <v>1494</v>
      </c>
      <c r="M181" s="11">
        <v>584400</v>
      </c>
      <c r="N181" s="1">
        <v>1421</v>
      </c>
      <c r="O181" s="11">
        <v>499269</v>
      </c>
      <c r="P181" s="8">
        <v>0</v>
      </c>
      <c r="Q181" s="11">
        <v>0</v>
      </c>
      <c r="R181" s="8">
        <v>67</v>
      </c>
      <c r="S181" s="11">
        <v>27833</v>
      </c>
      <c r="T181" s="53">
        <f t="shared" si="115"/>
        <v>44442</v>
      </c>
      <c r="U181" s="54">
        <f t="shared" si="109"/>
        <v>17299036</v>
      </c>
      <c r="V181" s="2" t="s">
        <v>63</v>
      </c>
      <c r="Z181" s="30"/>
      <c r="AA181" s="30"/>
      <c r="AB181" s="31"/>
      <c r="AC181" s="32"/>
      <c r="AE181" s="2" t="s">
        <v>10</v>
      </c>
      <c r="AF181" s="2">
        <v>2023</v>
      </c>
      <c r="AG181" s="1">
        <f t="shared" si="110"/>
        <v>2147</v>
      </c>
      <c r="AH181" s="11">
        <f t="shared" si="110"/>
        <v>839067</v>
      </c>
      <c r="AI181" s="1">
        <f t="shared" si="111"/>
        <v>39313</v>
      </c>
      <c r="AJ181" s="11">
        <f t="shared" si="111"/>
        <v>15348467</v>
      </c>
      <c r="AK181" s="8">
        <f t="shared" si="111"/>
        <v>1494</v>
      </c>
      <c r="AL181" s="11">
        <f t="shared" si="111"/>
        <v>584400</v>
      </c>
      <c r="AM181" s="8">
        <f t="shared" si="111"/>
        <v>1421</v>
      </c>
      <c r="AN181" s="11">
        <f t="shared" si="111"/>
        <v>499269</v>
      </c>
      <c r="AO181" s="8">
        <f t="shared" si="111"/>
        <v>0</v>
      </c>
      <c r="AP181" s="11">
        <f t="shared" si="111"/>
        <v>0</v>
      </c>
      <c r="AQ181" s="11">
        <f t="shared" si="111"/>
        <v>67</v>
      </c>
      <c r="AR181" s="11">
        <f t="shared" si="111"/>
        <v>27833</v>
      </c>
      <c r="AS181" s="8">
        <f t="shared" si="116"/>
        <v>44442</v>
      </c>
      <c r="AT181" s="11">
        <f t="shared" si="112"/>
        <v>17299036</v>
      </c>
      <c r="AU181" s="2" t="str">
        <f t="shared" si="113"/>
        <v>CALH</v>
      </c>
      <c r="AV181" s="37">
        <f t="shared" si="114"/>
        <v>0</v>
      </c>
      <c r="AW181" s="37">
        <f t="shared" si="114"/>
        <v>0</v>
      </c>
    </row>
    <row r="182" spans="1:49" outlineLevel="1" x14ac:dyDescent="0.25">
      <c r="B182" s="2" t="s">
        <v>11</v>
      </c>
      <c r="C182" s="2">
        <v>2023</v>
      </c>
      <c r="D182" s="1">
        <v>737</v>
      </c>
      <c r="E182" s="11">
        <v>215931</v>
      </c>
      <c r="F182" s="8">
        <v>835</v>
      </c>
      <c r="G182" s="11">
        <v>308637</v>
      </c>
      <c r="H182" s="1">
        <v>310</v>
      </c>
      <c r="I182" s="11">
        <v>125153</v>
      </c>
      <c r="J182" s="1">
        <v>37125</v>
      </c>
      <c r="K182" s="11">
        <v>14231015</v>
      </c>
      <c r="L182" s="1">
        <v>1355</v>
      </c>
      <c r="M182" s="11">
        <v>522817</v>
      </c>
      <c r="N182" s="1">
        <v>1419</v>
      </c>
      <c r="O182" s="11">
        <v>498493</v>
      </c>
      <c r="P182" s="8">
        <v>0</v>
      </c>
      <c r="Q182" s="11">
        <v>0</v>
      </c>
      <c r="R182" s="8">
        <v>37</v>
      </c>
      <c r="S182" s="11">
        <v>13946</v>
      </c>
      <c r="T182" s="53">
        <f t="shared" si="115"/>
        <v>41818</v>
      </c>
      <c r="U182" s="54">
        <f t="shared" si="109"/>
        <v>15915992</v>
      </c>
      <c r="V182" s="2" t="s">
        <v>63</v>
      </c>
      <c r="Z182" s="30"/>
      <c r="AA182" s="30"/>
      <c r="AB182" s="31"/>
      <c r="AC182" s="32"/>
      <c r="AE182" s="2" t="s">
        <v>11</v>
      </c>
      <c r="AF182" s="2">
        <v>2023</v>
      </c>
      <c r="AG182" s="1">
        <f t="shared" si="110"/>
        <v>1882</v>
      </c>
      <c r="AH182" s="11">
        <f t="shared" si="110"/>
        <v>649721</v>
      </c>
      <c r="AI182" s="1">
        <f t="shared" si="111"/>
        <v>37125</v>
      </c>
      <c r="AJ182" s="11">
        <f t="shared" si="111"/>
        <v>14231015</v>
      </c>
      <c r="AK182" s="8">
        <f t="shared" si="111"/>
        <v>1355</v>
      </c>
      <c r="AL182" s="11">
        <f t="shared" si="111"/>
        <v>522817</v>
      </c>
      <c r="AM182" s="8">
        <f t="shared" si="111"/>
        <v>1419</v>
      </c>
      <c r="AN182" s="11">
        <f t="shared" si="111"/>
        <v>498493</v>
      </c>
      <c r="AO182" s="8">
        <f t="shared" si="111"/>
        <v>0</v>
      </c>
      <c r="AP182" s="11">
        <f t="shared" si="111"/>
        <v>0</v>
      </c>
      <c r="AQ182" s="11">
        <f t="shared" si="111"/>
        <v>37</v>
      </c>
      <c r="AR182" s="11">
        <f t="shared" si="111"/>
        <v>13946</v>
      </c>
      <c r="AS182" s="8">
        <f t="shared" si="116"/>
        <v>41818</v>
      </c>
      <c r="AT182" s="11">
        <f t="shared" si="112"/>
        <v>15915992</v>
      </c>
      <c r="AU182" s="2" t="str">
        <f t="shared" si="113"/>
        <v>CALH</v>
      </c>
      <c r="AV182" s="37">
        <f t="shared" si="114"/>
        <v>0</v>
      </c>
      <c r="AW182" s="37">
        <f t="shared" si="114"/>
        <v>0</v>
      </c>
    </row>
    <row r="183" spans="1:49" outlineLevel="1" x14ac:dyDescent="0.25">
      <c r="B183" s="2" t="s">
        <v>4</v>
      </c>
      <c r="C183" s="2">
        <v>2023</v>
      </c>
      <c r="D183" s="1">
        <v>771</v>
      </c>
      <c r="E183" s="11">
        <v>229947</v>
      </c>
      <c r="F183" s="8">
        <v>890</v>
      </c>
      <c r="G183" s="11">
        <v>301761</v>
      </c>
      <c r="H183" s="1">
        <v>247</v>
      </c>
      <c r="I183" s="11">
        <v>94920</v>
      </c>
      <c r="J183" s="1">
        <v>38818</v>
      </c>
      <c r="K183" s="11">
        <v>14851327</v>
      </c>
      <c r="L183" s="1">
        <v>1191</v>
      </c>
      <c r="M183" s="11">
        <v>442935</v>
      </c>
      <c r="N183" s="1">
        <v>1348</v>
      </c>
      <c r="O183" s="11">
        <v>470217</v>
      </c>
      <c r="P183" s="8">
        <v>0</v>
      </c>
      <c r="Q183" s="11">
        <v>0</v>
      </c>
      <c r="R183" s="8">
        <v>18</v>
      </c>
      <c r="S183" s="11">
        <v>5820</v>
      </c>
      <c r="T183" s="53">
        <f t="shared" si="115"/>
        <v>43283</v>
      </c>
      <c r="U183" s="54">
        <f t="shared" si="109"/>
        <v>16396927</v>
      </c>
      <c r="V183" s="2" t="s">
        <v>63</v>
      </c>
      <c r="Z183" s="30"/>
      <c r="AA183" s="30"/>
      <c r="AB183" s="31"/>
      <c r="AC183" s="32"/>
      <c r="AE183" s="2" t="s">
        <v>4</v>
      </c>
      <c r="AF183" s="2">
        <v>2023</v>
      </c>
      <c r="AG183" s="1">
        <f t="shared" si="110"/>
        <v>1908</v>
      </c>
      <c r="AH183" s="11">
        <f t="shared" si="110"/>
        <v>626628</v>
      </c>
      <c r="AI183" s="1">
        <f t="shared" si="111"/>
        <v>38818</v>
      </c>
      <c r="AJ183" s="11">
        <f t="shared" si="111"/>
        <v>14851327</v>
      </c>
      <c r="AK183" s="8">
        <f t="shared" si="111"/>
        <v>1191</v>
      </c>
      <c r="AL183" s="11">
        <f t="shared" si="111"/>
        <v>442935</v>
      </c>
      <c r="AM183" s="8">
        <f t="shared" si="111"/>
        <v>1348</v>
      </c>
      <c r="AN183" s="11">
        <f t="shared" si="111"/>
        <v>470217</v>
      </c>
      <c r="AO183" s="8">
        <f t="shared" si="111"/>
        <v>0</v>
      </c>
      <c r="AP183" s="11">
        <f t="shared" si="111"/>
        <v>0</v>
      </c>
      <c r="AQ183" s="11">
        <f t="shared" si="111"/>
        <v>18</v>
      </c>
      <c r="AR183" s="11">
        <f t="shared" si="111"/>
        <v>5820</v>
      </c>
      <c r="AS183" s="8">
        <f t="shared" si="116"/>
        <v>43283</v>
      </c>
      <c r="AT183" s="11">
        <f t="shared" si="112"/>
        <v>16396927</v>
      </c>
      <c r="AU183" s="2" t="str">
        <f t="shared" si="113"/>
        <v>CALH</v>
      </c>
      <c r="AV183" s="37">
        <f t="shared" si="114"/>
        <v>0</v>
      </c>
      <c r="AW183" s="37">
        <f t="shared" si="114"/>
        <v>0</v>
      </c>
    </row>
    <row r="184" spans="1:49" outlineLevel="1" x14ac:dyDescent="0.25">
      <c r="B184" s="2" t="s">
        <v>28</v>
      </c>
      <c r="C184" s="2">
        <v>2023</v>
      </c>
      <c r="D184" s="1">
        <v>742</v>
      </c>
      <c r="E184" s="11">
        <v>237714</v>
      </c>
      <c r="F184" s="8">
        <v>940</v>
      </c>
      <c r="G184" s="11">
        <v>311977</v>
      </c>
      <c r="H184" s="1">
        <v>300</v>
      </c>
      <c r="I184" s="11">
        <v>112857</v>
      </c>
      <c r="J184" s="1">
        <v>38793</v>
      </c>
      <c r="K184" s="11">
        <v>14778919</v>
      </c>
      <c r="L184" s="1">
        <v>1249</v>
      </c>
      <c r="M184" s="11">
        <v>469632</v>
      </c>
      <c r="N184" s="1">
        <v>1453</v>
      </c>
      <c r="O184" s="11">
        <v>517806</v>
      </c>
      <c r="P184" s="8">
        <v>0</v>
      </c>
      <c r="Q184" s="11">
        <v>0</v>
      </c>
      <c r="R184" s="8">
        <v>25</v>
      </c>
      <c r="S184" s="11">
        <v>7869</v>
      </c>
      <c r="T184" s="53">
        <f t="shared" si="115"/>
        <v>43502</v>
      </c>
      <c r="U184" s="54">
        <f t="shared" si="109"/>
        <v>16436774</v>
      </c>
      <c r="V184" s="2" t="s">
        <v>63</v>
      </c>
      <c r="Z184" s="30"/>
      <c r="AA184" s="30"/>
      <c r="AB184" s="31"/>
      <c r="AC184" s="32"/>
      <c r="AE184" s="2" t="s">
        <v>28</v>
      </c>
      <c r="AF184" s="2">
        <v>2023</v>
      </c>
      <c r="AG184" s="1">
        <f t="shared" si="110"/>
        <v>1982</v>
      </c>
      <c r="AH184" s="11">
        <f t="shared" si="110"/>
        <v>662548</v>
      </c>
      <c r="AI184" s="1">
        <f t="shared" si="111"/>
        <v>38793</v>
      </c>
      <c r="AJ184" s="11">
        <f t="shared" si="111"/>
        <v>14778919</v>
      </c>
      <c r="AK184" s="8">
        <f t="shared" si="111"/>
        <v>1249</v>
      </c>
      <c r="AL184" s="11">
        <f t="shared" si="111"/>
        <v>469632</v>
      </c>
      <c r="AM184" s="8">
        <f t="shared" si="111"/>
        <v>1453</v>
      </c>
      <c r="AN184" s="11">
        <f t="shared" si="111"/>
        <v>517806</v>
      </c>
      <c r="AO184" s="8">
        <f t="shared" si="111"/>
        <v>0</v>
      </c>
      <c r="AP184" s="11">
        <f t="shared" si="111"/>
        <v>0</v>
      </c>
      <c r="AQ184" s="11">
        <f t="shared" si="111"/>
        <v>25</v>
      </c>
      <c r="AR184" s="11">
        <f t="shared" si="111"/>
        <v>7869</v>
      </c>
      <c r="AS184" s="8">
        <f t="shared" si="116"/>
        <v>43502</v>
      </c>
      <c r="AT184" s="11">
        <f t="shared" si="112"/>
        <v>16436774</v>
      </c>
      <c r="AU184" s="2" t="str">
        <f t="shared" si="113"/>
        <v>CALH</v>
      </c>
      <c r="AV184" s="37">
        <f t="shared" si="114"/>
        <v>0</v>
      </c>
      <c r="AW184" s="37">
        <f t="shared" si="114"/>
        <v>0</v>
      </c>
    </row>
    <row r="185" spans="1:49" outlineLevel="1" x14ac:dyDescent="0.25">
      <c r="B185" s="2" t="s">
        <v>29</v>
      </c>
      <c r="C185" s="2">
        <v>2023</v>
      </c>
      <c r="D185" s="1">
        <v>867</v>
      </c>
      <c r="E185" s="11">
        <v>290345</v>
      </c>
      <c r="F185" s="8">
        <v>961</v>
      </c>
      <c r="G185" s="11">
        <v>324909</v>
      </c>
      <c r="H185" s="1">
        <v>290</v>
      </c>
      <c r="I185" s="11">
        <v>108903</v>
      </c>
      <c r="J185" s="1">
        <v>42256</v>
      </c>
      <c r="K185" s="11">
        <v>16096481</v>
      </c>
      <c r="L185" s="1">
        <v>1441</v>
      </c>
      <c r="M185" s="11">
        <v>561000</v>
      </c>
      <c r="N185" s="1">
        <v>1506</v>
      </c>
      <c r="O185" s="11">
        <v>529357</v>
      </c>
      <c r="P185" s="8">
        <v>0</v>
      </c>
      <c r="Q185" s="11">
        <v>0</v>
      </c>
      <c r="R185" s="8">
        <v>36</v>
      </c>
      <c r="S185" s="11">
        <v>10002</v>
      </c>
      <c r="T185" s="53">
        <f>N185+L185+J185+H185+D185+P185+F185+R185</f>
        <v>47357</v>
      </c>
      <c r="U185" s="54">
        <f t="shared" si="109"/>
        <v>17920997</v>
      </c>
      <c r="V185" s="2" t="s">
        <v>63</v>
      </c>
      <c r="Z185" s="30"/>
      <c r="AA185" s="30"/>
      <c r="AB185" s="31"/>
      <c r="AC185" s="32"/>
      <c r="AE185" s="2" t="s">
        <v>29</v>
      </c>
      <c r="AF185" s="2">
        <v>2023</v>
      </c>
      <c r="AG185" s="1">
        <f t="shared" si="110"/>
        <v>2118</v>
      </c>
      <c r="AH185" s="11">
        <f t="shared" si="110"/>
        <v>724157</v>
      </c>
      <c r="AI185" s="1">
        <f t="shared" si="111"/>
        <v>42256</v>
      </c>
      <c r="AJ185" s="11">
        <f t="shared" si="111"/>
        <v>16096481</v>
      </c>
      <c r="AK185" s="8">
        <f t="shared" si="111"/>
        <v>1441</v>
      </c>
      <c r="AL185" s="11">
        <f t="shared" si="111"/>
        <v>561000</v>
      </c>
      <c r="AM185" s="8">
        <f t="shared" si="111"/>
        <v>1506</v>
      </c>
      <c r="AN185" s="11">
        <f t="shared" si="111"/>
        <v>529357</v>
      </c>
      <c r="AO185" s="8">
        <f t="shared" si="111"/>
        <v>0</v>
      </c>
      <c r="AP185" s="11">
        <f t="shared" si="111"/>
        <v>0</v>
      </c>
      <c r="AQ185" s="11">
        <f t="shared" si="111"/>
        <v>36</v>
      </c>
      <c r="AR185" s="11">
        <f t="shared" si="111"/>
        <v>10002</v>
      </c>
      <c r="AS185" s="8">
        <f t="shared" si="116"/>
        <v>47357</v>
      </c>
      <c r="AT185" s="11">
        <f t="shared" si="112"/>
        <v>17920997</v>
      </c>
      <c r="AU185" s="2" t="str">
        <f t="shared" si="113"/>
        <v>CALH</v>
      </c>
      <c r="AV185" s="37">
        <f t="shared" si="114"/>
        <v>0</v>
      </c>
      <c r="AW185" s="37">
        <f t="shared" si="114"/>
        <v>0</v>
      </c>
    </row>
    <row r="186" spans="1:49" outlineLevel="1" x14ac:dyDescent="0.25">
      <c r="B186" s="2" t="s">
        <v>30</v>
      </c>
      <c r="C186" s="2">
        <v>2023</v>
      </c>
      <c r="D186" s="1">
        <v>939</v>
      </c>
      <c r="E186" s="11">
        <v>321860</v>
      </c>
      <c r="F186" s="8">
        <v>997</v>
      </c>
      <c r="G186" s="11">
        <v>341746</v>
      </c>
      <c r="H186" s="1">
        <v>320</v>
      </c>
      <c r="I186" s="11">
        <v>118962</v>
      </c>
      <c r="J186" s="1">
        <v>41728</v>
      </c>
      <c r="K186" s="11">
        <v>15831805</v>
      </c>
      <c r="L186" s="1">
        <v>1458</v>
      </c>
      <c r="M186" s="11">
        <v>554236</v>
      </c>
      <c r="N186" s="1">
        <v>1642</v>
      </c>
      <c r="O186" s="11">
        <v>574582</v>
      </c>
      <c r="P186" s="8">
        <v>0</v>
      </c>
      <c r="Q186" s="11">
        <v>0</v>
      </c>
      <c r="R186" s="8">
        <v>12</v>
      </c>
      <c r="S186" s="11">
        <v>2228</v>
      </c>
      <c r="T186" s="53">
        <f t="shared" si="115"/>
        <v>47096</v>
      </c>
      <c r="U186" s="54">
        <f t="shared" si="109"/>
        <v>17745419</v>
      </c>
      <c r="V186" s="2" t="s">
        <v>63</v>
      </c>
      <c r="Z186" s="30"/>
      <c r="AA186" s="30"/>
      <c r="AB186" s="31"/>
      <c r="AC186" s="32"/>
      <c r="AE186" s="2" t="s">
        <v>30</v>
      </c>
      <c r="AF186" s="2">
        <v>2023</v>
      </c>
      <c r="AG186" s="1">
        <f t="shared" si="110"/>
        <v>2256</v>
      </c>
      <c r="AH186" s="11">
        <f t="shared" si="110"/>
        <v>782568</v>
      </c>
      <c r="AI186" s="1">
        <f t="shared" si="111"/>
        <v>41728</v>
      </c>
      <c r="AJ186" s="11">
        <f t="shared" si="111"/>
        <v>15831805</v>
      </c>
      <c r="AK186" s="8">
        <f t="shared" si="111"/>
        <v>1458</v>
      </c>
      <c r="AL186" s="11">
        <f t="shared" si="111"/>
        <v>554236</v>
      </c>
      <c r="AM186" s="8">
        <f t="shared" si="111"/>
        <v>1642</v>
      </c>
      <c r="AN186" s="11">
        <f t="shared" si="111"/>
        <v>574582</v>
      </c>
      <c r="AO186" s="8">
        <f t="shared" si="111"/>
        <v>0</v>
      </c>
      <c r="AP186" s="11">
        <f t="shared" si="111"/>
        <v>0</v>
      </c>
      <c r="AQ186" s="11">
        <f t="shared" si="111"/>
        <v>12</v>
      </c>
      <c r="AR186" s="11">
        <f t="shared" si="111"/>
        <v>2228</v>
      </c>
      <c r="AS186" s="8">
        <f t="shared" si="116"/>
        <v>47096</v>
      </c>
      <c r="AT186" s="11">
        <f t="shared" si="112"/>
        <v>17745419</v>
      </c>
      <c r="AU186" s="2" t="str">
        <f t="shared" si="113"/>
        <v>CALH</v>
      </c>
      <c r="AV186" s="37">
        <f t="shared" si="114"/>
        <v>0</v>
      </c>
      <c r="AW186" s="37">
        <f t="shared" si="114"/>
        <v>0</v>
      </c>
    </row>
    <row r="187" spans="1:49" outlineLevel="1" x14ac:dyDescent="0.25">
      <c r="B187" s="2" t="s">
        <v>31</v>
      </c>
      <c r="C187" s="2">
        <v>2023</v>
      </c>
      <c r="D187" s="1">
        <v>1210</v>
      </c>
      <c r="E187" s="11">
        <v>342697</v>
      </c>
      <c r="F187" s="8">
        <v>891</v>
      </c>
      <c r="G187" s="11">
        <v>300108</v>
      </c>
      <c r="H187" s="1">
        <v>446</v>
      </c>
      <c r="I187" s="11">
        <v>177968</v>
      </c>
      <c r="J187" s="1">
        <v>42275</v>
      </c>
      <c r="K187" s="11">
        <v>15886874</v>
      </c>
      <c r="L187" s="1">
        <v>1530</v>
      </c>
      <c r="M187" s="11">
        <v>595253</v>
      </c>
      <c r="N187" s="1">
        <v>1639</v>
      </c>
      <c r="O187" s="11">
        <v>590980</v>
      </c>
      <c r="P187" s="8">
        <v>0</v>
      </c>
      <c r="Q187" s="11">
        <v>0</v>
      </c>
      <c r="R187" s="8">
        <v>28</v>
      </c>
      <c r="S187" s="11">
        <v>6446</v>
      </c>
      <c r="T187" s="53">
        <f t="shared" si="115"/>
        <v>48019</v>
      </c>
      <c r="U187" s="54">
        <f t="shared" si="109"/>
        <v>17900326</v>
      </c>
      <c r="V187" s="2" t="s">
        <v>63</v>
      </c>
      <c r="X187" s="13"/>
      <c r="Z187" s="30"/>
      <c r="AA187" s="30"/>
      <c r="AB187" s="31"/>
      <c r="AC187" s="32"/>
      <c r="AE187" s="2" t="s">
        <v>31</v>
      </c>
      <c r="AF187" s="2">
        <v>2023</v>
      </c>
      <c r="AG187" s="1">
        <f t="shared" si="110"/>
        <v>2547</v>
      </c>
      <c r="AH187" s="11">
        <f t="shared" si="110"/>
        <v>820773</v>
      </c>
      <c r="AI187" s="1">
        <f t="shared" si="111"/>
        <v>42275</v>
      </c>
      <c r="AJ187" s="11">
        <f t="shared" si="111"/>
        <v>15886874</v>
      </c>
      <c r="AK187" s="8">
        <f t="shared" si="111"/>
        <v>1530</v>
      </c>
      <c r="AL187" s="11">
        <f t="shared" si="111"/>
        <v>595253</v>
      </c>
      <c r="AM187" s="8">
        <f t="shared" si="111"/>
        <v>1639</v>
      </c>
      <c r="AN187" s="11">
        <f t="shared" si="111"/>
        <v>590980</v>
      </c>
      <c r="AO187" s="8">
        <f t="shared" si="111"/>
        <v>0</v>
      </c>
      <c r="AP187" s="11">
        <f t="shared" si="111"/>
        <v>0</v>
      </c>
      <c r="AQ187" s="11">
        <f t="shared" si="111"/>
        <v>28</v>
      </c>
      <c r="AR187" s="11">
        <f t="shared" si="111"/>
        <v>6446</v>
      </c>
      <c r="AS187" s="8">
        <f t="shared" si="116"/>
        <v>48019</v>
      </c>
      <c r="AT187" s="11">
        <f t="shared" si="112"/>
        <v>17900326</v>
      </c>
      <c r="AU187" s="2" t="str">
        <f t="shared" si="113"/>
        <v>CALH</v>
      </c>
      <c r="AV187" s="37">
        <f t="shared" si="114"/>
        <v>0</v>
      </c>
      <c r="AW187" s="37">
        <f t="shared" si="114"/>
        <v>0</v>
      </c>
    </row>
    <row r="188" spans="1:49" outlineLevel="1" x14ac:dyDescent="0.25">
      <c r="AH188" s="9"/>
      <c r="AJ188" s="9"/>
      <c r="AL188" s="9"/>
      <c r="AN188" s="9"/>
      <c r="AO188" s="9"/>
      <c r="AP188" s="9"/>
      <c r="AQ188" s="9"/>
      <c r="AR188" s="9"/>
      <c r="AT188" s="9"/>
    </row>
    <row r="189" spans="1:49" outlineLevel="1" x14ac:dyDescent="0.25">
      <c r="B189" s="3" t="s">
        <v>12</v>
      </c>
      <c r="C189" s="3"/>
      <c r="D189" s="4">
        <f t="shared" ref="D189:O189" si="117">SUM(D176:D188)</f>
        <v>10454</v>
      </c>
      <c r="E189" s="12">
        <f t="shared" si="117"/>
        <v>3481129</v>
      </c>
      <c r="F189" s="4">
        <f t="shared" si="117"/>
        <v>11242</v>
      </c>
      <c r="G189" s="12">
        <f t="shared" si="117"/>
        <v>4171849</v>
      </c>
      <c r="H189" s="4">
        <f t="shared" si="117"/>
        <v>3870</v>
      </c>
      <c r="I189" s="12">
        <f t="shared" si="117"/>
        <v>1551149</v>
      </c>
      <c r="J189" s="4">
        <f t="shared" si="117"/>
        <v>485463</v>
      </c>
      <c r="K189" s="12">
        <f t="shared" si="117"/>
        <v>189631990</v>
      </c>
      <c r="L189" s="4">
        <f t="shared" si="117"/>
        <v>17089</v>
      </c>
      <c r="M189" s="12">
        <f t="shared" si="117"/>
        <v>6673189</v>
      </c>
      <c r="N189" s="4">
        <f t="shared" si="117"/>
        <v>18114</v>
      </c>
      <c r="O189" s="12">
        <f t="shared" si="117"/>
        <v>6508818</v>
      </c>
      <c r="P189" s="4">
        <f>SUM(P176:P188)</f>
        <v>0</v>
      </c>
      <c r="Q189" s="12">
        <f>SUM(Q176:Q188)</f>
        <v>0</v>
      </c>
      <c r="R189" s="4">
        <f>SUM(R176:R188)</f>
        <v>477</v>
      </c>
      <c r="S189" s="12">
        <f>SUM(S176:S188)</f>
        <v>175591</v>
      </c>
      <c r="T189" s="4">
        <f t="shared" ref="T189:U189" si="118">SUM(T176:T188)</f>
        <v>546709</v>
      </c>
      <c r="U189" s="12">
        <f t="shared" si="118"/>
        <v>212193715</v>
      </c>
      <c r="Z189" s="12">
        <f>AVERAGE(Z176:Z188)</f>
        <v>22102.16</v>
      </c>
      <c r="AA189" s="12">
        <f t="shared" ref="AA189:AC189" si="119">AVERAGE(AA176:AA188)</f>
        <v>0.53848694056853286</v>
      </c>
      <c r="AB189" s="12">
        <f t="shared" si="119"/>
        <v>94792.157500000001</v>
      </c>
      <c r="AC189" s="16">
        <f t="shared" si="119"/>
        <v>5.7349365587368792E-3</v>
      </c>
      <c r="AE189" s="3" t="s">
        <v>12</v>
      </c>
      <c r="AF189" s="3"/>
      <c r="AG189" s="4">
        <f t="shared" ref="AG189:AT189" si="120">SUM(AG176:AG188)</f>
        <v>25566</v>
      </c>
      <c r="AH189" s="12">
        <f t="shared" si="120"/>
        <v>9204127</v>
      </c>
      <c r="AI189" s="4">
        <f t="shared" si="120"/>
        <v>485463</v>
      </c>
      <c r="AJ189" s="12">
        <f t="shared" si="120"/>
        <v>189631990</v>
      </c>
      <c r="AK189" s="4">
        <f t="shared" si="120"/>
        <v>17089</v>
      </c>
      <c r="AL189" s="12">
        <f t="shared" si="120"/>
        <v>6673189</v>
      </c>
      <c r="AM189" s="4">
        <f t="shared" si="120"/>
        <v>18114</v>
      </c>
      <c r="AN189" s="12">
        <f t="shared" si="120"/>
        <v>6508818</v>
      </c>
      <c r="AO189" s="4">
        <f t="shared" si="120"/>
        <v>0</v>
      </c>
      <c r="AP189" s="12">
        <f t="shared" si="120"/>
        <v>0</v>
      </c>
      <c r="AQ189" s="4">
        <f t="shared" si="120"/>
        <v>477</v>
      </c>
      <c r="AR189" s="12">
        <f t="shared" si="120"/>
        <v>175591</v>
      </c>
      <c r="AS189" s="4">
        <f t="shared" si="120"/>
        <v>546709</v>
      </c>
      <c r="AT189" s="12">
        <f t="shared" si="120"/>
        <v>212193715</v>
      </c>
    </row>
    <row r="190" spans="1:49" outlineLevel="1" x14ac:dyDescent="0.25">
      <c r="J190" s="46" t="str">
        <f>+$A$171</f>
        <v>Aforo e Ingreso - CALH</v>
      </c>
      <c r="K190" s="9" t="s">
        <v>84</v>
      </c>
      <c r="L190" s="15">
        <f>AVERAGE(L176:L187)</f>
        <v>1424.0833333333333</v>
      </c>
      <c r="M190" s="60">
        <f>AVERAGE(M176:M187)</f>
        <v>556099.08333333337</v>
      </c>
      <c r="T190" s="15">
        <f>AVERAGE(T176:T187)</f>
        <v>45559.083333333336</v>
      </c>
      <c r="U190" s="28">
        <f>AVERAGE(U176:U187)</f>
        <v>17682809.583333332</v>
      </c>
    </row>
    <row r="191" spans="1:49" outlineLevel="1" x14ac:dyDescent="0.25">
      <c r="A191" s="67" t="s">
        <v>14</v>
      </c>
      <c r="J191" s="46" t="str">
        <f>+$A$171</f>
        <v>Aforo e Ingreso - CALH</v>
      </c>
      <c r="K191" s="9" t="s">
        <v>85</v>
      </c>
      <c r="L191" s="26">
        <f>+L190/$L$337</f>
        <v>1.0662305825803043E-2</v>
      </c>
      <c r="M191" s="36">
        <f>+M190/$M$337</f>
        <v>2.7630944589416954E-2</v>
      </c>
      <c r="N191" s="18"/>
      <c r="O191" s="19"/>
      <c r="P191" s="19"/>
      <c r="Q191" s="19"/>
      <c r="R191" s="19"/>
      <c r="S191" s="19"/>
      <c r="T191" s="36">
        <f>+L190/T190</f>
        <v>3.1257945268872468E-2</v>
      </c>
      <c r="U191" s="62">
        <f>+M190/U190</f>
        <v>3.1448570472504336E-2</v>
      </c>
    </row>
    <row r="192" spans="1:49" outlineLevel="1" x14ac:dyDescent="0.25">
      <c r="A192" s="67" t="s">
        <v>50</v>
      </c>
      <c r="L192" s="26"/>
      <c r="M192" s="26"/>
    </row>
    <row r="193" spans="1:49" outlineLevel="1" x14ac:dyDescent="0.25">
      <c r="B193" s="5"/>
    </row>
    <row r="194" spans="1:49" outlineLevel="1" x14ac:dyDescent="0.25">
      <c r="D194" s="89" t="s">
        <v>15</v>
      </c>
      <c r="E194" s="90"/>
      <c r="F194" s="89" t="s">
        <v>71</v>
      </c>
      <c r="G194" s="90"/>
      <c r="H194" s="89" t="s">
        <v>16</v>
      </c>
      <c r="I194" s="90"/>
      <c r="J194" s="89" t="s">
        <v>17</v>
      </c>
      <c r="K194" s="93"/>
      <c r="L194" s="89" t="s">
        <v>18</v>
      </c>
      <c r="M194" s="93"/>
      <c r="N194" s="89" t="s">
        <v>13</v>
      </c>
      <c r="O194" s="93"/>
      <c r="P194" s="89" t="s">
        <v>34</v>
      </c>
      <c r="Q194" s="93"/>
      <c r="R194" s="89" t="s">
        <v>87</v>
      </c>
      <c r="S194" s="93"/>
      <c r="T194" s="89" t="s">
        <v>12</v>
      </c>
      <c r="U194" s="93"/>
      <c r="AG194" s="89" t="s">
        <v>69</v>
      </c>
      <c r="AH194" s="90"/>
      <c r="AI194" s="89" t="s">
        <v>17</v>
      </c>
      <c r="AJ194" s="93"/>
      <c r="AK194" s="89" t="s">
        <v>18</v>
      </c>
      <c r="AL194" s="93"/>
      <c r="AM194" s="89" t="s">
        <v>13</v>
      </c>
      <c r="AN194" s="93"/>
      <c r="AO194" s="89" t="s">
        <v>34</v>
      </c>
      <c r="AP194" s="93"/>
      <c r="AQ194" s="89" t="s">
        <v>87</v>
      </c>
      <c r="AR194" s="93"/>
      <c r="AS194" s="89" t="s">
        <v>12</v>
      </c>
      <c r="AT194" s="93"/>
    </row>
    <row r="195" spans="1:49" outlineLevel="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T195" s="7" t="s">
        <v>2</v>
      </c>
      <c r="U195" s="10" t="s">
        <v>3</v>
      </c>
      <c r="Z195" s="33">
        <v>2021</v>
      </c>
      <c r="AA195" s="34">
        <v>0.59953809803468039</v>
      </c>
      <c r="AB195" s="33">
        <f>+Z195</f>
        <v>2021</v>
      </c>
      <c r="AC195" s="35">
        <v>5.6642659507742978E-3</v>
      </c>
      <c r="AE195" s="7" t="s">
        <v>0</v>
      </c>
      <c r="AF195" s="7" t="s">
        <v>1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</row>
    <row r="196" spans="1:49" outlineLevel="1" x14ac:dyDescent="0.25">
      <c r="AH196" s="9"/>
      <c r="AJ196" s="9"/>
      <c r="AL196" s="9"/>
      <c r="AN196" s="9"/>
      <c r="AO196" s="9"/>
      <c r="AP196" s="9"/>
      <c r="AQ196" s="9"/>
      <c r="AR196" s="9"/>
      <c r="AT196" s="9"/>
    </row>
    <row r="197" spans="1:49" outlineLevel="1" x14ac:dyDescent="0.25">
      <c r="B197" s="2" t="s">
        <v>5</v>
      </c>
      <c r="C197" s="2">
        <v>2023</v>
      </c>
      <c r="D197" s="1">
        <v>8166</v>
      </c>
      <c r="E197" s="11">
        <v>355711</v>
      </c>
      <c r="F197" s="1">
        <v>3607</v>
      </c>
      <c r="G197" s="11">
        <v>184480</v>
      </c>
      <c r="H197" s="1">
        <v>3301</v>
      </c>
      <c r="I197" s="11">
        <v>137258</v>
      </c>
      <c r="J197" s="1">
        <v>160086</v>
      </c>
      <c r="K197" s="11">
        <v>8898360</v>
      </c>
      <c r="L197" s="1">
        <v>4200</v>
      </c>
      <c r="M197" s="11">
        <v>255926</v>
      </c>
      <c r="N197" s="1">
        <v>9471</v>
      </c>
      <c r="O197" s="11">
        <v>609145</v>
      </c>
      <c r="P197" s="8">
        <v>28</v>
      </c>
      <c r="Q197" s="11">
        <v>1548</v>
      </c>
      <c r="R197" s="8">
        <v>106</v>
      </c>
      <c r="S197" s="11">
        <v>5335</v>
      </c>
      <c r="T197" s="53">
        <f>N197+L197+J197+H197+D197+P197+F197+R197</f>
        <v>188965</v>
      </c>
      <c r="U197" s="54">
        <f t="shared" ref="U197:U208" si="121">O197+M197+K197+I197+E197+Q197+G197+S197</f>
        <v>10447763</v>
      </c>
      <c r="V197" s="2" t="s">
        <v>64</v>
      </c>
      <c r="Z197" s="30">
        <v>84016.37</v>
      </c>
      <c r="AA197" s="30">
        <f>+Z197/J197</f>
        <v>0.52482022163087338</v>
      </c>
      <c r="AB197" s="31">
        <v>42385.832500000004</v>
      </c>
      <c r="AC197" s="32">
        <f>+AB197/K197</f>
        <v>4.7633308272535622E-3</v>
      </c>
      <c r="AE197" s="2" t="s">
        <v>5</v>
      </c>
      <c r="AF197" s="2">
        <v>2023</v>
      </c>
      <c r="AG197" s="1">
        <f t="shared" ref="AG197:AH208" si="122">D197+H197+F197</f>
        <v>15074</v>
      </c>
      <c r="AH197" s="11">
        <f t="shared" si="122"/>
        <v>677449</v>
      </c>
      <c r="AI197" s="1">
        <f t="shared" ref="AI197:AR208" si="123">+J197</f>
        <v>160086</v>
      </c>
      <c r="AJ197" s="11">
        <f t="shared" si="123"/>
        <v>8898360</v>
      </c>
      <c r="AK197" s="8">
        <f t="shared" si="123"/>
        <v>4200</v>
      </c>
      <c r="AL197" s="11">
        <f t="shared" si="123"/>
        <v>255926</v>
      </c>
      <c r="AM197" s="8">
        <f t="shared" si="123"/>
        <v>9471</v>
      </c>
      <c r="AN197" s="11">
        <f t="shared" si="123"/>
        <v>609145</v>
      </c>
      <c r="AO197" s="8">
        <f t="shared" si="123"/>
        <v>28</v>
      </c>
      <c r="AP197" s="11">
        <f t="shared" si="123"/>
        <v>1548</v>
      </c>
      <c r="AQ197" s="11">
        <f t="shared" si="123"/>
        <v>106</v>
      </c>
      <c r="AR197" s="11">
        <f t="shared" si="123"/>
        <v>5335</v>
      </c>
      <c r="AS197" s="8">
        <f>AO197+AM197+AK197+AI197+AG197+AQ197</f>
        <v>188965</v>
      </c>
      <c r="AT197" s="11">
        <f t="shared" ref="AT197:AT208" si="124">AP197+AN197+AL197+AJ197+AH197+AR197</f>
        <v>10447763</v>
      </c>
      <c r="AU197" s="2" t="str">
        <f t="shared" ref="AU197:AU208" si="125">+V197</f>
        <v>COBI</v>
      </c>
      <c r="AV197" s="37">
        <f t="shared" ref="AV197:AW208" si="126">+AS197-T197</f>
        <v>0</v>
      </c>
      <c r="AW197" s="37">
        <f t="shared" si="126"/>
        <v>0</v>
      </c>
    </row>
    <row r="198" spans="1:49" outlineLevel="1" x14ac:dyDescent="0.25">
      <c r="B198" s="2" t="s">
        <v>6</v>
      </c>
      <c r="C198" s="2">
        <v>2023</v>
      </c>
      <c r="D198" s="1">
        <v>8497</v>
      </c>
      <c r="E198" s="11">
        <v>421289</v>
      </c>
      <c r="F198" s="1">
        <v>3660</v>
      </c>
      <c r="G198" s="11">
        <v>192254</v>
      </c>
      <c r="H198" s="1">
        <v>2495</v>
      </c>
      <c r="I198" s="11">
        <v>103011</v>
      </c>
      <c r="J198" s="1">
        <v>152871</v>
      </c>
      <c r="K198" s="11">
        <v>9127229</v>
      </c>
      <c r="L198" s="1">
        <v>3857</v>
      </c>
      <c r="M198" s="11">
        <v>243580</v>
      </c>
      <c r="N198" s="1">
        <v>9970</v>
      </c>
      <c r="O198" s="11">
        <v>702853</v>
      </c>
      <c r="P198" s="8">
        <v>64</v>
      </c>
      <c r="Q198" s="11">
        <v>4555</v>
      </c>
      <c r="R198" s="8">
        <v>135</v>
      </c>
      <c r="S198" s="11">
        <v>7577</v>
      </c>
      <c r="T198" s="53">
        <f t="shared" ref="T198:T208" si="127">N198+L198+J198+H198+D198+P198+F198+R198</f>
        <v>181549</v>
      </c>
      <c r="U198" s="54">
        <f t="shared" si="121"/>
        <v>10802348</v>
      </c>
      <c r="V198" s="2" t="s">
        <v>64</v>
      </c>
      <c r="Z198" s="30">
        <v>86187.24</v>
      </c>
      <c r="AA198" s="30">
        <f>+Z198/J198</f>
        <v>0.5637906470161117</v>
      </c>
      <c r="AB198" s="31">
        <v>41546.870000000003</v>
      </c>
      <c r="AC198" s="32">
        <f>+AB198/K198</f>
        <v>4.5519697161098948E-3</v>
      </c>
      <c r="AE198" s="2" t="s">
        <v>6</v>
      </c>
      <c r="AF198" s="2">
        <v>2023</v>
      </c>
      <c r="AG198" s="1">
        <f t="shared" si="122"/>
        <v>14652</v>
      </c>
      <c r="AH198" s="11">
        <f t="shared" si="122"/>
        <v>716554</v>
      </c>
      <c r="AI198" s="1">
        <f t="shared" si="123"/>
        <v>152871</v>
      </c>
      <c r="AJ198" s="11">
        <f t="shared" si="123"/>
        <v>9127229</v>
      </c>
      <c r="AK198" s="8">
        <f t="shared" si="123"/>
        <v>3857</v>
      </c>
      <c r="AL198" s="11">
        <f t="shared" si="123"/>
        <v>243580</v>
      </c>
      <c r="AM198" s="8">
        <f t="shared" si="123"/>
        <v>9970</v>
      </c>
      <c r="AN198" s="11">
        <f t="shared" si="123"/>
        <v>702853</v>
      </c>
      <c r="AO198" s="8">
        <f t="shared" si="123"/>
        <v>64</v>
      </c>
      <c r="AP198" s="11">
        <f t="shared" si="123"/>
        <v>4555</v>
      </c>
      <c r="AQ198" s="11">
        <f t="shared" si="123"/>
        <v>135</v>
      </c>
      <c r="AR198" s="11">
        <f t="shared" si="123"/>
        <v>7577</v>
      </c>
      <c r="AS198" s="8">
        <f t="shared" ref="AS198:AS208" si="128">AO198+AM198+AK198+AI198+AG198+AQ198</f>
        <v>181549</v>
      </c>
      <c r="AT198" s="11">
        <f t="shared" si="124"/>
        <v>10802348</v>
      </c>
      <c r="AU198" s="2" t="str">
        <f t="shared" si="125"/>
        <v>COBI</v>
      </c>
      <c r="AV198" s="37">
        <f t="shared" si="126"/>
        <v>0</v>
      </c>
      <c r="AW198" s="37">
        <f t="shared" si="126"/>
        <v>0</v>
      </c>
    </row>
    <row r="199" spans="1:49" outlineLevel="1" x14ac:dyDescent="0.25">
      <c r="B199" s="2" t="s">
        <v>7</v>
      </c>
      <c r="C199" s="2">
        <v>2023</v>
      </c>
      <c r="D199" s="1">
        <v>9647</v>
      </c>
      <c r="E199" s="11">
        <v>498915</v>
      </c>
      <c r="F199" s="1">
        <v>4214</v>
      </c>
      <c r="G199" s="11">
        <v>219199</v>
      </c>
      <c r="H199" s="1">
        <v>3039</v>
      </c>
      <c r="I199" s="11">
        <v>126337</v>
      </c>
      <c r="J199" s="1">
        <v>169130</v>
      </c>
      <c r="K199" s="11">
        <v>10221325</v>
      </c>
      <c r="L199" s="1">
        <v>4924</v>
      </c>
      <c r="M199" s="11">
        <v>325378</v>
      </c>
      <c r="N199" s="1">
        <v>10821</v>
      </c>
      <c r="O199" s="11">
        <v>773075</v>
      </c>
      <c r="P199" s="8">
        <v>43</v>
      </c>
      <c r="Q199" s="11">
        <v>2958</v>
      </c>
      <c r="R199" s="8">
        <v>175</v>
      </c>
      <c r="S199" s="11">
        <v>10491</v>
      </c>
      <c r="T199" s="53">
        <f t="shared" si="127"/>
        <v>201993</v>
      </c>
      <c r="U199" s="54">
        <f t="shared" si="121"/>
        <v>12177678</v>
      </c>
      <c r="V199" s="2" t="s">
        <v>64</v>
      </c>
      <c r="Z199" s="30">
        <v>100330.11</v>
      </c>
      <c r="AA199" s="30">
        <f>+Z199/J199</f>
        <v>0.59321297226985159</v>
      </c>
      <c r="AB199" s="31">
        <v>51372.125</v>
      </c>
      <c r="AC199" s="32">
        <f>+AB199/K199</f>
        <v>5.0259751059671814E-3</v>
      </c>
      <c r="AD199" s="13"/>
      <c r="AE199" s="2" t="s">
        <v>7</v>
      </c>
      <c r="AF199" s="2">
        <v>2023</v>
      </c>
      <c r="AG199" s="1">
        <f t="shared" si="122"/>
        <v>16900</v>
      </c>
      <c r="AH199" s="11">
        <f t="shared" si="122"/>
        <v>844451</v>
      </c>
      <c r="AI199" s="1">
        <f t="shared" si="123"/>
        <v>169130</v>
      </c>
      <c r="AJ199" s="11">
        <f t="shared" si="123"/>
        <v>10221325</v>
      </c>
      <c r="AK199" s="8">
        <f t="shared" si="123"/>
        <v>4924</v>
      </c>
      <c r="AL199" s="11">
        <f t="shared" si="123"/>
        <v>325378</v>
      </c>
      <c r="AM199" s="8">
        <f t="shared" si="123"/>
        <v>10821</v>
      </c>
      <c r="AN199" s="11">
        <f t="shared" si="123"/>
        <v>773075</v>
      </c>
      <c r="AO199" s="8">
        <f t="shared" si="123"/>
        <v>43</v>
      </c>
      <c r="AP199" s="11">
        <f t="shared" si="123"/>
        <v>2958</v>
      </c>
      <c r="AQ199" s="11">
        <f t="shared" si="123"/>
        <v>175</v>
      </c>
      <c r="AR199" s="11">
        <f t="shared" si="123"/>
        <v>10491</v>
      </c>
      <c r="AS199" s="8">
        <f t="shared" si="128"/>
        <v>201993</v>
      </c>
      <c r="AT199" s="11">
        <f t="shared" si="124"/>
        <v>12177678</v>
      </c>
      <c r="AU199" s="2" t="str">
        <f t="shared" si="125"/>
        <v>COBI</v>
      </c>
      <c r="AV199" s="37">
        <f t="shared" si="126"/>
        <v>0</v>
      </c>
      <c r="AW199" s="37">
        <f t="shared" si="126"/>
        <v>0</v>
      </c>
    </row>
    <row r="200" spans="1:49" outlineLevel="1" x14ac:dyDescent="0.25">
      <c r="B200" s="2" t="s">
        <v>8</v>
      </c>
      <c r="C200" s="2">
        <v>2023</v>
      </c>
      <c r="D200" s="1">
        <v>8602</v>
      </c>
      <c r="E200" s="11">
        <v>443781</v>
      </c>
      <c r="F200" s="1">
        <v>3834</v>
      </c>
      <c r="G200" s="11">
        <v>196737</v>
      </c>
      <c r="H200" s="1">
        <v>3076</v>
      </c>
      <c r="I200" s="11">
        <v>131002</v>
      </c>
      <c r="J200" s="1">
        <v>144613</v>
      </c>
      <c r="K200" s="11">
        <v>8626878</v>
      </c>
      <c r="L200" s="1">
        <v>3739</v>
      </c>
      <c r="M200" s="11">
        <v>244161</v>
      </c>
      <c r="N200" s="1">
        <v>9616</v>
      </c>
      <c r="O200" s="11">
        <v>693296</v>
      </c>
      <c r="P200" s="8">
        <v>17</v>
      </c>
      <c r="Q200" s="11">
        <v>1122</v>
      </c>
      <c r="R200" s="8">
        <v>179</v>
      </c>
      <c r="S200" s="11">
        <v>11326</v>
      </c>
      <c r="T200" s="53">
        <f t="shared" si="127"/>
        <v>173676</v>
      </c>
      <c r="U200" s="54">
        <f t="shared" si="121"/>
        <v>10348303</v>
      </c>
      <c r="V200" s="2" t="s">
        <v>64</v>
      </c>
      <c r="Z200" s="30">
        <v>90350.11</v>
      </c>
      <c r="AA200" s="30">
        <f>+Z200/J200</f>
        <v>0.62477170102272961</v>
      </c>
      <c r="AB200" s="31">
        <v>46563.652500000004</v>
      </c>
      <c r="AC200" s="32">
        <f>+AB200/K200</f>
        <v>5.3975090988883818E-3</v>
      </c>
      <c r="AD200" s="13"/>
      <c r="AE200" s="2" t="s">
        <v>8</v>
      </c>
      <c r="AF200" s="2">
        <v>2023</v>
      </c>
      <c r="AG200" s="1">
        <f t="shared" si="122"/>
        <v>15512</v>
      </c>
      <c r="AH200" s="11">
        <f t="shared" si="122"/>
        <v>771520</v>
      </c>
      <c r="AI200" s="1">
        <f t="shared" si="123"/>
        <v>144613</v>
      </c>
      <c r="AJ200" s="11">
        <f t="shared" si="123"/>
        <v>8626878</v>
      </c>
      <c r="AK200" s="8">
        <f t="shared" si="123"/>
        <v>3739</v>
      </c>
      <c r="AL200" s="11">
        <f t="shared" si="123"/>
        <v>244161</v>
      </c>
      <c r="AM200" s="8">
        <f t="shared" si="123"/>
        <v>9616</v>
      </c>
      <c r="AN200" s="11">
        <f t="shared" si="123"/>
        <v>693296</v>
      </c>
      <c r="AO200" s="8">
        <f t="shared" si="123"/>
        <v>17</v>
      </c>
      <c r="AP200" s="11">
        <f t="shared" si="123"/>
        <v>1122</v>
      </c>
      <c r="AQ200" s="11">
        <f t="shared" si="123"/>
        <v>179</v>
      </c>
      <c r="AR200" s="11">
        <f t="shared" si="123"/>
        <v>11326</v>
      </c>
      <c r="AS200" s="8">
        <f t="shared" si="128"/>
        <v>173676</v>
      </c>
      <c r="AT200" s="11">
        <f t="shared" si="124"/>
        <v>10348303</v>
      </c>
      <c r="AU200" s="2" t="str">
        <f t="shared" si="125"/>
        <v>COBI</v>
      </c>
      <c r="AV200" s="37">
        <f t="shared" si="126"/>
        <v>0</v>
      </c>
      <c r="AW200" s="37">
        <f t="shared" si="126"/>
        <v>0</v>
      </c>
    </row>
    <row r="201" spans="1:49" outlineLevel="1" x14ac:dyDescent="0.25">
      <c r="B201" s="2" t="s">
        <v>9</v>
      </c>
      <c r="C201" s="2">
        <v>2023</v>
      </c>
      <c r="D201" s="1">
        <v>9328</v>
      </c>
      <c r="E201" s="11">
        <v>497795</v>
      </c>
      <c r="F201" s="1">
        <v>4234</v>
      </c>
      <c r="G201" s="11">
        <v>222196</v>
      </c>
      <c r="H201" s="1">
        <v>3190</v>
      </c>
      <c r="I201" s="11">
        <v>137898</v>
      </c>
      <c r="J201" s="1">
        <v>157930</v>
      </c>
      <c r="K201" s="11">
        <v>9406792</v>
      </c>
      <c r="L201" s="1">
        <v>3729</v>
      </c>
      <c r="M201" s="11">
        <v>229986</v>
      </c>
      <c r="N201" s="1">
        <v>10595</v>
      </c>
      <c r="O201" s="11">
        <v>759398</v>
      </c>
      <c r="P201" s="8">
        <v>16</v>
      </c>
      <c r="Q201" s="11">
        <v>1291</v>
      </c>
      <c r="R201" s="8">
        <v>196</v>
      </c>
      <c r="S201" s="11">
        <v>12930</v>
      </c>
      <c r="T201" s="53">
        <f t="shared" si="127"/>
        <v>189218</v>
      </c>
      <c r="U201" s="54">
        <f t="shared" si="121"/>
        <v>11268286</v>
      </c>
      <c r="V201" s="2" t="s">
        <v>64</v>
      </c>
      <c r="Z201" s="30">
        <v>93739.640000000014</v>
      </c>
      <c r="AA201" s="30">
        <f>+Z201/J201</f>
        <v>0.59355182675869067</v>
      </c>
      <c r="AB201" s="31">
        <v>48655.097500000003</v>
      </c>
      <c r="AC201" s="32">
        <f>+AB201/K201</f>
        <v>5.172336913583292E-3</v>
      </c>
      <c r="AD201" s="13"/>
      <c r="AE201" s="2" t="s">
        <v>9</v>
      </c>
      <c r="AF201" s="2">
        <v>2023</v>
      </c>
      <c r="AG201" s="1">
        <f t="shared" si="122"/>
        <v>16752</v>
      </c>
      <c r="AH201" s="11">
        <f t="shared" si="122"/>
        <v>857889</v>
      </c>
      <c r="AI201" s="1">
        <f t="shared" si="123"/>
        <v>157930</v>
      </c>
      <c r="AJ201" s="11">
        <f t="shared" si="123"/>
        <v>9406792</v>
      </c>
      <c r="AK201" s="8">
        <f t="shared" si="123"/>
        <v>3729</v>
      </c>
      <c r="AL201" s="11">
        <f t="shared" si="123"/>
        <v>229986</v>
      </c>
      <c r="AM201" s="8">
        <f t="shared" si="123"/>
        <v>10595</v>
      </c>
      <c r="AN201" s="11">
        <f t="shared" si="123"/>
        <v>759398</v>
      </c>
      <c r="AO201" s="8">
        <f t="shared" si="123"/>
        <v>16</v>
      </c>
      <c r="AP201" s="11">
        <f t="shared" si="123"/>
        <v>1291</v>
      </c>
      <c r="AQ201" s="11">
        <f t="shared" si="123"/>
        <v>196</v>
      </c>
      <c r="AR201" s="11">
        <f t="shared" si="123"/>
        <v>12930</v>
      </c>
      <c r="AS201" s="8">
        <f t="shared" si="128"/>
        <v>189218</v>
      </c>
      <c r="AT201" s="11">
        <f t="shared" si="124"/>
        <v>11268286</v>
      </c>
      <c r="AU201" s="2" t="str">
        <f t="shared" si="125"/>
        <v>COBI</v>
      </c>
      <c r="AV201" s="37">
        <f t="shared" si="126"/>
        <v>0</v>
      </c>
      <c r="AW201" s="37">
        <f t="shared" si="126"/>
        <v>0</v>
      </c>
    </row>
    <row r="202" spans="1:49" outlineLevel="1" x14ac:dyDescent="0.25">
      <c r="B202" s="2" t="s">
        <v>10</v>
      </c>
      <c r="C202" s="2">
        <v>2023</v>
      </c>
      <c r="D202" s="1">
        <v>7859</v>
      </c>
      <c r="E202" s="11">
        <v>395480</v>
      </c>
      <c r="F202" s="1">
        <v>4432</v>
      </c>
      <c r="G202" s="11">
        <v>240382</v>
      </c>
      <c r="H202" s="1">
        <v>3302</v>
      </c>
      <c r="I202" s="11">
        <v>133175</v>
      </c>
      <c r="J202" s="1">
        <v>156800</v>
      </c>
      <c r="K202" s="11">
        <v>9367229</v>
      </c>
      <c r="L202" s="1">
        <v>3926</v>
      </c>
      <c r="M202" s="11">
        <v>247758</v>
      </c>
      <c r="N202" s="1">
        <v>9980</v>
      </c>
      <c r="O202" s="11">
        <v>702093</v>
      </c>
      <c r="P202" s="8">
        <v>25</v>
      </c>
      <c r="Q202" s="11">
        <v>1522</v>
      </c>
      <c r="R202" s="8">
        <v>234</v>
      </c>
      <c r="S202" s="11">
        <v>14887</v>
      </c>
      <c r="T202" s="53">
        <f t="shared" si="127"/>
        <v>186558</v>
      </c>
      <c r="U202" s="54">
        <f t="shared" si="121"/>
        <v>11102526</v>
      </c>
      <c r="V202" s="2" t="s">
        <v>64</v>
      </c>
      <c r="Z202" s="30"/>
      <c r="AA202" s="30"/>
      <c r="AB202" s="31"/>
      <c r="AC202" s="32"/>
      <c r="AE202" s="2" t="s">
        <v>10</v>
      </c>
      <c r="AF202" s="2">
        <v>2023</v>
      </c>
      <c r="AG202" s="1">
        <f t="shared" si="122"/>
        <v>15593</v>
      </c>
      <c r="AH202" s="11">
        <f t="shared" si="122"/>
        <v>769037</v>
      </c>
      <c r="AI202" s="1">
        <f t="shared" si="123"/>
        <v>156800</v>
      </c>
      <c r="AJ202" s="11">
        <f t="shared" si="123"/>
        <v>9367229</v>
      </c>
      <c r="AK202" s="8">
        <f t="shared" si="123"/>
        <v>3926</v>
      </c>
      <c r="AL202" s="11">
        <f t="shared" si="123"/>
        <v>247758</v>
      </c>
      <c r="AM202" s="8">
        <f t="shared" si="123"/>
        <v>9980</v>
      </c>
      <c r="AN202" s="11">
        <f t="shared" si="123"/>
        <v>702093</v>
      </c>
      <c r="AO202" s="8">
        <f t="shared" si="123"/>
        <v>25</v>
      </c>
      <c r="AP202" s="11">
        <f t="shared" si="123"/>
        <v>1522</v>
      </c>
      <c r="AQ202" s="11">
        <f t="shared" si="123"/>
        <v>234</v>
      </c>
      <c r="AR202" s="11">
        <f t="shared" si="123"/>
        <v>14887</v>
      </c>
      <c r="AS202" s="8">
        <f t="shared" si="128"/>
        <v>186558</v>
      </c>
      <c r="AT202" s="11">
        <f t="shared" si="124"/>
        <v>11102526</v>
      </c>
      <c r="AU202" s="2" t="str">
        <f t="shared" si="125"/>
        <v>COBI</v>
      </c>
      <c r="AV202" s="37">
        <f t="shared" si="126"/>
        <v>0</v>
      </c>
      <c r="AW202" s="37">
        <f t="shared" si="126"/>
        <v>0</v>
      </c>
    </row>
    <row r="203" spans="1:49" outlineLevel="1" x14ac:dyDescent="0.25">
      <c r="B203" s="2" t="s">
        <v>11</v>
      </c>
      <c r="C203" s="2">
        <v>2023</v>
      </c>
      <c r="D203" s="1">
        <v>8127</v>
      </c>
      <c r="E203" s="11">
        <v>423177</v>
      </c>
      <c r="F203" s="1">
        <v>4658</v>
      </c>
      <c r="G203" s="11">
        <v>257619</v>
      </c>
      <c r="H203" s="1">
        <v>3502</v>
      </c>
      <c r="I203" s="11">
        <v>151148</v>
      </c>
      <c r="J203" s="1">
        <v>154926</v>
      </c>
      <c r="K203" s="11">
        <v>9202109</v>
      </c>
      <c r="L203" s="1">
        <v>4065</v>
      </c>
      <c r="M203" s="11">
        <v>259112</v>
      </c>
      <c r="N203" s="1">
        <v>9800</v>
      </c>
      <c r="O203" s="11">
        <v>687861</v>
      </c>
      <c r="P203" s="8">
        <v>25</v>
      </c>
      <c r="Q203" s="11">
        <v>1254</v>
      </c>
      <c r="R203" s="8">
        <v>184</v>
      </c>
      <c r="S203" s="11">
        <v>13585</v>
      </c>
      <c r="T203" s="53">
        <f t="shared" si="127"/>
        <v>185287</v>
      </c>
      <c r="U203" s="54">
        <f t="shared" si="121"/>
        <v>10995865</v>
      </c>
      <c r="V203" s="2" t="s">
        <v>64</v>
      </c>
      <c r="Z203" s="30"/>
      <c r="AA203" s="30"/>
      <c r="AB203" s="31"/>
      <c r="AC203" s="32"/>
      <c r="AD203" s="49"/>
      <c r="AE203" s="2" t="s">
        <v>11</v>
      </c>
      <c r="AF203" s="2">
        <v>2023</v>
      </c>
      <c r="AG203" s="1">
        <f t="shared" si="122"/>
        <v>16287</v>
      </c>
      <c r="AH203" s="11">
        <f t="shared" si="122"/>
        <v>831944</v>
      </c>
      <c r="AI203" s="1">
        <f t="shared" si="123"/>
        <v>154926</v>
      </c>
      <c r="AJ203" s="11">
        <f t="shared" si="123"/>
        <v>9202109</v>
      </c>
      <c r="AK203" s="8">
        <f t="shared" si="123"/>
        <v>4065</v>
      </c>
      <c r="AL203" s="11">
        <f t="shared" si="123"/>
        <v>259112</v>
      </c>
      <c r="AM203" s="8">
        <f t="shared" si="123"/>
        <v>9800</v>
      </c>
      <c r="AN203" s="11">
        <f t="shared" si="123"/>
        <v>687861</v>
      </c>
      <c r="AO203" s="8">
        <f t="shared" si="123"/>
        <v>25</v>
      </c>
      <c r="AP203" s="11">
        <f t="shared" si="123"/>
        <v>1254</v>
      </c>
      <c r="AQ203" s="11">
        <f t="shared" si="123"/>
        <v>184</v>
      </c>
      <c r="AR203" s="11">
        <f t="shared" si="123"/>
        <v>13585</v>
      </c>
      <c r="AS203" s="8">
        <f t="shared" si="128"/>
        <v>185287</v>
      </c>
      <c r="AT203" s="11">
        <f t="shared" si="124"/>
        <v>10995865</v>
      </c>
      <c r="AU203" s="2" t="str">
        <f t="shared" si="125"/>
        <v>COBI</v>
      </c>
      <c r="AV203" s="37">
        <f t="shared" si="126"/>
        <v>0</v>
      </c>
      <c r="AW203" s="37">
        <f t="shared" si="126"/>
        <v>0</v>
      </c>
    </row>
    <row r="204" spans="1:49" outlineLevel="1" x14ac:dyDescent="0.25">
      <c r="B204" s="2" t="s">
        <v>4</v>
      </c>
      <c r="C204" s="2">
        <v>2023</v>
      </c>
      <c r="D204" s="1">
        <v>8827</v>
      </c>
      <c r="E204" s="11">
        <v>461428</v>
      </c>
      <c r="F204" s="1">
        <v>4799</v>
      </c>
      <c r="G204" s="11">
        <v>270133</v>
      </c>
      <c r="H204" s="1">
        <v>3478</v>
      </c>
      <c r="I204" s="11">
        <v>150061</v>
      </c>
      <c r="J204" s="1">
        <v>150482</v>
      </c>
      <c r="K204" s="11">
        <v>8941732</v>
      </c>
      <c r="L204" s="1">
        <v>4689</v>
      </c>
      <c r="M204" s="11">
        <v>293128</v>
      </c>
      <c r="N204" s="1">
        <v>9582</v>
      </c>
      <c r="O204" s="11">
        <v>679134</v>
      </c>
      <c r="P204" s="8">
        <v>609</v>
      </c>
      <c r="Q204" s="11">
        <v>51948</v>
      </c>
      <c r="R204" s="8">
        <v>187</v>
      </c>
      <c r="S204" s="11">
        <v>13181</v>
      </c>
      <c r="T204" s="53">
        <f t="shared" si="127"/>
        <v>182653</v>
      </c>
      <c r="U204" s="54">
        <f t="shared" si="121"/>
        <v>10860745</v>
      </c>
      <c r="V204" s="2" t="s">
        <v>64</v>
      </c>
      <c r="Z204" s="30"/>
      <c r="AA204" s="30"/>
      <c r="AB204" s="31"/>
      <c r="AC204" s="32"/>
      <c r="AE204" s="2" t="s">
        <v>4</v>
      </c>
      <c r="AF204" s="2">
        <v>2023</v>
      </c>
      <c r="AG204" s="1">
        <f t="shared" si="122"/>
        <v>17104</v>
      </c>
      <c r="AH204" s="11">
        <f t="shared" si="122"/>
        <v>881622</v>
      </c>
      <c r="AI204" s="1">
        <f t="shared" si="123"/>
        <v>150482</v>
      </c>
      <c r="AJ204" s="11">
        <f t="shared" si="123"/>
        <v>8941732</v>
      </c>
      <c r="AK204" s="8">
        <f t="shared" si="123"/>
        <v>4689</v>
      </c>
      <c r="AL204" s="11">
        <f t="shared" si="123"/>
        <v>293128</v>
      </c>
      <c r="AM204" s="8">
        <f t="shared" si="123"/>
        <v>9582</v>
      </c>
      <c r="AN204" s="11">
        <f t="shared" si="123"/>
        <v>679134</v>
      </c>
      <c r="AO204" s="8">
        <f t="shared" si="123"/>
        <v>609</v>
      </c>
      <c r="AP204" s="11">
        <f t="shared" si="123"/>
        <v>51948</v>
      </c>
      <c r="AQ204" s="11">
        <f t="shared" si="123"/>
        <v>187</v>
      </c>
      <c r="AR204" s="11">
        <f t="shared" si="123"/>
        <v>13181</v>
      </c>
      <c r="AS204" s="8">
        <f t="shared" si="128"/>
        <v>182653</v>
      </c>
      <c r="AT204" s="11">
        <f t="shared" si="124"/>
        <v>10860745</v>
      </c>
      <c r="AU204" s="2" t="str">
        <f t="shared" si="125"/>
        <v>COBI</v>
      </c>
      <c r="AV204" s="37">
        <f t="shared" si="126"/>
        <v>0</v>
      </c>
      <c r="AW204" s="37">
        <f t="shared" si="126"/>
        <v>0</v>
      </c>
    </row>
    <row r="205" spans="1:49" outlineLevel="1" x14ac:dyDescent="0.25">
      <c r="B205" s="2" t="s">
        <v>28</v>
      </c>
      <c r="C205" s="2">
        <v>2023</v>
      </c>
      <c r="D205" s="1">
        <v>8794</v>
      </c>
      <c r="E205" s="11">
        <v>462061</v>
      </c>
      <c r="F205" s="1">
        <v>5127</v>
      </c>
      <c r="G205" s="11">
        <v>288503</v>
      </c>
      <c r="H205" s="1">
        <v>3467</v>
      </c>
      <c r="I205" s="11">
        <v>141459</v>
      </c>
      <c r="J205" s="1">
        <v>146716</v>
      </c>
      <c r="K205" s="11">
        <v>8715852</v>
      </c>
      <c r="L205" s="1">
        <v>3708</v>
      </c>
      <c r="M205" s="11">
        <v>225416</v>
      </c>
      <c r="N205" s="1">
        <v>10174</v>
      </c>
      <c r="O205" s="11">
        <v>722141</v>
      </c>
      <c r="P205" s="8">
        <v>522</v>
      </c>
      <c r="Q205" s="11">
        <v>42586</v>
      </c>
      <c r="R205" s="8">
        <v>214</v>
      </c>
      <c r="S205" s="11">
        <v>15049</v>
      </c>
      <c r="T205" s="53">
        <f t="shared" si="127"/>
        <v>178722</v>
      </c>
      <c r="U205" s="54">
        <f t="shared" si="121"/>
        <v>10613067</v>
      </c>
      <c r="V205" s="2" t="s">
        <v>64</v>
      </c>
      <c r="Z205" s="30"/>
      <c r="AA205" s="30"/>
      <c r="AB205" s="31"/>
      <c r="AC205" s="32"/>
      <c r="AE205" s="2" t="s">
        <v>28</v>
      </c>
      <c r="AF205" s="2">
        <v>2023</v>
      </c>
      <c r="AG205" s="1">
        <f t="shared" si="122"/>
        <v>17388</v>
      </c>
      <c r="AH205" s="11">
        <f t="shared" si="122"/>
        <v>892023</v>
      </c>
      <c r="AI205" s="1">
        <f t="shared" si="123"/>
        <v>146716</v>
      </c>
      <c r="AJ205" s="11">
        <f t="shared" si="123"/>
        <v>8715852</v>
      </c>
      <c r="AK205" s="8">
        <f t="shared" si="123"/>
        <v>3708</v>
      </c>
      <c r="AL205" s="11">
        <f t="shared" si="123"/>
        <v>225416</v>
      </c>
      <c r="AM205" s="8">
        <f t="shared" si="123"/>
        <v>10174</v>
      </c>
      <c r="AN205" s="11">
        <f t="shared" si="123"/>
        <v>722141</v>
      </c>
      <c r="AO205" s="8">
        <f t="shared" si="123"/>
        <v>522</v>
      </c>
      <c r="AP205" s="11">
        <f t="shared" si="123"/>
        <v>42586</v>
      </c>
      <c r="AQ205" s="11">
        <f t="shared" si="123"/>
        <v>214</v>
      </c>
      <c r="AR205" s="11">
        <f t="shared" si="123"/>
        <v>15049</v>
      </c>
      <c r="AS205" s="8">
        <f t="shared" si="128"/>
        <v>178722</v>
      </c>
      <c r="AT205" s="11">
        <f t="shared" si="124"/>
        <v>10613067</v>
      </c>
      <c r="AU205" s="2" t="str">
        <f t="shared" si="125"/>
        <v>COBI</v>
      </c>
      <c r="AV205" s="37">
        <f t="shared" si="126"/>
        <v>0</v>
      </c>
      <c r="AW205" s="37">
        <f t="shared" si="126"/>
        <v>0</v>
      </c>
    </row>
    <row r="206" spans="1:49" outlineLevel="1" x14ac:dyDescent="0.25">
      <c r="B206" s="2" t="s">
        <v>29</v>
      </c>
      <c r="C206" s="2">
        <v>2023</v>
      </c>
      <c r="D206" s="1">
        <v>9240</v>
      </c>
      <c r="E206" s="11">
        <v>465326</v>
      </c>
      <c r="F206" s="1">
        <v>5288</v>
      </c>
      <c r="G206" s="11">
        <v>300645</v>
      </c>
      <c r="H206" s="1">
        <v>3894</v>
      </c>
      <c r="I206" s="11">
        <v>157135</v>
      </c>
      <c r="J206" s="1">
        <v>142402</v>
      </c>
      <c r="K206" s="11">
        <v>8471801</v>
      </c>
      <c r="L206" s="1">
        <v>3458</v>
      </c>
      <c r="M206" s="11">
        <v>212836</v>
      </c>
      <c r="N206" s="1">
        <v>11127</v>
      </c>
      <c r="O206" s="11">
        <v>794387</v>
      </c>
      <c r="P206" s="8">
        <v>225</v>
      </c>
      <c r="Q206" s="11">
        <v>18699</v>
      </c>
      <c r="R206" s="8">
        <v>279</v>
      </c>
      <c r="S206" s="11">
        <v>20128</v>
      </c>
      <c r="T206" s="53">
        <f t="shared" si="127"/>
        <v>175913</v>
      </c>
      <c r="U206" s="54">
        <f t="shared" si="121"/>
        <v>10440957</v>
      </c>
      <c r="V206" s="2" t="s">
        <v>64</v>
      </c>
      <c r="Z206" s="30"/>
      <c r="AA206" s="30"/>
      <c r="AB206" s="31"/>
      <c r="AC206" s="32"/>
      <c r="AE206" s="2" t="s">
        <v>29</v>
      </c>
      <c r="AF206" s="2">
        <v>2023</v>
      </c>
      <c r="AG206" s="1">
        <f t="shared" si="122"/>
        <v>18422</v>
      </c>
      <c r="AH206" s="11">
        <f t="shared" si="122"/>
        <v>923106</v>
      </c>
      <c r="AI206" s="1">
        <f t="shared" si="123"/>
        <v>142402</v>
      </c>
      <c r="AJ206" s="11">
        <f t="shared" si="123"/>
        <v>8471801</v>
      </c>
      <c r="AK206" s="8">
        <f t="shared" si="123"/>
        <v>3458</v>
      </c>
      <c r="AL206" s="11">
        <f t="shared" si="123"/>
        <v>212836</v>
      </c>
      <c r="AM206" s="8">
        <f t="shared" si="123"/>
        <v>11127</v>
      </c>
      <c r="AN206" s="11">
        <f t="shared" si="123"/>
        <v>794387</v>
      </c>
      <c r="AO206" s="8">
        <f t="shared" si="123"/>
        <v>225</v>
      </c>
      <c r="AP206" s="11">
        <f t="shared" si="123"/>
        <v>18699</v>
      </c>
      <c r="AQ206" s="11">
        <f t="shared" si="123"/>
        <v>279</v>
      </c>
      <c r="AR206" s="11">
        <f t="shared" si="123"/>
        <v>20128</v>
      </c>
      <c r="AS206" s="8">
        <f t="shared" si="128"/>
        <v>175913</v>
      </c>
      <c r="AT206" s="11">
        <f t="shared" si="124"/>
        <v>10440957</v>
      </c>
      <c r="AU206" s="2" t="str">
        <f t="shared" si="125"/>
        <v>COBI</v>
      </c>
      <c r="AV206" s="37">
        <f t="shared" si="126"/>
        <v>0</v>
      </c>
      <c r="AW206" s="37">
        <f t="shared" si="126"/>
        <v>0</v>
      </c>
    </row>
    <row r="207" spans="1:49" outlineLevel="1" x14ac:dyDescent="0.25">
      <c r="B207" s="2" t="s">
        <v>30</v>
      </c>
      <c r="C207" s="2">
        <v>2023</v>
      </c>
      <c r="D207" s="1">
        <v>10129</v>
      </c>
      <c r="E207" s="11">
        <v>459564</v>
      </c>
      <c r="F207" s="1">
        <v>5656</v>
      </c>
      <c r="G207" s="11">
        <v>320746</v>
      </c>
      <c r="H207" s="1">
        <v>4902</v>
      </c>
      <c r="I207" s="11">
        <v>210176</v>
      </c>
      <c r="J207" s="1">
        <v>159055</v>
      </c>
      <c r="K207" s="11">
        <v>9014796</v>
      </c>
      <c r="L207" s="1">
        <v>4286</v>
      </c>
      <c r="M207" s="11">
        <v>266577</v>
      </c>
      <c r="N207" s="1">
        <v>10917</v>
      </c>
      <c r="O207" s="11">
        <v>748854</v>
      </c>
      <c r="P207" s="8">
        <v>200</v>
      </c>
      <c r="Q207" s="11">
        <v>15549</v>
      </c>
      <c r="R207" s="8">
        <v>326</v>
      </c>
      <c r="S207" s="11">
        <v>20576</v>
      </c>
      <c r="T207" s="53">
        <f t="shared" si="127"/>
        <v>195471</v>
      </c>
      <c r="U207" s="54">
        <f t="shared" si="121"/>
        <v>11056838</v>
      </c>
      <c r="V207" s="2" t="s">
        <v>64</v>
      </c>
      <c r="Z207" s="30"/>
      <c r="AA207" s="30"/>
      <c r="AB207" s="31"/>
      <c r="AC207" s="32"/>
      <c r="AE207" s="2" t="s">
        <v>30</v>
      </c>
      <c r="AF207" s="2">
        <v>2023</v>
      </c>
      <c r="AG207" s="1">
        <f t="shared" si="122"/>
        <v>20687</v>
      </c>
      <c r="AH207" s="11">
        <f t="shared" si="122"/>
        <v>990486</v>
      </c>
      <c r="AI207" s="1">
        <f t="shared" si="123"/>
        <v>159055</v>
      </c>
      <c r="AJ207" s="11">
        <f t="shared" si="123"/>
        <v>9014796</v>
      </c>
      <c r="AK207" s="8">
        <f t="shared" si="123"/>
        <v>4286</v>
      </c>
      <c r="AL207" s="11">
        <f t="shared" si="123"/>
        <v>266577</v>
      </c>
      <c r="AM207" s="8">
        <f t="shared" si="123"/>
        <v>10917</v>
      </c>
      <c r="AN207" s="11">
        <f t="shared" si="123"/>
        <v>748854</v>
      </c>
      <c r="AO207" s="8">
        <f t="shared" si="123"/>
        <v>200</v>
      </c>
      <c r="AP207" s="11">
        <f t="shared" si="123"/>
        <v>15549</v>
      </c>
      <c r="AQ207" s="11">
        <f t="shared" si="123"/>
        <v>326</v>
      </c>
      <c r="AR207" s="11">
        <f t="shared" si="123"/>
        <v>20576</v>
      </c>
      <c r="AS207" s="8">
        <f t="shared" si="128"/>
        <v>195471</v>
      </c>
      <c r="AT207" s="11">
        <f t="shared" si="124"/>
        <v>11056838</v>
      </c>
      <c r="AU207" s="2" t="str">
        <f t="shared" si="125"/>
        <v>COBI</v>
      </c>
      <c r="AV207" s="37">
        <f t="shared" si="126"/>
        <v>0</v>
      </c>
      <c r="AW207" s="37">
        <f t="shared" si="126"/>
        <v>0</v>
      </c>
    </row>
    <row r="208" spans="1:49" outlineLevel="1" x14ac:dyDescent="0.25">
      <c r="B208" s="2" t="s">
        <v>31</v>
      </c>
      <c r="C208" s="2">
        <v>2023</v>
      </c>
      <c r="D208" s="1">
        <v>9796</v>
      </c>
      <c r="E208" s="11">
        <v>427173</v>
      </c>
      <c r="F208" s="1">
        <v>5070</v>
      </c>
      <c r="G208" s="11">
        <v>278404</v>
      </c>
      <c r="H208" s="1">
        <v>5832</v>
      </c>
      <c r="I208" s="11">
        <v>254488</v>
      </c>
      <c r="J208" s="1">
        <v>164399</v>
      </c>
      <c r="K208" s="11">
        <v>9005455</v>
      </c>
      <c r="L208" s="1">
        <v>4249</v>
      </c>
      <c r="M208" s="11">
        <v>260094</v>
      </c>
      <c r="N208" s="1">
        <v>9229</v>
      </c>
      <c r="O208" s="11">
        <v>589730</v>
      </c>
      <c r="P208" s="8">
        <v>326</v>
      </c>
      <c r="Q208" s="11">
        <v>25307</v>
      </c>
      <c r="R208" s="8">
        <v>383</v>
      </c>
      <c r="S208" s="11">
        <v>24264</v>
      </c>
      <c r="T208" s="53">
        <f t="shared" si="127"/>
        <v>199284</v>
      </c>
      <c r="U208" s="54">
        <f t="shared" si="121"/>
        <v>10864915</v>
      </c>
      <c r="V208" s="2" t="s">
        <v>64</v>
      </c>
      <c r="X208" s="13"/>
      <c r="Z208" s="30"/>
      <c r="AA208" s="30"/>
      <c r="AB208" s="31"/>
      <c r="AC208" s="32"/>
      <c r="AE208" s="2" t="s">
        <v>31</v>
      </c>
      <c r="AF208" s="2">
        <v>2023</v>
      </c>
      <c r="AG208" s="1">
        <f t="shared" si="122"/>
        <v>20698</v>
      </c>
      <c r="AH208" s="11">
        <f t="shared" si="122"/>
        <v>960065</v>
      </c>
      <c r="AI208" s="1">
        <f t="shared" si="123"/>
        <v>164399</v>
      </c>
      <c r="AJ208" s="11">
        <f t="shared" si="123"/>
        <v>9005455</v>
      </c>
      <c r="AK208" s="8">
        <f t="shared" si="123"/>
        <v>4249</v>
      </c>
      <c r="AL208" s="11">
        <f t="shared" si="123"/>
        <v>260094</v>
      </c>
      <c r="AM208" s="8">
        <f t="shared" si="123"/>
        <v>9229</v>
      </c>
      <c r="AN208" s="11">
        <f t="shared" si="123"/>
        <v>589730</v>
      </c>
      <c r="AO208" s="8">
        <f t="shared" si="123"/>
        <v>326</v>
      </c>
      <c r="AP208" s="11">
        <f t="shared" si="123"/>
        <v>25307</v>
      </c>
      <c r="AQ208" s="11">
        <f t="shared" si="123"/>
        <v>383</v>
      </c>
      <c r="AR208" s="11">
        <f t="shared" si="123"/>
        <v>24264</v>
      </c>
      <c r="AS208" s="8">
        <f t="shared" si="128"/>
        <v>199284</v>
      </c>
      <c r="AT208" s="11">
        <f t="shared" si="124"/>
        <v>10864915</v>
      </c>
      <c r="AU208" s="2" t="str">
        <f t="shared" si="125"/>
        <v>COBI</v>
      </c>
      <c r="AV208" s="37">
        <f t="shared" si="126"/>
        <v>0</v>
      </c>
      <c r="AW208" s="37">
        <f t="shared" si="126"/>
        <v>0</v>
      </c>
    </row>
    <row r="209" spans="1:49" outlineLevel="1" x14ac:dyDescent="0.25">
      <c r="AH209" s="9"/>
      <c r="AJ209" s="9"/>
      <c r="AL209" s="9"/>
      <c r="AN209" s="9"/>
      <c r="AO209" s="9"/>
      <c r="AP209" s="9"/>
      <c r="AQ209" s="9"/>
      <c r="AR209" s="9"/>
      <c r="AT209" s="9"/>
    </row>
    <row r="210" spans="1:49" outlineLevel="1" x14ac:dyDescent="0.25">
      <c r="B210" s="3" t="s">
        <v>12</v>
      </c>
      <c r="C210" s="3"/>
      <c r="D210" s="4">
        <f t="shared" ref="D210:O210" si="129">SUM(D197:D209)</f>
        <v>107012</v>
      </c>
      <c r="E210" s="12">
        <f t="shared" si="129"/>
        <v>5311700</v>
      </c>
      <c r="F210" s="4">
        <f t="shared" si="129"/>
        <v>54579</v>
      </c>
      <c r="G210" s="12">
        <f t="shared" si="129"/>
        <v>2971298</v>
      </c>
      <c r="H210" s="4">
        <f t="shared" si="129"/>
        <v>43478</v>
      </c>
      <c r="I210" s="12">
        <f t="shared" si="129"/>
        <v>1833148</v>
      </c>
      <c r="J210" s="4">
        <f t="shared" si="129"/>
        <v>1859410</v>
      </c>
      <c r="K210" s="12">
        <f t="shared" si="129"/>
        <v>108999558</v>
      </c>
      <c r="L210" s="4">
        <f t="shared" si="129"/>
        <v>48830</v>
      </c>
      <c r="M210" s="12">
        <f t="shared" si="129"/>
        <v>3063952</v>
      </c>
      <c r="N210" s="4">
        <f t="shared" si="129"/>
        <v>121282</v>
      </c>
      <c r="O210" s="12">
        <f t="shared" si="129"/>
        <v>8461967</v>
      </c>
      <c r="P210" s="4">
        <f>SUM(P197:P209)</f>
        <v>2100</v>
      </c>
      <c r="Q210" s="12">
        <f>SUM(Q197:Q209)</f>
        <v>168339</v>
      </c>
      <c r="R210" s="4">
        <f>SUM(R197:R209)</f>
        <v>2598</v>
      </c>
      <c r="S210" s="12">
        <f>SUM(S197:S209)</f>
        <v>169329</v>
      </c>
      <c r="T210" s="4">
        <f t="shared" ref="T210:U210" si="130">SUM(T197:T209)</f>
        <v>2239289</v>
      </c>
      <c r="U210" s="12">
        <f t="shared" si="130"/>
        <v>130979291</v>
      </c>
      <c r="Z210" s="12">
        <f>AVERAGE(Z197:Z209)</f>
        <v>90924.693999999989</v>
      </c>
      <c r="AA210" s="12">
        <f t="shared" ref="AA210:AC210" si="131">AVERAGE(AA197:AA209)</f>
        <v>0.58002947373965141</v>
      </c>
      <c r="AB210" s="12">
        <f t="shared" si="131"/>
        <v>46104.715500000006</v>
      </c>
      <c r="AC210" s="16">
        <f t="shared" si="131"/>
        <v>4.9822243323604624E-3</v>
      </c>
      <c r="AE210" s="3" t="s">
        <v>12</v>
      </c>
      <c r="AF210" s="3"/>
      <c r="AG210" s="4">
        <f t="shared" ref="AG210:AT210" si="132">SUM(AG197:AG209)</f>
        <v>205069</v>
      </c>
      <c r="AH210" s="12">
        <f t="shared" si="132"/>
        <v>10116146</v>
      </c>
      <c r="AI210" s="4">
        <f t="shared" si="132"/>
        <v>1859410</v>
      </c>
      <c r="AJ210" s="12">
        <f t="shared" si="132"/>
        <v>108999558</v>
      </c>
      <c r="AK210" s="4">
        <f t="shared" si="132"/>
        <v>48830</v>
      </c>
      <c r="AL210" s="12">
        <f t="shared" si="132"/>
        <v>3063952</v>
      </c>
      <c r="AM210" s="4">
        <f t="shared" si="132"/>
        <v>121282</v>
      </c>
      <c r="AN210" s="12">
        <f t="shared" si="132"/>
        <v>8461967</v>
      </c>
      <c r="AO210" s="4">
        <f t="shared" si="132"/>
        <v>2100</v>
      </c>
      <c r="AP210" s="12">
        <f t="shared" si="132"/>
        <v>168339</v>
      </c>
      <c r="AQ210" s="4">
        <f t="shared" si="132"/>
        <v>2598</v>
      </c>
      <c r="AR210" s="12">
        <f t="shared" si="132"/>
        <v>169329</v>
      </c>
      <c r="AS210" s="4">
        <f t="shared" si="132"/>
        <v>2239289</v>
      </c>
      <c r="AT210" s="12">
        <f t="shared" si="132"/>
        <v>130979291</v>
      </c>
    </row>
    <row r="211" spans="1:49" outlineLevel="1" x14ac:dyDescent="0.25">
      <c r="J211" s="46" t="str">
        <f>+$A$192</f>
        <v>Aforo e Ingreso - COBI</v>
      </c>
      <c r="K211" s="9" t="s">
        <v>84</v>
      </c>
      <c r="L211" s="15">
        <f>AVERAGE(L197:L208)</f>
        <v>4069.1666666666665</v>
      </c>
      <c r="M211" s="60">
        <f>AVERAGE(M197:M208)</f>
        <v>255329.33333333334</v>
      </c>
      <c r="T211" s="15">
        <f>AVERAGE(T197:T208)</f>
        <v>186607.41666666666</v>
      </c>
      <c r="U211" s="28">
        <f>AVERAGE(U197:U208)</f>
        <v>10914940.916666666</v>
      </c>
    </row>
    <row r="212" spans="1:49" outlineLevel="1" x14ac:dyDescent="0.25">
      <c r="A212" s="67" t="s">
        <v>14</v>
      </c>
      <c r="J212" s="46" t="str">
        <f>+$A$192</f>
        <v>Aforo e Ingreso - COBI</v>
      </c>
      <c r="K212" s="9" t="s">
        <v>85</v>
      </c>
      <c r="L212" s="26">
        <f>+L211/$L$337</f>
        <v>3.0466404908067329E-2</v>
      </c>
      <c r="M212" s="36">
        <f>+M211/$M$337</f>
        <v>1.2686571283479794E-2</v>
      </c>
      <c r="N212" s="18"/>
      <c r="O212" s="19"/>
      <c r="P212" s="19"/>
      <c r="Q212" s="19"/>
      <c r="R212" s="19"/>
      <c r="S212" s="19"/>
      <c r="T212" s="36">
        <f>+L211/T211</f>
        <v>2.1806028609973969E-2</v>
      </c>
      <c r="U212" s="62">
        <f>+M211/U211</f>
        <v>2.3392644566994948E-2</v>
      </c>
    </row>
    <row r="213" spans="1:49" outlineLevel="1" x14ac:dyDescent="0.25">
      <c r="A213" s="67" t="s">
        <v>51</v>
      </c>
      <c r="L213" s="26"/>
      <c r="M213" s="26"/>
    </row>
    <row r="214" spans="1:49" outlineLevel="1" x14ac:dyDescent="0.25">
      <c r="B214" s="5"/>
    </row>
    <row r="215" spans="1:49" outlineLevel="1" x14ac:dyDescent="0.25">
      <c r="D215" s="89" t="s">
        <v>15</v>
      </c>
      <c r="E215" s="90"/>
      <c r="F215" s="89" t="s">
        <v>71</v>
      </c>
      <c r="G215" s="90"/>
      <c r="H215" s="89" t="s">
        <v>16</v>
      </c>
      <c r="I215" s="90"/>
      <c r="J215" s="89" t="s">
        <v>17</v>
      </c>
      <c r="K215" s="93"/>
      <c r="L215" s="89" t="s">
        <v>18</v>
      </c>
      <c r="M215" s="93"/>
      <c r="N215" s="89" t="s">
        <v>13</v>
      </c>
      <c r="O215" s="93"/>
      <c r="P215" s="89" t="s">
        <v>34</v>
      </c>
      <c r="Q215" s="93"/>
      <c r="R215" s="89" t="s">
        <v>87</v>
      </c>
      <c r="S215" s="93"/>
      <c r="T215" s="89" t="s">
        <v>12</v>
      </c>
      <c r="U215" s="93"/>
      <c r="AG215" s="89" t="s">
        <v>69</v>
      </c>
      <c r="AH215" s="90"/>
      <c r="AI215" s="89" t="s">
        <v>17</v>
      </c>
      <c r="AJ215" s="93"/>
      <c r="AK215" s="89" t="s">
        <v>18</v>
      </c>
      <c r="AL215" s="93"/>
      <c r="AM215" s="89" t="s">
        <v>13</v>
      </c>
      <c r="AN215" s="93"/>
      <c r="AO215" s="89" t="s">
        <v>34</v>
      </c>
      <c r="AP215" s="93"/>
      <c r="AQ215" s="89" t="s">
        <v>87</v>
      </c>
      <c r="AR215" s="93"/>
      <c r="AS215" s="89" t="s">
        <v>12</v>
      </c>
      <c r="AT215" s="93"/>
    </row>
    <row r="216" spans="1:49" outlineLevel="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T216" s="7" t="s">
        <v>2</v>
      </c>
      <c r="U216" s="10" t="s">
        <v>3</v>
      </c>
      <c r="Z216" s="33">
        <v>2021</v>
      </c>
      <c r="AA216" s="34">
        <v>0.63375379242902985</v>
      </c>
      <c r="AB216" s="33">
        <f>+Z216</f>
        <v>2021</v>
      </c>
      <c r="AC216" s="35">
        <v>7.3423556934406843E-3</v>
      </c>
      <c r="AE216" s="7" t="s">
        <v>0</v>
      </c>
      <c r="AF216" s="7" t="s">
        <v>1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</row>
    <row r="217" spans="1:49" outlineLevel="1" x14ac:dyDescent="0.25">
      <c r="AH217" s="9"/>
      <c r="AJ217" s="9"/>
      <c r="AL217" s="9"/>
      <c r="AN217" s="9"/>
      <c r="AO217" s="9"/>
      <c r="AP217" s="9"/>
      <c r="AQ217" s="9"/>
      <c r="AR217" s="9"/>
      <c r="AT217" s="9"/>
    </row>
    <row r="218" spans="1:49" outlineLevel="1" x14ac:dyDescent="0.25">
      <c r="B218" s="2" t="s">
        <v>5</v>
      </c>
      <c r="C218" s="2">
        <v>2023</v>
      </c>
      <c r="D218" s="1">
        <v>18860</v>
      </c>
      <c r="E218" s="11">
        <v>2286677</v>
      </c>
      <c r="F218" s="1">
        <v>4761</v>
      </c>
      <c r="G218" s="11">
        <v>534536</v>
      </c>
      <c r="H218" s="1">
        <v>30266</v>
      </c>
      <c r="I218" s="11">
        <v>3390664</v>
      </c>
      <c r="J218" s="1">
        <v>272304</v>
      </c>
      <c r="K218" s="11">
        <v>41795146</v>
      </c>
      <c r="L218" s="1">
        <v>12004</v>
      </c>
      <c r="M218" s="11">
        <v>2140051</v>
      </c>
      <c r="N218" s="1">
        <v>15632</v>
      </c>
      <c r="O218" s="11">
        <v>3142898</v>
      </c>
      <c r="P218" s="8">
        <v>0</v>
      </c>
      <c r="Q218" s="11">
        <v>0</v>
      </c>
      <c r="R218" s="8">
        <v>0</v>
      </c>
      <c r="S218" s="11">
        <v>0</v>
      </c>
      <c r="T218" s="53">
        <f>N218+L218+J218+H218+D218+P218+F218+R218</f>
        <v>353827</v>
      </c>
      <c r="U218" s="54">
        <f t="shared" ref="U218:U229" si="133">O218+M218+K218+I218+E218+Q218+G218+S218</f>
        <v>53289972</v>
      </c>
      <c r="V218" s="2" t="s">
        <v>65</v>
      </c>
      <c r="Z218" s="30">
        <v>140406.66</v>
      </c>
      <c r="AA218" s="30">
        <f>+Z218/J218</f>
        <v>0.51562466948704389</v>
      </c>
      <c r="AB218" s="31">
        <v>243430.59499999997</v>
      </c>
      <c r="AC218" s="32">
        <f>+AB218/K218</f>
        <v>5.8243747970159014E-3</v>
      </c>
      <c r="AE218" s="2" t="s">
        <v>5</v>
      </c>
      <c r="AF218" s="2">
        <v>2023</v>
      </c>
      <c r="AG218" s="1">
        <f t="shared" ref="AG218:AH229" si="134">D218+H218+F218</f>
        <v>53887</v>
      </c>
      <c r="AH218" s="11">
        <f t="shared" si="134"/>
        <v>6211877</v>
      </c>
      <c r="AI218" s="1">
        <f t="shared" ref="AI218:AR229" si="135">+J218</f>
        <v>272304</v>
      </c>
      <c r="AJ218" s="11">
        <f t="shared" si="135"/>
        <v>41795146</v>
      </c>
      <c r="AK218" s="8">
        <f t="shared" si="135"/>
        <v>12004</v>
      </c>
      <c r="AL218" s="11">
        <f t="shared" si="135"/>
        <v>2140051</v>
      </c>
      <c r="AM218" s="8">
        <f t="shared" si="135"/>
        <v>15632</v>
      </c>
      <c r="AN218" s="11">
        <f t="shared" si="135"/>
        <v>3142898</v>
      </c>
      <c r="AO218" s="8">
        <f t="shared" si="135"/>
        <v>0</v>
      </c>
      <c r="AP218" s="11">
        <f t="shared" si="135"/>
        <v>0</v>
      </c>
      <c r="AQ218" s="11">
        <f t="shared" si="135"/>
        <v>0</v>
      </c>
      <c r="AR218" s="11">
        <f t="shared" si="135"/>
        <v>0</v>
      </c>
      <c r="AS218" s="8">
        <f>AO218+AM218+AK218+AI218+AG218+AQ218</f>
        <v>353827</v>
      </c>
      <c r="AT218" s="11">
        <f t="shared" ref="AT218:AT229" si="136">AP218+AN218+AL218+AJ218+AH218+AR218</f>
        <v>53289972</v>
      </c>
      <c r="AU218" s="2" t="str">
        <f t="shared" ref="AU218:AU229" si="137">+V218</f>
        <v>ACCSA</v>
      </c>
      <c r="AV218" s="37">
        <f t="shared" ref="AV218:AW229" si="138">+AS218-T218</f>
        <v>0</v>
      </c>
      <c r="AW218" s="37">
        <f t="shared" si="138"/>
        <v>0</v>
      </c>
    </row>
    <row r="219" spans="1:49" outlineLevel="1" x14ac:dyDescent="0.25">
      <c r="B219" s="2" t="s">
        <v>6</v>
      </c>
      <c r="C219" s="2">
        <v>2023</v>
      </c>
      <c r="D219" s="1">
        <v>16775</v>
      </c>
      <c r="E219" s="11">
        <v>2104307</v>
      </c>
      <c r="F219" s="1">
        <v>4395</v>
      </c>
      <c r="G219" s="11">
        <v>492556</v>
      </c>
      <c r="H219" s="1">
        <v>27608</v>
      </c>
      <c r="I219" s="11">
        <v>3145436</v>
      </c>
      <c r="J219" s="1">
        <v>250514</v>
      </c>
      <c r="K219" s="11">
        <v>39521244</v>
      </c>
      <c r="L219" s="1">
        <v>10970</v>
      </c>
      <c r="M219" s="11">
        <v>1956076</v>
      </c>
      <c r="N219" s="1">
        <v>14025</v>
      </c>
      <c r="O219" s="11">
        <v>2925078</v>
      </c>
      <c r="P219" s="8">
        <v>0</v>
      </c>
      <c r="Q219" s="11">
        <v>0</v>
      </c>
      <c r="R219" s="8">
        <v>18</v>
      </c>
      <c r="S219" s="11">
        <v>1232</v>
      </c>
      <c r="T219" s="53">
        <f>N219+L219+J219+H219+D219+P219+F219+R219</f>
        <v>324305</v>
      </c>
      <c r="U219" s="54">
        <f t="shared" si="133"/>
        <v>50145929</v>
      </c>
      <c r="V219" s="2" t="s">
        <v>65</v>
      </c>
      <c r="Z219" s="30">
        <v>140527.81</v>
      </c>
      <c r="AA219" s="30">
        <f>+Z219/J219</f>
        <v>0.56095791053593813</v>
      </c>
      <c r="AB219" s="31">
        <v>225515.29499999998</v>
      </c>
      <c r="AC219" s="32">
        <f>+AB219/K219</f>
        <v>5.7061790615700247E-3</v>
      </c>
      <c r="AE219" s="2" t="s">
        <v>6</v>
      </c>
      <c r="AF219" s="2">
        <v>2023</v>
      </c>
      <c r="AG219" s="1">
        <f t="shared" si="134"/>
        <v>48778</v>
      </c>
      <c r="AH219" s="11">
        <f t="shared" si="134"/>
        <v>5742299</v>
      </c>
      <c r="AI219" s="1">
        <f t="shared" si="135"/>
        <v>250514</v>
      </c>
      <c r="AJ219" s="11">
        <f t="shared" si="135"/>
        <v>39521244</v>
      </c>
      <c r="AK219" s="8">
        <f t="shared" si="135"/>
        <v>10970</v>
      </c>
      <c r="AL219" s="11">
        <f t="shared" si="135"/>
        <v>1956076</v>
      </c>
      <c r="AM219" s="8">
        <f t="shared" si="135"/>
        <v>14025</v>
      </c>
      <c r="AN219" s="11">
        <f t="shared" si="135"/>
        <v>2925078</v>
      </c>
      <c r="AO219" s="8">
        <f t="shared" si="135"/>
        <v>0</v>
      </c>
      <c r="AP219" s="11">
        <f t="shared" si="135"/>
        <v>0</v>
      </c>
      <c r="AQ219" s="11">
        <f t="shared" si="135"/>
        <v>18</v>
      </c>
      <c r="AR219" s="11">
        <f t="shared" si="135"/>
        <v>1232</v>
      </c>
      <c r="AS219" s="8">
        <f t="shared" ref="AS219:AS229" si="139">AO219+AM219+AK219+AI219+AG219+AQ219</f>
        <v>324305</v>
      </c>
      <c r="AT219" s="11">
        <f t="shared" si="136"/>
        <v>50145929</v>
      </c>
      <c r="AU219" s="2" t="str">
        <f t="shared" si="137"/>
        <v>ACCSA</v>
      </c>
      <c r="AV219" s="37">
        <f t="shared" si="138"/>
        <v>0</v>
      </c>
      <c r="AW219" s="37">
        <f t="shared" si="138"/>
        <v>0</v>
      </c>
    </row>
    <row r="220" spans="1:49" outlineLevel="1" x14ac:dyDescent="0.25">
      <c r="B220" s="2" t="s">
        <v>7</v>
      </c>
      <c r="C220" s="2">
        <v>2023</v>
      </c>
      <c r="D220" s="1">
        <v>19580</v>
      </c>
      <c r="E220" s="11">
        <v>2482021</v>
      </c>
      <c r="F220" s="1">
        <v>5105</v>
      </c>
      <c r="G220" s="11">
        <v>570094</v>
      </c>
      <c r="H220" s="1">
        <v>31316</v>
      </c>
      <c r="I220" s="11">
        <v>3567758</v>
      </c>
      <c r="J220" s="1">
        <v>287109</v>
      </c>
      <c r="K220" s="11">
        <v>45483943</v>
      </c>
      <c r="L220" s="1">
        <v>12374</v>
      </c>
      <c r="M220" s="11">
        <v>2195712</v>
      </c>
      <c r="N220" s="1">
        <v>16198</v>
      </c>
      <c r="O220" s="11">
        <v>3269099</v>
      </c>
      <c r="P220" s="8">
        <v>0</v>
      </c>
      <c r="Q220" s="11">
        <v>0</v>
      </c>
      <c r="R220" s="8">
        <v>24</v>
      </c>
      <c r="S220" s="11">
        <v>2109</v>
      </c>
      <c r="T220" s="53">
        <f t="shared" ref="T220:T229" si="140">N220+L220+J220+H220+D220+P220+F220+R220</f>
        <v>371706</v>
      </c>
      <c r="U220" s="54">
        <f t="shared" si="133"/>
        <v>57570736</v>
      </c>
      <c r="V220" s="2" t="s">
        <v>65</v>
      </c>
      <c r="Z220" s="30">
        <v>162225.13</v>
      </c>
      <c r="AA220" s="30">
        <f>+Z220/J220</f>
        <v>0.56502976221574386</v>
      </c>
      <c r="AB220" s="31">
        <v>277193.65999999997</v>
      </c>
      <c r="AC220" s="32">
        <f>+AB220/K220</f>
        <v>6.0943190435358684E-3</v>
      </c>
      <c r="AD220" s="13"/>
      <c r="AE220" s="2" t="s">
        <v>7</v>
      </c>
      <c r="AF220" s="2">
        <v>2023</v>
      </c>
      <c r="AG220" s="1">
        <f t="shared" si="134"/>
        <v>56001</v>
      </c>
      <c r="AH220" s="11">
        <f t="shared" si="134"/>
        <v>6619873</v>
      </c>
      <c r="AI220" s="1">
        <f t="shared" si="135"/>
        <v>287109</v>
      </c>
      <c r="AJ220" s="11">
        <f t="shared" si="135"/>
        <v>45483943</v>
      </c>
      <c r="AK220" s="8">
        <f t="shared" si="135"/>
        <v>12374</v>
      </c>
      <c r="AL220" s="11">
        <f t="shared" si="135"/>
        <v>2195712</v>
      </c>
      <c r="AM220" s="8">
        <f t="shared" si="135"/>
        <v>16198</v>
      </c>
      <c r="AN220" s="11">
        <f t="shared" si="135"/>
        <v>3269099</v>
      </c>
      <c r="AO220" s="8">
        <f t="shared" si="135"/>
        <v>0</v>
      </c>
      <c r="AP220" s="11">
        <f t="shared" si="135"/>
        <v>0</v>
      </c>
      <c r="AQ220" s="11">
        <f t="shared" si="135"/>
        <v>24</v>
      </c>
      <c r="AR220" s="11">
        <f t="shared" si="135"/>
        <v>2109</v>
      </c>
      <c r="AS220" s="8">
        <f t="shared" si="139"/>
        <v>371706</v>
      </c>
      <c r="AT220" s="11">
        <f t="shared" si="136"/>
        <v>57570736</v>
      </c>
      <c r="AU220" s="2" t="str">
        <f t="shared" si="137"/>
        <v>ACCSA</v>
      </c>
      <c r="AV220" s="37">
        <f t="shared" si="138"/>
        <v>0</v>
      </c>
      <c r="AW220" s="37">
        <f t="shared" si="138"/>
        <v>0</v>
      </c>
    </row>
    <row r="221" spans="1:49" outlineLevel="1" x14ac:dyDescent="0.25">
      <c r="B221" s="2" t="s">
        <v>8</v>
      </c>
      <c r="C221" s="2">
        <v>2023</v>
      </c>
      <c r="D221" s="1">
        <v>21311</v>
      </c>
      <c r="E221" s="11">
        <v>2493466</v>
      </c>
      <c r="F221" s="1">
        <v>5396</v>
      </c>
      <c r="G221" s="11">
        <v>604422</v>
      </c>
      <c r="H221" s="1">
        <v>31192</v>
      </c>
      <c r="I221" s="11">
        <v>3543983</v>
      </c>
      <c r="J221" s="1">
        <v>279883</v>
      </c>
      <c r="K221" s="11">
        <v>43472463</v>
      </c>
      <c r="L221" s="1">
        <v>11270</v>
      </c>
      <c r="M221" s="11">
        <v>2099910</v>
      </c>
      <c r="N221" s="1">
        <v>15808</v>
      </c>
      <c r="O221" s="11">
        <v>3095954</v>
      </c>
      <c r="P221" s="8">
        <v>0</v>
      </c>
      <c r="Q221" s="11">
        <v>0</v>
      </c>
      <c r="R221" s="8">
        <v>19</v>
      </c>
      <c r="S221" s="11">
        <v>1548</v>
      </c>
      <c r="T221" s="53">
        <f t="shared" si="140"/>
        <v>364879</v>
      </c>
      <c r="U221" s="54">
        <f t="shared" si="133"/>
        <v>55311746</v>
      </c>
      <c r="V221" s="2" t="s">
        <v>65</v>
      </c>
      <c r="Z221" s="30">
        <v>164487.87</v>
      </c>
      <c r="AA221" s="30">
        <f>+Z221/J221</f>
        <v>0.58770225415620092</v>
      </c>
      <c r="AB221" s="31">
        <v>272050.1925</v>
      </c>
      <c r="AC221" s="32">
        <f>+AB221/K221</f>
        <v>6.257988936582682E-3</v>
      </c>
      <c r="AD221" s="13"/>
      <c r="AE221" s="2" t="s">
        <v>8</v>
      </c>
      <c r="AF221" s="2">
        <v>2023</v>
      </c>
      <c r="AG221" s="1">
        <f t="shared" si="134"/>
        <v>57899</v>
      </c>
      <c r="AH221" s="11">
        <f t="shared" si="134"/>
        <v>6641871</v>
      </c>
      <c r="AI221" s="1">
        <f t="shared" si="135"/>
        <v>279883</v>
      </c>
      <c r="AJ221" s="11">
        <f t="shared" si="135"/>
        <v>43472463</v>
      </c>
      <c r="AK221" s="8">
        <f t="shared" si="135"/>
        <v>11270</v>
      </c>
      <c r="AL221" s="11">
        <f t="shared" si="135"/>
        <v>2099910</v>
      </c>
      <c r="AM221" s="8">
        <f t="shared" si="135"/>
        <v>15808</v>
      </c>
      <c r="AN221" s="11">
        <f t="shared" si="135"/>
        <v>3095954</v>
      </c>
      <c r="AO221" s="8">
        <f t="shared" si="135"/>
        <v>0</v>
      </c>
      <c r="AP221" s="11">
        <f t="shared" si="135"/>
        <v>0</v>
      </c>
      <c r="AQ221" s="11">
        <f t="shared" si="135"/>
        <v>19</v>
      </c>
      <c r="AR221" s="11">
        <f t="shared" si="135"/>
        <v>1548</v>
      </c>
      <c r="AS221" s="8">
        <f t="shared" si="139"/>
        <v>364879</v>
      </c>
      <c r="AT221" s="11">
        <f t="shared" si="136"/>
        <v>55311746</v>
      </c>
      <c r="AU221" s="2" t="str">
        <f t="shared" si="137"/>
        <v>ACCSA</v>
      </c>
      <c r="AV221" s="37">
        <f t="shared" si="138"/>
        <v>0</v>
      </c>
      <c r="AW221" s="37">
        <f t="shared" si="138"/>
        <v>0</v>
      </c>
    </row>
    <row r="222" spans="1:49" outlineLevel="1" x14ac:dyDescent="0.25">
      <c r="B222" s="2" t="s">
        <v>9</v>
      </c>
      <c r="C222" s="2">
        <v>2023</v>
      </c>
      <c r="D222" s="1">
        <v>19734</v>
      </c>
      <c r="E222" s="11">
        <v>2483411</v>
      </c>
      <c r="F222" s="1">
        <v>5599</v>
      </c>
      <c r="G222" s="11">
        <v>683925</v>
      </c>
      <c r="H222" s="1">
        <v>32011</v>
      </c>
      <c r="I222" s="11">
        <v>3606647</v>
      </c>
      <c r="J222" s="1">
        <v>280094</v>
      </c>
      <c r="K222" s="11">
        <v>44246849</v>
      </c>
      <c r="L222" s="1">
        <v>12294</v>
      </c>
      <c r="M222" s="11">
        <v>2229514</v>
      </c>
      <c r="N222" s="1">
        <v>17267</v>
      </c>
      <c r="O222" s="11">
        <v>3488724</v>
      </c>
      <c r="P222" s="8">
        <v>0</v>
      </c>
      <c r="Q222" s="11">
        <v>0</v>
      </c>
      <c r="R222" s="8">
        <v>82</v>
      </c>
      <c r="S222" s="11">
        <v>13520</v>
      </c>
      <c r="T222" s="53">
        <f t="shared" si="140"/>
        <v>367081</v>
      </c>
      <c r="U222" s="54">
        <f t="shared" si="133"/>
        <v>56752590</v>
      </c>
      <c r="V222" s="2" t="s">
        <v>65</v>
      </c>
      <c r="Z222" s="30">
        <v>164276.31</v>
      </c>
      <c r="AA222" s="30">
        <f>+Z222/J222</f>
        <v>0.5865042093011632</v>
      </c>
      <c r="AB222" s="31">
        <v>293921.14750000002</v>
      </c>
      <c r="AC222" s="32">
        <f>+AB222/K222</f>
        <v>6.6427588436862479E-3</v>
      </c>
      <c r="AD222" s="13"/>
      <c r="AE222" s="2" t="s">
        <v>9</v>
      </c>
      <c r="AF222" s="2">
        <v>2023</v>
      </c>
      <c r="AG222" s="1">
        <f t="shared" si="134"/>
        <v>57344</v>
      </c>
      <c r="AH222" s="11">
        <f t="shared" si="134"/>
        <v>6773983</v>
      </c>
      <c r="AI222" s="1">
        <f t="shared" si="135"/>
        <v>280094</v>
      </c>
      <c r="AJ222" s="11">
        <f t="shared" si="135"/>
        <v>44246849</v>
      </c>
      <c r="AK222" s="8">
        <f t="shared" si="135"/>
        <v>12294</v>
      </c>
      <c r="AL222" s="11">
        <f t="shared" si="135"/>
        <v>2229514</v>
      </c>
      <c r="AM222" s="8">
        <f t="shared" si="135"/>
        <v>17267</v>
      </c>
      <c r="AN222" s="11">
        <f t="shared" si="135"/>
        <v>3488724</v>
      </c>
      <c r="AO222" s="8">
        <f t="shared" si="135"/>
        <v>0</v>
      </c>
      <c r="AP222" s="11">
        <f t="shared" si="135"/>
        <v>0</v>
      </c>
      <c r="AQ222" s="11">
        <f t="shared" si="135"/>
        <v>82</v>
      </c>
      <c r="AR222" s="11">
        <f t="shared" si="135"/>
        <v>13520</v>
      </c>
      <c r="AS222" s="8">
        <f t="shared" si="139"/>
        <v>367081</v>
      </c>
      <c r="AT222" s="11">
        <f t="shared" si="136"/>
        <v>56752590</v>
      </c>
      <c r="AU222" s="2" t="str">
        <f t="shared" si="137"/>
        <v>ACCSA</v>
      </c>
      <c r="AV222" s="37">
        <f t="shared" si="138"/>
        <v>0</v>
      </c>
      <c r="AW222" s="37">
        <f t="shared" si="138"/>
        <v>0</v>
      </c>
    </row>
    <row r="223" spans="1:49" outlineLevel="1" x14ac:dyDescent="0.25">
      <c r="B223" s="2" t="s">
        <v>10</v>
      </c>
      <c r="C223" s="2">
        <v>2023</v>
      </c>
      <c r="D223" s="1">
        <v>22794</v>
      </c>
      <c r="E223" s="11">
        <v>2782177</v>
      </c>
      <c r="F223" s="1">
        <v>5514</v>
      </c>
      <c r="G223" s="11">
        <v>679859</v>
      </c>
      <c r="H223" s="1">
        <v>32807</v>
      </c>
      <c r="I223" s="11">
        <v>3649364</v>
      </c>
      <c r="J223" s="1">
        <v>278768</v>
      </c>
      <c r="K223" s="11">
        <v>43996164</v>
      </c>
      <c r="L223" s="1">
        <v>12635</v>
      </c>
      <c r="M223" s="11">
        <v>2331631</v>
      </c>
      <c r="N223" s="1">
        <v>17970</v>
      </c>
      <c r="O223" s="11">
        <v>3542167</v>
      </c>
      <c r="P223" s="8">
        <v>0</v>
      </c>
      <c r="Q223" s="11">
        <v>0</v>
      </c>
      <c r="R223" s="8">
        <v>80</v>
      </c>
      <c r="S223" s="11">
        <v>11985</v>
      </c>
      <c r="T223" s="53">
        <f t="shared" si="140"/>
        <v>370568</v>
      </c>
      <c r="U223" s="54">
        <f t="shared" si="133"/>
        <v>56993347</v>
      </c>
      <c r="V223" s="2" t="s">
        <v>65</v>
      </c>
      <c r="Z223" s="30"/>
      <c r="AA223" s="30"/>
      <c r="AB223" s="31"/>
      <c r="AC223" s="32"/>
      <c r="AE223" s="2" t="s">
        <v>10</v>
      </c>
      <c r="AF223" s="2">
        <v>2023</v>
      </c>
      <c r="AG223" s="1">
        <f t="shared" si="134"/>
        <v>61115</v>
      </c>
      <c r="AH223" s="11">
        <f t="shared" si="134"/>
        <v>7111400</v>
      </c>
      <c r="AI223" s="1">
        <f t="shared" si="135"/>
        <v>278768</v>
      </c>
      <c r="AJ223" s="11">
        <f t="shared" si="135"/>
        <v>43996164</v>
      </c>
      <c r="AK223" s="8">
        <f t="shared" si="135"/>
        <v>12635</v>
      </c>
      <c r="AL223" s="11">
        <f t="shared" si="135"/>
        <v>2331631</v>
      </c>
      <c r="AM223" s="8">
        <f t="shared" si="135"/>
        <v>17970</v>
      </c>
      <c r="AN223" s="11">
        <f t="shared" si="135"/>
        <v>3542167</v>
      </c>
      <c r="AO223" s="8">
        <f t="shared" si="135"/>
        <v>0</v>
      </c>
      <c r="AP223" s="11">
        <f t="shared" si="135"/>
        <v>0</v>
      </c>
      <c r="AQ223" s="11">
        <f t="shared" si="135"/>
        <v>80</v>
      </c>
      <c r="AR223" s="11">
        <f t="shared" si="135"/>
        <v>11985</v>
      </c>
      <c r="AS223" s="8">
        <f t="shared" si="139"/>
        <v>370568</v>
      </c>
      <c r="AT223" s="11">
        <f t="shared" si="136"/>
        <v>56993347</v>
      </c>
      <c r="AU223" s="2" t="str">
        <f t="shared" si="137"/>
        <v>ACCSA</v>
      </c>
      <c r="AV223" s="37">
        <f t="shared" si="138"/>
        <v>0</v>
      </c>
      <c r="AW223" s="37">
        <f t="shared" si="138"/>
        <v>0</v>
      </c>
    </row>
    <row r="224" spans="1:49" outlineLevel="1" x14ac:dyDescent="0.25">
      <c r="B224" s="2" t="s">
        <v>11</v>
      </c>
      <c r="C224" s="2">
        <v>2023</v>
      </c>
      <c r="D224" s="1">
        <v>27053</v>
      </c>
      <c r="E224" s="11">
        <v>3043092</v>
      </c>
      <c r="F224" s="1">
        <v>6309</v>
      </c>
      <c r="G224" s="11">
        <v>782007</v>
      </c>
      <c r="H224" s="1">
        <v>35375</v>
      </c>
      <c r="I224" s="11">
        <v>3995478</v>
      </c>
      <c r="J224" s="1">
        <v>288986</v>
      </c>
      <c r="K224" s="11">
        <v>44847822</v>
      </c>
      <c r="L224" s="1">
        <v>13583</v>
      </c>
      <c r="M224" s="11">
        <v>2510686</v>
      </c>
      <c r="N224" s="1">
        <v>17827</v>
      </c>
      <c r="O224" s="11">
        <v>3414810</v>
      </c>
      <c r="P224" s="8">
        <v>0</v>
      </c>
      <c r="Q224" s="11">
        <v>0</v>
      </c>
      <c r="R224" s="8">
        <v>128</v>
      </c>
      <c r="S224" s="11">
        <v>18665</v>
      </c>
      <c r="T224" s="53">
        <f t="shared" si="140"/>
        <v>389261</v>
      </c>
      <c r="U224" s="54">
        <f t="shared" si="133"/>
        <v>58612560</v>
      </c>
      <c r="V224" s="2" t="s">
        <v>65</v>
      </c>
      <c r="Z224" s="30"/>
      <c r="AA224" s="30"/>
      <c r="AB224" s="31"/>
      <c r="AC224" s="32"/>
      <c r="AE224" s="2" t="s">
        <v>11</v>
      </c>
      <c r="AF224" s="2">
        <v>2023</v>
      </c>
      <c r="AG224" s="1">
        <f t="shared" si="134"/>
        <v>68737</v>
      </c>
      <c r="AH224" s="11">
        <f t="shared" si="134"/>
        <v>7820577</v>
      </c>
      <c r="AI224" s="1">
        <f t="shared" si="135"/>
        <v>288986</v>
      </c>
      <c r="AJ224" s="11">
        <f t="shared" si="135"/>
        <v>44847822</v>
      </c>
      <c r="AK224" s="8">
        <f t="shared" si="135"/>
        <v>13583</v>
      </c>
      <c r="AL224" s="11">
        <f t="shared" si="135"/>
        <v>2510686</v>
      </c>
      <c r="AM224" s="8">
        <f t="shared" si="135"/>
        <v>17827</v>
      </c>
      <c r="AN224" s="11">
        <f t="shared" si="135"/>
        <v>3414810</v>
      </c>
      <c r="AO224" s="8">
        <f t="shared" si="135"/>
        <v>0</v>
      </c>
      <c r="AP224" s="11">
        <f t="shared" si="135"/>
        <v>0</v>
      </c>
      <c r="AQ224" s="11">
        <f t="shared" si="135"/>
        <v>128</v>
      </c>
      <c r="AR224" s="11">
        <f t="shared" si="135"/>
        <v>18665</v>
      </c>
      <c r="AS224" s="8">
        <f t="shared" si="139"/>
        <v>389261</v>
      </c>
      <c r="AT224" s="11">
        <f t="shared" si="136"/>
        <v>58612560</v>
      </c>
      <c r="AU224" s="2" t="str">
        <f t="shared" si="137"/>
        <v>ACCSA</v>
      </c>
      <c r="AV224" s="37">
        <f t="shared" si="138"/>
        <v>0</v>
      </c>
      <c r="AW224" s="37">
        <f t="shared" si="138"/>
        <v>0</v>
      </c>
    </row>
    <row r="225" spans="1:49" outlineLevel="1" x14ac:dyDescent="0.25">
      <c r="B225" s="2" t="s">
        <v>4</v>
      </c>
      <c r="C225" s="2">
        <v>2023</v>
      </c>
      <c r="D225" s="1">
        <v>27482</v>
      </c>
      <c r="E225" s="11">
        <v>3114851</v>
      </c>
      <c r="F225" s="1">
        <v>6854</v>
      </c>
      <c r="G225" s="11">
        <v>876209</v>
      </c>
      <c r="H225" s="1">
        <v>37202</v>
      </c>
      <c r="I225" s="11">
        <v>4236351</v>
      </c>
      <c r="J225" s="1">
        <v>306979</v>
      </c>
      <c r="K225" s="11">
        <v>48568018</v>
      </c>
      <c r="L225" s="1">
        <v>13960</v>
      </c>
      <c r="M225" s="11">
        <v>2589275</v>
      </c>
      <c r="N225" s="1">
        <v>19009</v>
      </c>
      <c r="O225" s="11">
        <v>3664518</v>
      </c>
      <c r="P225" s="8">
        <v>0</v>
      </c>
      <c r="Q225" s="11">
        <v>0</v>
      </c>
      <c r="R225" s="8">
        <v>139</v>
      </c>
      <c r="S225" s="11">
        <v>18890</v>
      </c>
      <c r="T225" s="53">
        <f t="shared" si="140"/>
        <v>411625</v>
      </c>
      <c r="U225" s="54">
        <f t="shared" si="133"/>
        <v>63068112</v>
      </c>
      <c r="V225" s="2" t="s">
        <v>65</v>
      </c>
      <c r="Z225" s="30"/>
      <c r="AA225" s="30"/>
      <c r="AB225" s="31"/>
      <c r="AC225" s="32"/>
      <c r="AE225" s="2" t="s">
        <v>4</v>
      </c>
      <c r="AF225" s="2">
        <v>2023</v>
      </c>
      <c r="AG225" s="1">
        <f t="shared" si="134"/>
        <v>71538</v>
      </c>
      <c r="AH225" s="11">
        <f t="shared" si="134"/>
        <v>8227411</v>
      </c>
      <c r="AI225" s="1">
        <f t="shared" si="135"/>
        <v>306979</v>
      </c>
      <c r="AJ225" s="11">
        <f t="shared" si="135"/>
        <v>48568018</v>
      </c>
      <c r="AK225" s="8">
        <f t="shared" si="135"/>
        <v>13960</v>
      </c>
      <c r="AL225" s="11">
        <f t="shared" si="135"/>
        <v>2589275</v>
      </c>
      <c r="AM225" s="8">
        <f t="shared" si="135"/>
        <v>19009</v>
      </c>
      <c r="AN225" s="11">
        <f t="shared" si="135"/>
        <v>3664518</v>
      </c>
      <c r="AO225" s="8">
        <f t="shared" si="135"/>
        <v>0</v>
      </c>
      <c r="AP225" s="11">
        <f t="shared" si="135"/>
        <v>0</v>
      </c>
      <c r="AQ225" s="11">
        <f t="shared" si="135"/>
        <v>139</v>
      </c>
      <c r="AR225" s="11">
        <f t="shared" si="135"/>
        <v>18890</v>
      </c>
      <c r="AS225" s="8">
        <f t="shared" si="139"/>
        <v>411625</v>
      </c>
      <c r="AT225" s="11">
        <f t="shared" si="136"/>
        <v>63068112</v>
      </c>
      <c r="AU225" s="2" t="str">
        <f t="shared" si="137"/>
        <v>ACCSA</v>
      </c>
      <c r="AV225" s="37">
        <f t="shared" si="138"/>
        <v>0</v>
      </c>
      <c r="AW225" s="37">
        <f t="shared" si="138"/>
        <v>0</v>
      </c>
    </row>
    <row r="226" spans="1:49" outlineLevel="1" x14ac:dyDescent="0.25">
      <c r="B226" s="2" t="s">
        <v>28</v>
      </c>
      <c r="C226" s="2">
        <v>2023</v>
      </c>
      <c r="D226" s="1">
        <v>24568</v>
      </c>
      <c r="E226" s="11">
        <v>2853752</v>
      </c>
      <c r="F226" s="1">
        <v>6772</v>
      </c>
      <c r="G226" s="11">
        <v>871801</v>
      </c>
      <c r="H226" s="1">
        <v>33775</v>
      </c>
      <c r="I226" s="11">
        <v>3965108</v>
      </c>
      <c r="J226" s="1">
        <v>285384</v>
      </c>
      <c r="K226" s="11">
        <v>45723699</v>
      </c>
      <c r="L226" s="1">
        <v>13245</v>
      </c>
      <c r="M226" s="11">
        <v>2455372</v>
      </c>
      <c r="N226" s="1">
        <v>17911</v>
      </c>
      <c r="O226" s="11">
        <v>3361991</v>
      </c>
      <c r="P226" s="8">
        <v>0</v>
      </c>
      <c r="Q226" s="11">
        <v>0</v>
      </c>
      <c r="R226" s="8">
        <v>124</v>
      </c>
      <c r="S226" s="11">
        <v>14971</v>
      </c>
      <c r="T226" s="53">
        <f t="shared" si="140"/>
        <v>381779</v>
      </c>
      <c r="U226" s="54">
        <f t="shared" si="133"/>
        <v>59246694</v>
      </c>
      <c r="V226" s="2" t="s">
        <v>65</v>
      </c>
      <c r="Z226" s="30"/>
      <c r="AA226" s="30"/>
      <c r="AB226" s="31"/>
      <c r="AC226" s="32"/>
      <c r="AE226" s="2" t="s">
        <v>28</v>
      </c>
      <c r="AF226" s="2">
        <v>2023</v>
      </c>
      <c r="AG226" s="1">
        <f t="shared" si="134"/>
        <v>65115</v>
      </c>
      <c r="AH226" s="11">
        <f t="shared" si="134"/>
        <v>7690661</v>
      </c>
      <c r="AI226" s="1">
        <f t="shared" si="135"/>
        <v>285384</v>
      </c>
      <c r="AJ226" s="11">
        <f t="shared" si="135"/>
        <v>45723699</v>
      </c>
      <c r="AK226" s="8">
        <f t="shared" si="135"/>
        <v>13245</v>
      </c>
      <c r="AL226" s="11">
        <f t="shared" si="135"/>
        <v>2455372</v>
      </c>
      <c r="AM226" s="8">
        <f t="shared" si="135"/>
        <v>17911</v>
      </c>
      <c r="AN226" s="11">
        <f t="shared" si="135"/>
        <v>3361991</v>
      </c>
      <c r="AO226" s="8">
        <f t="shared" si="135"/>
        <v>0</v>
      </c>
      <c r="AP226" s="11">
        <f t="shared" si="135"/>
        <v>0</v>
      </c>
      <c r="AQ226" s="11">
        <f t="shared" si="135"/>
        <v>124</v>
      </c>
      <c r="AR226" s="11">
        <f t="shared" si="135"/>
        <v>14971</v>
      </c>
      <c r="AS226" s="8">
        <f t="shared" si="139"/>
        <v>381779</v>
      </c>
      <c r="AT226" s="11">
        <f t="shared" si="136"/>
        <v>59246694</v>
      </c>
      <c r="AU226" s="2" t="str">
        <f t="shared" si="137"/>
        <v>ACCSA</v>
      </c>
      <c r="AV226" s="37">
        <f t="shared" si="138"/>
        <v>0</v>
      </c>
      <c r="AW226" s="37">
        <f t="shared" si="138"/>
        <v>0</v>
      </c>
    </row>
    <row r="227" spans="1:49" outlineLevel="1" x14ac:dyDescent="0.25">
      <c r="B227" s="2" t="s">
        <v>29</v>
      </c>
      <c r="C227" s="2">
        <v>2023</v>
      </c>
      <c r="D227" s="1">
        <v>24961</v>
      </c>
      <c r="E227" s="11">
        <v>2910638</v>
      </c>
      <c r="F227" s="1">
        <v>7349</v>
      </c>
      <c r="G227" s="11">
        <v>961459</v>
      </c>
      <c r="H227" s="1">
        <v>33845</v>
      </c>
      <c r="I227" s="11">
        <v>3976923</v>
      </c>
      <c r="J227" s="1">
        <v>275139</v>
      </c>
      <c r="K227" s="11">
        <v>44461343</v>
      </c>
      <c r="L227" s="1">
        <v>12303</v>
      </c>
      <c r="M227" s="11">
        <v>2313878</v>
      </c>
      <c r="N227" s="1">
        <v>17500</v>
      </c>
      <c r="O227" s="11">
        <v>3348000</v>
      </c>
      <c r="P227" s="8">
        <v>0</v>
      </c>
      <c r="Q227" s="11">
        <v>0</v>
      </c>
      <c r="R227" s="8">
        <v>126</v>
      </c>
      <c r="S227" s="11">
        <v>17587</v>
      </c>
      <c r="T227" s="53">
        <f t="shared" si="140"/>
        <v>371223</v>
      </c>
      <c r="U227" s="54">
        <f t="shared" si="133"/>
        <v>57989828</v>
      </c>
      <c r="V227" s="2" t="s">
        <v>65</v>
      </c>
      <c r="Z227" s="30"/>
      <c r="AA227" s="30"/>
      <c r="AB227" s="31"/>
      <c r="AC227" s="32"/>
      <c r="AE227" s="2" t="s">
        <v>29</v>
      </c>
      <c r="AF227" s="2">
        <v>2023</v>
      </c>
      <c r="AG227" s="1">
        <f t="shared" si="134"/>
        <v>66155</v>
      </c>
      <c r="AH227" s="11">
        <f t="shared" si="134"/>
        <v>7849020</v>
      </c>
      <c r="AI227" s="1">
        <f t="shared" si="135"/>
        <v>275139</v>
      </c>
      <c r="AJ227" s="11">
        <f t="shared" si="135"/>
        <v>44461343</v>
      </c>
      <c r="AK227" s="8">
        <f t="shared" si="135"/>
        <v>12303</v>
      </c>
      <c r="AL227" s="11">
        <f t="shared" si="135"/>
        <v>2313878</v>
      </c>
      <c r="AM227" s="8">
        <f t="shared" si="135"/>
        <v>17500</v>
      </c>
      <c r="AN227" s="11">
        <f t="shared" si="135"/>
        <v>3348000</v>
      </c>
      <c r="AO227" s="8">
        <f t="shared" si="135"/>
        <v>0</v>
      </c>
      <c r="AP227" s="11">
        <f t="shared" si="135"/>
        <v>0</v>
      </c>
      <c r="AQ227" s="11">
        <f t="shared" si="135"/>
        <v>126</v>
      </c>
      <c r="AR227" s="11">
        <f t="shared" si="135"/>
        <v>17587</v>
      </c>
      <c r="AS227" s="8">
        <f t="shared" si="139"/>
        <v>371223</v>
      </c>
      <c r="AT227" s="11">
        <f t="shared" si="136"/>
        <v>57989828</v>
      </c>
      <c r="AU227" s="2" t="str">
        <f t="shared" si="137"/>
        <v>ACCSA</v>
      </c>
      <c r="AV227" s="37">
        <f t="shared" si="138"/>
        <v>0</v>
      </c>
      <c r="AW227" s="37">
        <f t="shared" si="138"/>
        <v>0</v>
      </c>
    </row>
    <row r="228" spans="1:49" outlineLevel="1" x14ac:dyDescent="0.25">
      <c r="B228" s="2" t="s">
        <v>30</v>
      </c>
      <c r="C228" s="2">
        <v>2023</v>
      </c>
      <c r="D228" s="1">
        <v>27485</v>
      </c>
      <c r="E228" s="11">
        <v>3090150</v>
      </c>
      <c r="F228" s="1">
        <v>8830</v>
      </c>
      <c r="G228" s="11">
        <v>1122683</v>
      </c>
      <c r="H228" s="1">
        <v>33861</v>
      </c>
      <c r="I228" s="11">
        <v>3884776</v>
      </c>
      <c r="J228" s="1">
        <v>323045</v>
      </c>
      <c r="K228" s="11">
        <v>50904710</v>
      </c>
      <c r="L228" s="1">
        <v>13775</v>
      </c>
      <c r="M228" s="11">
        <v>2506994</v>
      </c>
      <c r="N228" s="1">
        <v>19928</v>
      </c>
      <c r="O228" s="11">
        <v>3610768</v>
      </c>
      <c r="P228" s="8">
        <v>0</v>
      </c>
      <c r="Q228" s="11">
        <v>0</v>
      </c>
      <c r="R228" s="8">
        <v>279</v>
      </c>
      <c r="S228" s="11">
        <v>30844</v>
      </c>
      <c r="T228" s="53">
        <f t="shared" si="140"/>
        <v>427203</v>
      </c>
      <c r="U228" s="54">
        <f t="shared" si="133"/>
        <v>65150925</v>
      </c>
      <c r="V228" s="2" t="s">
        <v>65</v>
      </c>
      <c r="Z228" s="30"/>
      <c r="AA228" s="30"/>
      <c r="AB228" s="31"/>
      <c r="AC228" s="32"/>
      <c r="AE228" s="2" t="s">
        <v>30</v>
      </c>
      <c r="AF228" s="2">
        <v>2023</v>
      </c>
      <c r="AG228" s="1">
        <f t="shared" si="134"/>
        <v>70176</v>
      </c>
      <c r="AH228" s="11">
        <f t="shared" si="134"/>
        <v>8097609</v>
      </c>
      <c r="AI228" s="1">
        <f t="shared" si="135"/>
        <v>323045</v>
      </c>
      <c r="AJ228" s="11">
        <f t="shared" si="135"/>
        <v>50904710</v>
      </c>
      <c r="AK228" s="8">
        <f t="shared" si="135"/>
        <v>13775</v>
      </c>
      <c r="AL228" s="11">
        <f t="shared" si="135"/>
        <v>2506994</v>
      </c>
      <c r="AM228" s="8">
        <f t="shared" si="135"/>
        <v>19928</v>
      </c>
      <c r="AN228" s="11">
        <f t="shared" si="135"/>
        <v>3610768</v>
      </c>
      <c r="AO228" s="8">
        <f t="shared" si="135"/>
        <v>0</v>
      </c>
      <c r="AP228" s="11">
        <f t="shared" si="135"/>
        <v>0</v>
      </c>
      <c r="AQ228" s="11">
        <f t="shared" si="135"/>
        <v>279</v>
      </c>
      <c r="AR228" s="11">
        <f t="shared" si="135"/>
        <v>30844</v>
      </c>
      <c r="AS228" s="8">
        <f t="shared" si="139"/>
        <v>427203</v>
      </c>
      <c r="AT228" s="11">
        <f t="shared" si="136"/>
        <v>65150925</v>
      </c>
      <c r="AU228" s="2" t="str">
        <f t="shared" si="137"/>
        <v>ACCSA</v>
      </c>
      <c r="AV228" s="37">
        <f t="shared" si="138"/>
        <v>0</v>
      </c>
      <c r="AW228" s="37">
        <f t="shared" si="138"/>
        <v>0</v>
      </c>
    </row>
    <row r="229" spans="1:49" outlineLevel="1" x14ac:dyDescent="0.25">
      <c r="B229" s="2" t="s">
        <v>31</v>
      </c>
      <c r="C229" s="2">
        <v>2023</v>
      </c>
      <c r="D229" s="1">
        <v>35001</v>
      </c>
      <c r="E229" s="11">
        <v>3803000</v>
      </c>
      <c r="F229" s="1">
        <v>10977</v>
      </c>
      <c r="G229" s="11">
        <v>1464828</v>
      </c>
      <c r="H229" s="1">
        <v>38078</v>
      </c>
      <c r="I229" s="11">
        <v>4211656</v>
      </c>
      <c r="J229" s="1">
        <v>349923</v>
      </c>
      <c r="K229" s="11">
        <v>55502822</v>
      </c>
      <c r="L229" s="1">
        <v>14496</v>
      </c>
      <c r="M229" s="11">
        <v>2754904</v>
      </c>
      <c r="N229" s="8">
        <v>21346</v>
      </c>
      <c r="O229" s="11">
        <v>4131869</v>
      </c>
      <c r="P229" s="8">
        <v>1</v>
      </c>
      <c r="Q229" s="11">
        <v>211</v>
      </c>
      <c r="R229" s="8">
        <v>338</v>
      </c>
      <c r="S229" s="11">
        <v>40280</v>
      </c>
      <c r="T229" s="53">
        <f t="shared" si="140"/>
        <v>470160</v>
      </c>
      <c r="U229" s="54">
        <f t="shared" si="133"/>
        <v>71909570</v>
      </c>
      <c r="V229" s="2" t="s">
        <v>65</v>
      </c>
      <c r="X229" s="13"/>
      <c r="Z229" s="30"/>
      <c r="AA229" s="30"/>
      <c r="AB229" s="31"/>
      <c r="AC229" s="32"/>
      <c r="AE229" s="2" t="s">
        <v>31</v>
      </c>
      <c r="AF229" s="2">
        <v>2023</v>
      </c>
      <c r="AG229" s="1">
        <f t="shared" si="134"/>
        <v>84056</v>
      </c>
      <c r="AH229" s="11">
        <f t="shared" si="134"/>
        <v>9479484</v>
      </c>
      <c r="AI229" s="1">
        <f t="shared" si="135"/>
        <v>349923</v>
      </c>
      <c r="AJ229" s="11">
        <f t="shared" si="135"/>
        <v>55502822</v>
      </c>
      <c r="AK229" s="8">
        <f t="shared" si="135"/>
        <v>14496</v>
      </c>
      <c r="AL229" s="11">
        <f t="shared" si="135"/>
        <v>2754904</v>
      </c>
      <c r="AM229" s="8">
        <f t="shared" si="135"/>
        <v>21346</v>
      </c>
      <c r="AN229" s="11">
        <f t="shared" si="135"/>
        <v>4131869</v>
      </c>
      <c r="AO229" s="8">
        <f t="shared" si="135"/>
        <v>1</v>
      </c>
      <c r="AP229" s="11">
        <f t="shared" si="135"/>
        <v>211</v>
      </c>
      <c r="AQ229" s="11">
        <f t="shared" si="135"/>
        <v>338</v>
      </c>
      <c r="AR229" s="11">
        <f t="shared" si="135"/>
        <v>40280</v>
      </c>
      <c r="AS229" s="8">
        <f t="shared" si="139"/>
        <v>470160</v>
      </c>
      <c r="AT229" s="11">
        <f t="shared" si="136"/>
        <v>71909570</v>
      </c>
      <c r="AU229" s="2" t="str">
        <f t="shared" si="137"/>
        <v>ACCSA</v>
      </c>
      <c r="AV229" s="37">
        <f t="shared" si="138"/>
        <v>0</v>
      </c>
      <c r="AW229" s="37">
        <f t="shared" si="138"/>
        <v>0</v>
      </c>
    </row>
    <row r="230" spans="1:49" outlineLevel="1" x14ac:dyDescent="0.25">
      <c r="AH230" s="9"/>
      <c r="AJ230" s="9"/>
      <c r="AL230" s="9"/>
      <c r="AN230" s="9"/>
      <c r="AO230" s="9"/>
      <c r="AP230" s="9"/>
      <c r="AQ230" s="9"/>
      <c r="AR230" s="9"/>
      <c r="AT230" s="9"/>
    </row>
    <row r="231" spans="1:49" outlineLevel="1" x14ac:dyDescent="0.25">
      <c r="B231" s="3" t="s">
        <v>12</v>
      </c>
      <c r="C231" s="3"/>
      <c r="D231" s="4">
        <f t="shared" ref="D231:U231" si="141">SUM(D218:D230)</f>
        <v>285604</v>
      </c>
      <c r="E231" s="12">
        <f t="shared" si="141"/>
        <v>33447542</v>
      </c>
      <c r="F231" s="4">
        <f t="shared" si="141"/>
        <v>77861</v>
      </c>
      <c r="G231" s="12">
        <f t="shared" si="141"/>
        <v>9644379</v>
      </c>
      <c r="H231" s="4">
        <f t="shared" si="141"/>
        <v>397336</v>
      </c>
      <c r="I231" s="12">
        <f t="shared" si="141"/>
        <v>45174144</v>
      </c>
      <c r="J231" s="4">
        <f t="shared" si="141"/>
        <v>3478128</v>
      </c>
      <c r="K231" s="12">
        <f t="shared" si="141"/>
        <v>548524223</v>
      </c>
      <c r="L231" s="4">
        <f t="shared" si="141"/>
        <v>152909</v>
      </c>
      <c r="M231" s="12">
        <f t="shared" si="141"/>
        <v>28084003</v>
      </c>
      <c r="N231" s="4">
        <f t="shared" si="141"/>
        <v>210421</v>
      </c>
      <c r="O231" s="12">
        <f t="shared" si="141"/>
        <v>40995876</v>
      </c>
      <c r="P231" s="4">
        <f>SUM(P218:P230)</f>
        <v>1</v>
      </c>
      <c r="Q231" s="12">
        <f>SUM(Q218:Q230)</f>
        <v>211</v>
      </c>
      <c r="R231" s="4">
        <f>SUM(R218:R230)</f>
        <v>1357</v>
      </c>
      <c r="S231" s="12">
        <f>SUM(S218:S230)</f>
        <v>171631</v>
      </c>
      <c r="T231" s="4">
        <f t="shared" si="141"/>
        <v>4603617</v>
      </c>
      <c r="U231" s="12">
        <f t="shared" si="141"/>
        <v>706042009</v>
      </c>
      <c r="Z231" s="12">
        <f>AVERAGE(Z218:Z230)</f>
        <v>154384.75599999999</v>
      </c>
      <c r="AA231" s="12">
        <f>AVERAGE(AA218:AA230)</f>
        <v>0.56316376113921796</v>
      </c>
      <c r="AB231" s="12">
        <f t="shared" ref="AB231:AC231" si="142">AVERAGE(AB218:AB230)</f>
        <v>262422.17799999996</v>
      </c>
      <c r="AC231" s="16">
        <f t="shared" si="142"/>
        <v>6.1051241364781447E-3</v>
      </c>
      <c r="AE231" s="3" t="s">
        <v>12</v>
      </c>
      <c r="AF231" s="3"/>
      <c r="AG231" s="4">
        <f t="shared" ref="AG231:AT231" si="143">SUM(AG218:AG230)</f>
        <v>760801</v>
      </c>
      <c r="AH231" s="12">
        <f t="shared" si="143"/>
        <v>88266065</v>
      </c>
      <c r="AI231" s="4">
        <f t="shared" si="143"/>
        <v>3478128</v>
      </c>
      <c r="AJ231" s="12">
        <f t="shared" si="143"/>
        <v>548524223</v>
      </c>
      <c r="AK231" s="4">
        <f t="shared" si="143"/>
        <v>152909</v>
      </c>
      <c r="AL231" s="12">
        <f t="shared" si="143"/>
        <v>28084003</v>
      </c>
      <c r="AM231" s="4">
        <f t="shared" si="143"/>
        <v>210421</v>
      </c>
      <c r="AN231" s="12">
        <f t="shared" si="143"/>
        <v>40995876</v>
      </c>
      <c r="AO231" s="4">
        <f t="shared" si="143"/>
        <v>1</v>
      </c>
      <c r="AP231" s="12">
        <f t="shared" si="143"/>
        <v>211</v>
      </c>
      <c r="AQ231" s="4">
        <f t="shared" si="143"/>
        <v>1357</v>
      </c>
      <c r="AR231" s="12">
        <f t="shared" si="143"/>
        <v>171631</v>
      </c>
      <c r="AS231" s="4">
        <f t="shared" si="143"/>
        <v>4603617</v>
      </c>
      <c r="AT231" s="12">
        <f t="shared" si="143"/>
        <v>706042009</v>
      </c>
    </row>
    <row r="232" spans="1:49" outlineLevel="1" x14ac:dyDescent="0.25">
      <c r="J232" s="46" t="str">
        <f>+$A$213</f>
        <v>Aforo e Ingreso - ACCSA</v>
      </c>
      <c r="K232" s="9" t="s">
        <v>84</v>
      </c>
      <c r="L232" s="15">
        <f>AVERAGE(L218:L229)</f>
        <v>12742.416666666666</v>
      </c>
      <c r="M232" s="60">
        <f>AVERAGE(M218:M229)</f>
        <v>2340333.5833333335</v>
      </c>
      <c r="T232" s="15">
        <f>AVERAGE(T218:T229)</f>
        <v>383634.75</v>
      </c>
      <c r="U232" s="28">
        <f>AVERAGE(U218:U229)</f>
        <v>58836834.083333336</v>
      </c>
    </row>
    <row r="233" spans="1:49" outlineLevel="1" x14ac:dyDescent="0.25">
      <c r="A233" s="67" t="s">
        <v>14</v>
      </c>
      <c r="J233" s="46" t="str">
        <f>+$A$213</f>
        <v>Aforo e Ingreso - ACCSA</v>
      </c>
      <c r="K233" s="9" t="s">
        <v>85</v>
      </c>
      <c r="L233" s="26">
        <f>+L232/$L$337</f>
        <v>9.5404208644023492E-2</v>
      </c>
      <c r="M233" s="36">
        <f>+M232/$M$337</f>
        <v>0.11628436280495269</v>
      </c>
      <c r="N233" s="18"/>
      <c r="O233" s="19"/>
      <c r="P233" s="19"/>
      <c r="Q233" s="19"/>
      <c r="R233" s="19"/>
      <c r="S233" s="19"/>
      <c r="T233" s="36">
        <f>+L232/T232</f>
        <v>3.3214969881291169E-2</v>
      </c>
      <c r="U233" s="62">
        <f>+M232/U232</f>
        <v>3.9776674251687481E-2</v>
      </c>
    </row>
    <row r="234" spans="1:49" outlineLevel="1" x14ac:dyDescent="0.25">
      <c r="A234" s="67" t="s">
        <v>55</v>
      </c>
      <c r="L234" s="26"/>
      <c r="M234" s="26"/>
    </row>
    <row r="235" spans="1:49" outlineLevel="1" x14ac:dyDescent="0.25">
      <c r="B235" s="5"/>
    </row>
    <row r="236" spans="1:49" outlineLevel="1" x14ac:dyDescent="0.25">
      <c r="D236" s="89" t="s">
        <v>15</v>
      </c>
      <c r="E236" s="90"/>
      <c r="F236" s="89" t="s">
        <v>71</v>
      </c>
      <c r="G236" s="90"/>
      <c r="H236" s="89" t="s">
        <v>16</v>
      </c>
      <c r="I236" s="90"/>
      <c r="J236" s="89" t="s">
        <v>17</v>
      </c>
      <c r="K236" s="93"/>
      <c r="L236" s="89" t="s">
        <v>18</v>
      </c>
      <c r="M236" s="93"/>
      <c r="N236" s="89" t="s">
        <v>13</v>
      </c>
      <c r="O236" s="93"/>
      <c r="P236" s="89" t="s">
        <v>34</v>
      </c>
      <c r="Q236" s="93"/>
      <c r="R236" s="89" t="s">
        <v>87</v>
      </c>
      <c r="S236" s="93"/>
      <c r="T236" s="89" t="s">
        <v>12</v>
      </c>
      <c r="U236" s="93"/>
      <c r="AG236" s="89" t="s">
        <v>69</v>
      </c>
      <c r="AH236" s="90"/>
      <c r="AI236" s="89" t="s">
        <v>17</v>
      </c>
      <c r="AJ236" s="93"/>
      <c r="AK236" s="89" t="s">
        <v>18</v>
      </c>
      <c r="AL236" s="93"/>
      <c r="AM236" s="89" t="s">
        <v>13</v>
      </c>
      <c r="AN236" s="93"/>
      <c r="AO236" s="89" t="s">
        <v>34</v>
      </c>
      <c r="AP236" s="93"/>
      <c r="AQ236" s="89" t="s">
        <v>87</v>
      </c>
      <c r="AR236" s="93"/>
      <c r="AS236" s="89" t="s">
        <v>12</v>
      </c>
      <c r="AT236" s="93"/>
    </row>
    <row r="237" spans="1:49" outlineLevel="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T237" s="7" t="s">
        <v>2</v>
      </c>
      <c r="U237" s="10" t="s">
        <v>3</v>
      </c>
      <c r="Z237" s="33">
        <v>2021</v>
      </c>
      <c r="AA237" s="34">
        <v>0.78040950724163505</v>
      </c>
      <c r="AB237" s="33">
        <v>2020</v>
      </c>
      <c r="AC237" s="35">
        <v>3.8521068701415418E-3</v>
      </c>
      <c r="AE237" s="7" t="s">
        <v>0</v>
      </c>
      <c r="AF237" s="7" t="s">
        <v>1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</row>
    <row r="238" spans="1:49" outlineLevel="1" x14ac:dyDescent="0.25">
      <c r="AH238" s="9"/>
      <c r="AJ238" s="9"/>
      <c r="AL238" s="9"/>
      <c r="AN238" s="9"/>
      <c r="AO238" s="9"/>
      <c r="AP238" s="9"/>
      <c r="AQ238" s="9"/>
      <c r="AR238" s="9"/>
      <c r="AT238" s="9"/>
    </row>
    <row r="239" spans="1:49" outlineLevel="1" x14ac:dyDescent="0.25">
      <c r="B239" s="2" t="s">
        <v>5</v>
      </c>
      <c r="C239" s="2">
        <v>2023</v>
      </c>
      <c r="D239" s="1">
        <v>12380</v>
      </c>
      <c r="E239" s="11">
        <v>727849</v>
      </c>
      <c r="F239" s="1">
        <v>4208</v>
      </c>
      <c r="G239" s="11">
        <v>227085</v>
      </c>
      <c r="H239" s="1">
        <v>1252</v>
      </c>
      <c r="I239" s="11">
        <v>119343</v>
      </c>
      <c r="J239" s="1">
        <v>164993</v>
      </c>
      <c r="K239" s="11">
        <v>11909045</v>
      </c>
      <c r="L239" s="1">
        <v>1084</v>
      </c>
      <c r="M239" s="11">
        <v>108433</v>
      </c>
      <c r="N239" s="1">
        <v>23335</v>
      </c>
      <c r="O239" s="11">
        <v>1671850</v>
      </c>
      <c r="P239" s="8">
        <v>0</v>
      </c>
      <c r="Q239" s="11">
        <v>0</v>
      </c>
      <c r="R239" s="8">
        <v>39</v>
      </c>
      <c r="S239" s="11">
        <v>2048</v>
      </c>
      <c r="T239" s="53">
        <f>N239+L239+J239+H239+D239+P239+F239+R239</f>
        <v>207291</v>
      </c>
      <c r="U239" s="54">
        <f t="shared" ref="U239:U250" si="144">O239+M239+K239+I239+E239+Q239+G239+S239</f>
        <v>14765653</v>
      </c>
      <c r="V239" s="2" t="s">
        <v>66</v>
      </c>
      <c r="Z239" s="30">
        <v>97324.85</v>
      </c>
      <c r="AA239" s="30">
        <f>+Z239/J239</f>
        <v>0.5898726006557854</v>
      </c>
      <c r="AB239" s="31">
        <v>32244.98</v>
      </c>
      <c r="AC239" s="32">
        <f>+AB239/K239</f>
        <v>2.7076041781687785E-3</v>
      </c>
      <c r="AE239" s="2" t="s">
        <v>5</v>
      </c>
      <c r="AF239" s="2">
        <v>2023</v>
      </c>
      <c r="AG239" s="1">
        <f t="shared" ref="AG239:AH250" si="145">D239+H239+F239</f>
        <v>17840</v>
      </c>
      <c r="AH239" s="11">
        <f t="shared" si="145"/>
        <v>1074277</v>
      </c>
      <c r="AI239" s="1">
        <f t="shared" ref="AI239:AR250" si="146">+J239</f>
        <v>164993</v>
      </c>
      <c r="AJ239" s="11">
        <f t="shared" si="146"/>
        <v>11909045</v>
      </c>
      <c r="AK239" s="8">
        <f t="shared" si="146"/>
        <v>1084</v>
      </c>
      <c r="AL239" s="11">
        <f t="shared" si="146"/>
        <v>108433</v>
      </c>
      <c r="AM239" s="8">
        <f t="shared" si="146"/>
        <v>23335</v>
      </c>
      <c r="AN239" s="11">
        <f t="shared" si="146"/>
        <v>1671850</v>
      </c>
      <c r="AO239" s="8">
        <f t="shared" si="146"/>
        <v>0</v>
      </c>
      <c r="AP239" s="11">
        <f t="shared" si="146"/>
        <v>0</v>
      </c>
      <c r="AQ239" s="11">
        <f t="shared" si="146"/>
        <v>39</v>
      </c>
      <c r="AR239" s="11">
        <f t="shared" si="146"/>
        <v>2048</v>
      </c>
      <c r="AS239" s="8">
        <f>AO239+AM239+AK239+AI239+AG239+AQ239</f>
        <v>207291</v>
      </c>
      <c r="AT239" s="11">
        <f t="shared" ref="AT239:AT250" si="147">AP239+AN239+AL239+AJ239+AH239+AR239</f>
        <v>14765653</v>
      </c>
      <c r="AU239" s="2" t="str">
        <f t="shared" ref="AU239:AU250" si="148">+V239</f>
        <v>LERMA</v>
      </c>
      <c r="AV239" s="37">
        <f t="shared" ref="AV239:AW250" si="149">+AS239-T239</f>
        <v>0</v>
      </c>
      <c r="AW239" s="37">
        <f t="shared" si="149"/>
        <v>0</v>
      </c>
    </row>
    <row r="240" spans="1:49" outlineLevel="1" x14ac:dyDescent="0.25">
      <c r="B240" s="2" t="s">
        <v>6</v>
      </c>
      <c r="C240" s="2">
        <v>2023</v>
      </c>
      <c r="D240" s="1">
        <v>12548</v>
      </c>
      <c r="E240" s="11">
        <v>806710</v>
      </c>
      <c r="F240" s="1">
        <v>4162</v>
      </c>
      <c r="G240" s="11">
        <v>247665</v>
      </c>
      <c r="H240" s="1">
        <v>1248</v>
      </c>
      <c r="I240" s="11">
        <v>118984</v>
      </c>
      <c r="J240" s="1">
        <v>157952</v>
      </c>
      <c r="K240" s="11">
        <v>12024695</v>
      </c>
      <c r="L240" s="1">
        <v>1105</v>
      </c>
      <c r="M240" s="11">
        <v>117048</v>
      </c>
      <c r="N240" s="1">
        <v>20695</v>
      </c>
      <c r="O240" s="11">
        <v>1560311</v>
      </c>
      <c r="P240" s="8">
        <v>0</v>
      </c>
      <c r="Q240" s="11">
        <v>0</v>
      </c>
      <c r="R240" s="8">
        <v>28</v>
      </c>
      <c r="S240" s="11">
        <v>1534</v>
      </c>
      <c r="T240" s="53">
        <f t="shared" ref="T240:T250" si="150">N240+L240+J240+H240+D240+P240+F240+R240</f>
        <v>197738</v>
      </c>
      <c r="U240" s="54">
        <f t="shared" si="144"/>
        <v>14876947</v>
      </c>
      <c r="V240" s="2" t="s">
        <v>66</v>
      </c>
      <c r="Z240" s="30">
        <v>107995.38</v>
      </c>
      <c r="AA240" s="30">
        <f>+Z240/J240</f>
        <v>0.68372277653970825</v>
      </c>
      <c r="AB240" s="31">
        <v>34384.997499999998</v>
      </c>
      <c r="AC240" s="32">
        <f>+AB240/K240</f>
        <v>2.8595317802239473E-3</v>
      </c>
      <c r="AE240" s="2" t="s">
        <v>6</v>
      </c>
      <c r="AF240" s="2">
        <v>2023</v>
      </c>
      <c r="AG240" s="1">
        <f t="shared" si="145"/>
        <v>17958</v>
      </c>
      <c r="AH240" s="11">
        <f t="shared" si="145"/>
        <v>1173359</v>
      </c>
      <c r="AI240" s="1">
        <f t="shared" si="146"/>
        <v>157952</v>
      </c>
      <c r="AJ240" s="11">
        <f t="shared" si="146"/>
        <v>12024695</v>
      </c>
      <c r="AK240" s="8">
        <f t="shared" si="146"/>
        <v>1105</v>
      </c>
      <c r="AL240" s="11">
        <f t="shared" si="146"/>
        <v>117048</v>
      </c>
      <c r="AM240" s="8">
        <f t="shared" si="146"/>
        <v>20695</v>
      </c>
      <c r="AN240" s="11">
        <f t="shared" si="146"/>
        <v>1560311</v>
      </c>
      <c r="AO240" s="8">
        <f t="shared" si="146"/>
        <v>0</v>
      </c>
      <c r="AP240" s="11">
        <f t="shared" si="146"/>
        <v>0</v>
      </c>
      <c r="AQ240" s="11">
        <f t="shared" si="146"/>
        <v>28</v>
      </c>
      <c r="AR240" s="11">
        <f t="shared" si="146"/>
        <v>1534</v>
      </c>
      <c r="AS240" s="8">
        <f t="shared" ref="AS240:AS250" si="151">AO240+AM240+AK240+AI240+AG240+AQ240</f>
        <v>197738</v>
      </c>
      <c r="AT240" s="11">
        <f t="shared" si="147"/>
        <v>14876947</v>
      </c>
      <c r="AU240" s="2" t="str">
        <f t="shared" si="148"/>
        <v>LERMA</v>
      </c>
      <c r="AV240" s="37">
        <f t="shared" si="149"/>
        <v>0</v>
      </c>
      <c r="AW240" s="37">
        <f t="shared" si="149"/>
        <v>0</v>
      </c>
    </row>
    <row r="241" spans="1:49" outlineLevel="1" x14ac:dyDescent="0.25">
      <c r="B241" s="2" t="s">
        <v>7</v>
      </c>
      <c r="C241" s="2">
        <v>2023</v>
      </c>
      <c r="D241" s="1">
        <v>15735</v>
      </c>
      <c r="E241" s="11">
        <v>1008384</v>
      </c>
      <c r="F241" s="1">
        <v>3118</v>
      </c>
      <c r="G241" s="11">
        <v>195661</v>
      </c>
      <c r="H241" s="1">
        <v>1345</v>
      </c>
      <c r="I241" s="11">
        <v>124492</v>
      </c>
      <c r="J241" s="1">
        <v>177941</v>
      </c>
      <c r="K241" s="11">
        <v>13873741</v>
      </c>
      <c r="L241" s="1">
        <v>1297</v>
      </c>
      <c r="M241" s="11">
        <v>134739</v>
      </c>
      <c r="N241" s="1">
        <v>23250</v>
      </c>
      <c r="O241" s="11">
        <v>1776509</v>
      </c>
      <c r="P241" s="8">
        <v>0</v>
      </c>
      <c r="Q241" s="11">
        <v>0</v>
      </c>
      <c r="R241" s="8">
        <v>38</v>
      </c>
      <c r="S241" s="11">
        <v>1844</v>
      </c>
      <c r="T241" s="53">
        <f t="shared" si="150"/>
        <v>222724</v>
      </c>
      <c r="U241" s="54">
        <f t="shared" si="144"/>
        <v>17115370</v>
      </c>
      <c r="V241" s="2" t="s">
        <v>66</v>
      </c>
      <c r="Z241" s="30">
        <v>129636.07</v>
      </c>
      <c r="AA241" s="30">
        <f>+Z241/J241</f>
        <v>0.72853400846347949</v>
      </c>
      <c r="AB241" s="31">
        <v>42589.497499999998</v>
      </c>
      <c r="AC241" s="32">
        <f>+AB241/K241</f>
        <v>3.0697918823769303E-3</v>
      </c>
      <c r="AD241" s="13"/>
      <c r="AE241" s="2" t="s">
        <v>7</v>
      </c>
      <c r="AF241" s="2">
        <v>2023</v>
      </c>
      <c r="AG241" s="1">
        <f t="shared" si="145"/>
        <v>20198</v>
      </c>
      <c r="AH241" s="11">
        <f t="shared" si="145"/>
        <v>1328537</v>
      </c>
      <c r="AI241" s="1">
        <f t="shared" si="146"/>
        <v>177941</v>
      </c>
      <c r="AJ241" s="11">
        <f t="shared" si="146"/>
        <v>13873741</v>
      </c>
      <c r="AK241" s="8">
        <f t="shared" si="146"/>
        <v>1297</v>
      </c>
      <c r="AL241" s="11">
        <f t="shared" si="146"/>
        <v>134739</v>
      </c>
      <c r="AM241" s="8">
        <f t="shared" si="146"/>
        <v>23250</v>
      </c>
      <c r="AN241" s="11">
        <f t="shared" si="146"/>
        <v>1776509</v>
      </c>
      <c r="AO241" s="8">
        <f t="shared" si="146"/>
        <v>0</v>
      </c>
      <c r="AP241" s="11">
        <f t="shared" si="146"/>
        <v>0</v>
      </c>
      <c r="AQ241" s="11">
        <f t="shared" si="146"/>
        <v>38</v>
      </c>
      <c r="AR241" s="11">
        <f t="shared" si="146"/>
        <v>1844</v>
      </c>
      <c r="AS241" s="8">
        <f t="shared" si="151"/>
        <v>222724</v>
      </c>
      <c r="AT241" s="11">
        <f t="shared" si="147"/>
        <v>17115370</v>
      </c>
      <c r="AU241" s="2" t="str">
        <f t="shared" si="148"/>
        <v>LERMA</v>
      </c>
      <c r="AV241" s="37">
        <f t="shared" si="149"/>
        <v>0</v>
      </c>
      <c r="AW241" s="37">
        <f t="shared" si="149"/>
        <v>0</v>
      </c>
    </row>
    <row r="242" spans="1:49" outlineLevel="1" x14ac:dyDescent="0.25">
      <c r="B242" s="2" t="s">
        <v>8</v>
      </c>
      <c r="C242" s="2">
        <v>2023</v>
      </c>
      <c r="D242" s="1">
        <v>14077</v>
      </c>
      <c r="E242" s="11">
        <v>877518</v>
      </c>
      <c r="F242" s="1">
        <v>4300</v>
      </c>
      <c r="G242" s="11">
        <v>254640</v>
      </c>
      <c r="H242" s="1">
        <v>1465</v>
      </c>
      <c r="I242" s="11">
        <v>139046</v>
      </c>
      <c r="J242" s="1">
        <v>164134</v>
      </c>
      <c r="K242" s="11">
        <v>12422892</v>
      </c>
      <c r="L242" s="1">
        <v>1214</v>
      </c>
      <c r="M242" s="11">
        <v>123253</v>
      </c>
      <c r="N242" s="1">
        <v>21735</v>
      </c>
      <c r="O242" s="11">
        <v>1732256</v>
      </c>
      <c r="P242" s="8">
        <v>0</v>
      </c>
      <c r="Q242" s="11">
        <v>0</v>
      </c>
      <c r="R242" s="8">
        <v>39</v>
      </c>
      <c r="S242" s="11">
        <v>2139</v>
      </c>
      <c r="T242" s="53">
        <f t="shared" si="150"/>
        <v>206964</v>
      </c>
      <c r="U242" s="54">
        <f t="shared" si="144"/>
        <v>15551744</v>
      </c>
      <c r="V242" s="2" t="s">
        <v>66</v>
      </c>
      <c r="Z242" s="30">
        <v>129471.20999999999</v>
      </c>
      <c r="AA242" s="30">
        <f>+Z242/J242</f>
        <v>0.78881407874054121</v>
      </c>
      <c r="AB242" s="31">
        <v>38608.21</v>
      </c>
      <c r="AC242" s="32">
        <f>+AB242/K242</f>
        <v>3.1078278713201402E-3</v>
      </c>
      <c r="AD242" s="13"/>
      <c r="AE242" s="2" t="s">
        <v>8</v>
      </c>
      <c r="AF242" s="2">
        <v>2023</v>
      </c>
      <c r="AG242" s="1">
        <f t="shared" si="145"/>
        <v>19842</v>
      </c>
      <c r="AH242" s="11">
        <f t="shared" si="145"/>
        <v>1271204</v>
      </c>
      <c r="AI242" s="1">
        <f t="shared" si="146"/>
        <v>164134</v>
      </c>
      <c r="AJ242" s="11">
        <f t="shared" si="146"/>
        <v>12422892</v>
      </c>
      <c r="AK242" s="8">
        <f t="shared" si="146"/>
        <v>1214</v>
      </c>
      <c r="AL242" s="11">
        <f t="shared" si="146"/>
        <v>123253</v>
      </c>
      <c r="AM242" s="8">
        <f t="shared" si="146"/>
        <v>21735</v>
      </c>
      <c r="AN242" s="11">
        <f t="shared" si="146"/>
        <v>1732256</v>
      </c>
      <c r="AO242" s="8">
        <f t="shared" si="146"/>
        <v>0</v>
      </c>
      <c r="AP242" s="11">
        <f t="shared" si="146"/>
        <v>0</v>
      </c>
      <c r="AQ242" s="11">
        <f t="shared" si="146"/>
        <v>39</v>
      </c>
      <c r="AR242" s="11">
        <f t="shared" si="146"/>
        <v>2139</v>
      </c>
      <c r="AS242" s="8">
        <f t="shared" si="151"/>
        <v>206964</v>
      </c>
      <c r="AT242" s="11">
        <f t="shared" si="147"/>
        <v>15551744</v>
      </c>
      <c r="AU242" s="2" t="str">
        <f t="shared" si="148"/>
        <v>LERMA</v>
      </c>
      <c r="AV242" s="37">
        <f t="shared" si="149"/>
        <v>0</v>
      </c>
      <c r="AW242" s="37">
        <f t="shared" si="149"/>
        <v>0</v>
      </c>
    </row>
    <row r="243" spans="1:49" outlineLevel="1" x14ac:dyDescent="0.25">
      <c r="B243" s="2" t="s">
        <v>9</v>
      </c>
      <c r="C243" s="2">
        <v>2023</v>
      </c>
      <c r="D243" s="1">
        <v>14968</v>
      </c>
      <c r="E243" s="11">
        <v>950303</v>
      </c>
      <c r="F243" s="1">
        <v>4576</v>
      </c>
      <c r="G243" s="11">
        <v>282176</v>
      </c>
      <c r="H243" s="1">
        <v>1847</v>
      </c>
      <c r="I243" s="11">
        <v>183776</v>
      </c>
      <c r="J243" s="1">
        <v>180176</v>
      </c>
      <c r="K243" s="11">
        <v>14006905</v>
      </c>
      <c r="L243" s="1">
        <v>1230</v>
      </c>
      <c r="M243" s="11">
        <v>129377</v>
      </c>
      <c r="N243" s="1">
        <v>25697</v>
      </c>
      <c r="O243" s="11">
        <v>2077346</v>
      </c>
      <c r="P243" s="8">
        <v>0</v>
      </c>
      <c r="Q243" s="11">
        <v>0</v>
      </c>
      <c r="R243" s="8">
        <v>31</v>
      </c>
      <c r="S243" s="11">
        <v>1509</v>
      </c>
      <c r="T243" s="53">
        <f t="shared" si="150"/>
        <v>228525</v>
      </c>
      <c r="U243" s="54">
        <f t="shared" si="144"/>
        <v>17631392</v>
      </c>
      <c r="V243" s="2" t="s">
        <v>66</v>
      </c>
      <c r="Z243" s="30">
        <v>126266.14</v>
      </c>
      <c r="AA243" s="30">
        <f>+Z243/J243</f>
        <v>0.70079333540538136</v>
      </c>
      <c r="AB243" s="31">
        <v>39028.635000000002</v>
      </c>
      <c r="AC243" s="32">
        <f>+AB243/K243</f>
        <v>2.7863853577931742E-3</v>
      </c>
      <c r="AD243" s="13"/>
      <c r="AE243" s="2" t="s">
        <v>9</v>
      </c>
      <c r="AF243" s="2">
        <v>2023</v>
      </c>
      <c r="AG243" s="1">
        <f t="shared" si="145"/>
        <v>21391</v>
      </c>
      <c r="AH243" s="11">
        <f t="shared" si="145"/>
        <v>1416255</v>
      </c>
      <c r="AI243" s="1">
        <f t="shared" si="146"/>
        <v>180176</v>
      </c>
      <c r="AJ243" s="11">
        <f t="shared" si="146"/>
        <v>14006905</v>
      </c>
      <c r="AK243" s="8">
        <f t="shared" si="146"/>
        <v>1230</v>
      </c>
      <c r="AL243" s="11">
        <f t="shared" si="146"/>
        <v>129377</v>
      </c>
      <c r="AM243" s="8">
        <f t="shared" si="146"/>
        <v>25697</v>
      </c>
      <c r="AN243" s="11">
        <f t="shared" si="146"/>
        <v>2077346</v>
      </c>
      <c r="AO243" s="8">
        <f t="shared" si="146"/>
        <v>0</v>
      </c>
      <c r="AP243" s="11">
        <f t="shared" si="146"/>
        <v>0</v>
      </c>
      <c r="AQ243" s="11">
        <f t="shared" si="146"/>
        <v>31</v>
      </c>
      <c r="AR243" s="11">
        <f t="shared" si="146"/>
        <v>1509</v>
      </c>
      <c r="AS243" s="8">
        <f t="shared" si="151"/>
        <v>228525</v>
      </c>
      <c r="AT243" s="11">
        <f t="shared" si="147"/>
        <v>17631392</v>
      </c>
      <c r="AU243" s="2" t="str">
        <f t="shared" si="148"/>
        <v>LERMA</v>
      </c>
      <c r="AV243" s="37">
        <f t="shared" si="149"/>
        <v>0</v>
      </c>
      <c r="AW243" s="37">
        <f t="shared" si="149"/>
        <v>0</v>
      </c>
    </row>
    <row r="244" spans="1:49" outlineLevel="1" x14ac:dyDescent="0.25">
      <c r="B244" s="2" t="s">
        <v>10</v>
      </c>
      <c r="C244" s="2">
        <v>2023</v>
      </c>
      <c r="D244" s="1">
        <v>13068</v>
      </c>
      <c r="E244" s="11">
        <v>839507</v>
      </c>
      <c r="F244" s="1">
        <v>5127</v>
      </c>
      <c r="G244" s="11">
        <v>320505</v>
      </c>
      <c r="H244" s="1">
        <v>1856</v>
      </c>
      <c r="I244" s="11">
        <v>182510</v>
      </c>
      <c r="J244" s="1">
        <v>168058</v>
      </c>
      <c r="K244" s="11">
        <v>13084458</v>
      </c>
      <c r="L244" s="1">
        <v>1077</v>
      </c>
      <c r="M244" s="11">
        <v>119829</v>
      </c>
      <c r="N244" s="1">
        <v>23486</v>
      </c>
      <c r="O244" s="11">
        <v>1857875</v>
      </c>
      <c r="P244" s="8">
        <v>0</v>
      </c>
      <c r="Q244" s="11">
        <v>0</v>
      </c>
      <c r="R244" s="8">
        <v>80</v>
      </c>
      <c r="S244" s="11">
        <v>4267</v>
      </c>
      <c r="T244" s="53">
        <f t="shared" si="150"/>
        <v>212752</v>
      </c>
      <c r="U244" s="54">
        <f t="shared" si="144"/>
        <v>16408951</v>
      </c>
      <c r="V244" s="2" t="s">
        <v>66</v>
      </c>
      <c r="Z244" s="30"/>
      <c r="AA244" s="30"/>
      <c r="AB244" s="31"/>
      <c r="AC244" s="32"/>
      <c r="AE244" s="2" t="s">
        <v>10</v>
      </c>
      <c r="AF244" s="2">
        <v>2023</v>
      </c>
      <c r="AG244" s="1">
        <f t="shared" si="145"/>
        <v>20051</v>
      </c>
      <c r="AH244" s="11">
        <f t="shared" si="145"/>
        <v>1342522</v>
      </c>
      <c r="AI244" s="1">
        <f t="shared" si="146"/>
        <v>168058</v>
      </c>
      <c r="AJ244" s="11">
        <f t="shared" si="146"/>
        <v>13084458</v>
      </c>
      <c r="AK244" s="8">
        <f t="shared" si="146"/>
        <v>1077</v>
      </c>
      <c r="AL244" s="11">
        <f t="shared" si="146"/>
        <v>119829</v>
      </c>
      <c r="AM244" s="8">
        <f t="shared" si="146"/>
        <v>23486</v>
      </c>
      <c r="AN244" s="11">
        <f t="shared" si="146"/>
        <v>1857875</v>
      </c>
      <c r="AO244" s="8">
        <f t="shared" si="146"/>
        <v>0</v>
      </c>
      <c r="AP244" s="11">
        <f t="shared" si="146"/>
        <v>0</v>
      </c>
      <c r="AQ244" s="11">
        <f t="shared" si="146"/>
        <v>80</v>
      </c>
      <c r="AR244" s="11">
        <f t="shared" si="146"/>
        <v>4267</v>
      </c>
      <c r="AS244" s="8">
        <f t="shared" si="151"/>
        <v>212752</v>
      </c>
      <c r="AT244" s="11">
        <f t="shared" si="147"/>
        <v>16408951</v>
      </c>
      <c r="AU244" s="2" t="str">
        <f t="shared" si="148"/>
        <v>LERMA</v>
      </c>
      <c r="AV244" s="37">
        <f t="shared" si="149"/>
        <v>0</v>
      </c>
      <c r="AW244" s="37">
        <f t="shared" si="149"/>
        <v>0</v>
      </c>
    </row>
    <row r="245" spans="1:49" outlineLevel="1" x14ac:dyDescent="0.25">
      <c r="B245" s="2" t="s">
        <v>11</v>
      </c>
      <c r="C245" s="2">
        <v>2023</v>
      </c>
      <c r="D245" s="1">
        <v>13757</v>
      </c>
      <c r="E245" s="11">
        <v>843856</v>
      </c>
      <c r="F245" s="1">
        <v>4891</v>
      </c>
      <c r="G245" s="11">
        <v>295591</v>
      </c>
      <c r="H245" s="1">
        <v>1718</v>
      </c>
      <c r="I245" s="11">
        <v>169809</v>
      </c>
      <c r="J245" s="1">
        <v>175214</v>
      </c>
      <c r="K245" s="11">
        <v>13319741</v>
      </c>
      <c r="L245" s="1">
        <v>1058</v>
      </c>
      <c r="M245" s="11">
        <v>125160</v>
      </c>
      <c r="N245" s="1">
        <v>24104</v>
      </c>
      <c r="O245" s="11">
        <v>1923805</v>
      </c>
      <c r="P245" s="8">
        <v>0</v>
      </c>
      <c r="Q245" s="11">
        <v>0</v>
      </c>
      <c r="R245" s="8">
        <v>61</v>
      </c>
      <c r="S245" s="11">
        <v>3240</v>
      </c>
      <c r="T245" s="53">
        <f t="shared" si="150"/>
        <v>220803</v>
      </c>
      <c r="U245" s="54">
        <f t="shared" si="144"/>
        <v>16681202</v>
      </c>
      <c r="V245" s="2" t="s">
        <v>66</v>
      </c>
      <c r="Z245" s="30"/>
      <c r="AA245" s="30"/>
      <c r="AB245" s="31"/>
      <c r="AC245" s="32"/>
      <c r="AE245" s="2" t="s">
        <v>11</v>
      </c>
      <c r="AF245" s="2">
        <v>2023</v>
      </c>
      <c r="AG245" s="1">
        <f t="shared" si="145"/>
        <v>20366</v>
      </c>
      <c r="AH245" s="11">
        <f t="shared" si="145"/>
        <v>1309256</v>
      </c>
      <c r="AI245" s="1">
        <f t="shared" si="146"/>
        <v>175214</v>
      </c>
      <c r="AJ245" s="11">
        <f t="shared" si="146"/>
        <v>13319741</v>
      </c>
      <c r="AK245" s="8">
        <f t="shared" si="146"/>
        <v>1058</v>
      </c>
      <c r="AL245" s="11">
        <f t="shared" si="146"/>
        <v>125160</v>
      </c>
      <c r="AM245" s="8">
        <f t="shared" si="146"/>
        <v>24104</v>
      </c>
      <c r="AN245" s="11">
        <f t="shared" si="146"/>
        <v>1923805</v>
      </c>
      <c r="AO245" s="8">
        <f t="shared" si="146"/>
        <v>0</v>
      </c>
      <c r="AP245" s="11">
        <f t="shared" si="146"/>
        <v>0</v>
      </c>
      <c r="AQ245" s="11">
        <f t="shared" si="146"/>
        <v>61</v>
      </c>
      <c r="AR245" s="11">
        <f t="shared" si="146"/>
        <v>3240</v>
      </c>
      <c r="AS245" s="8">
        <f t="shared" si="151"/>
        <v>220803</v>
      </c>
      <c r="AT245" s="11">
        <f t="shared" si="147"/>
        <v>16681202</v>
      </c>
      <c r="AU245" s="2" t="str">
        <f t="shared" si="148"/>
        <v>LERMA</v>
      </c>
      <c r="AV245" s="37">
        <f t="shared" si="149"/>
        <v>0</v>
      </c>
      <c r="AW245" s="37">
        <f t="shared" si="149"/>
        <v>0</v>
      </c>
    </row>
    <row r="246" spans="1:49" outlineLevel="1" x14ac:dyDescent="0.25">
      <c r="B246" s="2" t="s">
        <v>4</v>
      </c>
      <c r="C246" s="2">
        <v>2023</v>
      </c>
      <c r="D246" s="1">
        <v>14375</v>
      </c>
      <c r="E246" s="11">
        <v>903892</v>
      </c>
      <c r="F246" s="1">
        <v>4845</v>
      </c>
      <c r="G246" s="11">
        <v>300995</v>
      </c>
      <c r="H246" s="1">
        <v>1791</v>
      </c>
      <c r="I246" s="11">
        <v>173213</v>
      </c>
      <c r="J246" s="1">
        <v>179802</v>
      </c>
      <c r="K246" s="11">
        <v>13926112</v>
      </c>
      <c r="L246" s="1">
        <v>1179</v>
      </c>
      <c r="M246" s="11">
        <v>131898</v>
      </c>
      <c r="N246" s="1">
        <v>25184</v>
      </c>
      <c r="O246" s="11">
        <v>2048160</v>
      </c>
      <c r="P246" s="8">
        <v>0</v>
      </c>
      <c r="Q246" s="11">
        <v>0</v>
      </c>
      <c r="R246" s="8">
        <v>74</v>
      </c>
      <c r="S246" s="11">
        <v>3782</v>
      </c>
      <c r="T246" s="53">
        <f t="shared" si="150"/>
        <v>227250</v>
      </c>
      <c r="U246" s="54">
        <f t="shared" si="144"/>
        <v>17488052</v>
      </c>
      <c r="V246" s="2" t="s">
        <v>66</v>
      </c>
      <c r="Z246" s="30"/>
      <c r="AA246" s="30"/>
      <c r="AB246" s="31"/>
      <c r="AC246" s="32"/>
      <c r="AE246" s="2" t="s">
        <v>4</v>
      </c>
      <c r="AF246" s="2">
        <v>2023</v>
      </c>
      <c r="AG246" s="1">
        <f t="shared" si="145"/>
        <v>21011</v>
      </c>
      <c r="AH246" s="11">
        <f t="shared" si="145"/>
        <v>1378100</v>
      </c>
      <c r="AI246" s="1">
        <f t="shared" si="146"/>
        <v>179802</v>
      </c>
      <c r="AJ246" s="11">
        <f t="shared" si="146"/>
        <v>13926112</v>
      </c>
      <c r="AK246" s="8">
        <f t="shared" si="146"/>
        <v>1179</v>
      </c>
      <c r="AL246" s="11">
        <f t="shared" si="146"/>
        <v>131898</v>
      </c>
      <c r="AM246" s="8">
        <f t="shared" si="146"/>
        <v>25184</v>
      </c>
      <c r="AN246" s="11">
        <f t="shared" si="146"/>
        <v>2048160</v>
      </c>
      <c r="AO246" s="8">
        <f t="shared" si="146"/>
        <v>0</v>
      </c>
      <c r="AP246" s="11">
        <f t="shared" si="146"/>
        <v>0</v>
      </c>
      <c r="AQ246" s="11">
        <f t="shared" si="146"/>
        <v>74</v>
      </c>
      <c r="AR246" s="11">
        <f t="shared" si="146"/>
        <v>3782</v>
      </c>
      <c r="AS246" s="8">
        <f t="shared" si="151"/>
        <v>227250</v>
      </c>
      <c r="AT246" s="11">
        <f t="shared" si="147"/>
        <v>17488052</v>
      </c>
      <c r="AU246" s="2" t="str">
        <f t="shared" si="148"/>
        <v>LERMA</v>
      </c>
      <c r="AV246" s="37">
        <f t="shared" si="149"/>
        <v>0</v>
      </c>
      <c r="AW246" s="37">
        <f t="shared" si="149"/>
        <v>0</v>
      </c>
    </row>
    <row r="247" spans="1:49" outlineLevel="1" x14ac:dyDescent="0.25">
      <c r="B247" s="2" t="s">
        <v>28</v>
      </c>
      <c r="C247" s="2">
        <v>2023</v>
      </c>
      <c r="D247" s="1">
        <v>13637</v>
      </c>
      <c r="E247" s="11">
        <v>856735</v>
      </c>
      <c r="F247" s="1">
        <v>4658</v>
      </c>
      <c r="G247" s="11">
        <v>284145</v>
      </c>
      <c r="H247" s="1">
        <v>1740</v>
      </c>
      <c r="I247" s="11">
        <v>162644</v>
      </c>
      <c r="J247" s="1">
        <v>169083</v>
      </c>
      <c r="K247" s="11">
        <v>13073125</v>
      </c>
      <c r="L247" s="1">
        <v>1146</v>
      </c>
      <c r="M247" s="11">
        <v>128716</v>
      </c>
      <c r="N247" s="1">
        <v>23564</v>
      </c>
      <c r="O247" s="11">
        <v>1931361</v>
      </c>
      <c r="P247" s="8">
        <v>0</v>
      </c>
      <c r="Q247" s="11">
        <v>0</v>
      </c>
      <c r="R247" s="8">
        <v>114</v>
      </c>
      <c r="S247" s="11">
        <v>6117</v>
      </c>
      <c r="T247" s="53">
        <f t="shared" si="150"/>
        <v>213942</v>
      </c>
      <c r="U247" s="54">
        <f t="shared" si="144"/>
        <v>16442843</v>
      </c>
      <c r="V247" s="2" t="s">
        <v>66</v>
      </c>
      <c r="Z247" s="30"/>
      <c r="AA247" s="30"/>
      <c r="AB247" s="31"/>
      <c r="AC247" s="32"/>
      <c r="AE247" s="2" t="s">
        <v>28</v>
      </c>
      <c r="AF247" s="2">
        <v>2023</v>
      </c>
      <c r="AG247" s="1">
        <f t="shared" si="145"/>
        <v>20035</v>
      </c>
      <c r="AH247" s="11">
        <f t="shared" si="145"/>
        <v>1303524</v>
      </c>
      <c r="AI247" s="1">
        <f t="shared" si="146"/>
        <v>169083</v>
      </c>
      <c r="AJ247" s="11">
        <f t="shared" si="146"/>
        <v>13073125</v>
      </c>
      <c r="AK247" s="8">
        <f t="shared" si="146"/>
        <v>1146</v>
      </c>
      <c r="AL247" s="11">
        <f t="shared" si="146"/>
        <v>128716</v>
      </c>
      <c r="AM247" s="8">
        <f t="shared" si="146"/>
        <v>23564</v>
      </c>
      <c r="AN247" s="11">
        <f t="shared" si="146"/>
        <v>1931361</v>
      </c>
      <c r="AO247" s="8">
        <f t="shared" si="146"/>
        <v>0</v>
      </c>
      <c r="AP247" s="11">
        <f t="shared" si="146"/>
        <v>0</v>
      </c>
      <c r="AQ247" s="11">
        <f t="shared" si="146"/>
        <v>114</v>
      </c>
      <c r="AR247" s="11">
        <f t="shared" si="146"/>
        <v>6117</v>
      </c>
      <c r="AS247" s="8">
        <f t="shared" si="151"/>
        <v>213942</v>
      </c>
      <c r="AT247" s="11">
        <f t="shared" si="147"/>
        <v>16442843</v>
      </c>
      <c r="AU247" s="2" t="str">
        <f t="shared" si="148"/>
        <v>LERMA</v>
      </c>
      <c r="AV247" s="37">
        <f t="shared" si="149"/>
        <v>0</v>
      </c>
      <c r="AW247" s="37">
        <f t="shared" si="149"/>
        <v>0</v>
      </c>
    </row>
    <row r="248" spans="1:49" outlineLevel="1" x14ac:dyDescent="0.25">
      <c r="B248" s="2" t="s">
        <v>29</v>
      </c>
      <c r="C248" s="2">
        <v>2023</v>
      </c>
      <c r="D248" s="1">
        <v>13291</v>
      </c>
      <c r="E248" s="11">
        <v>811480</v>
      </c>
      <c r="F248" s="1">
        <v>5084</v>
      </c>
      <c r="G248" s="11">
        <v>314555</v>
      </c>
      <c r="H248" s="1">
        <v>1659</v>
      </c>
      <c r="I248" s="11">
        <v>150793</v>
      </c>
      <c r="J248" s="1">
        <v>179001</v>
      </c>
      <c r="K248" s="11">
        <v>13931100</v>
      </c>
      <c r="L248" s="1">
        <v>1366</v>
      </c>
      <c r="M248" s="11">
        <v>164000</v>
      </c>
      <c r="N248" s="1">
        <v>24400</v>
      </c>
      <c r="O248" s="11">
        <v>1951113</v>
      </c>
      <c r="P248" s="8">
        <v>2</v>
      </c>
      <c r="Q248" s="11">
        <v>193</v>
      </c>
      <c r="R248" s="8">
        <v>162</v>
      </c>
      <c r="S248" s="11">
        <v>9402</v>
      </c>
      <c r="T248" s="53">
        <f t="shared" si="150"/>
        <v>224965</v>
      </c>
      <c r="U248" s="54">
        <f t="shared" si="144"/>
        <v>17332636</v>
      </c>
      <c r="V248" s="2" t="s">
        <v>66</v>
      </c>
      <c r="Z248" s="30"/>
      <c r="AA248" s="30"/>
      <c r="AB248" s="31"/>
      <c r="AC248" s="32"/>
      <c r="AE248" s="2" t="s">
        <v>29</v>
      </c>
      <c r="AF248" s="2">
        <v>2023</v>
      </c>
      <c r="AG248" s="1">
        <f t="shared" si="145"/>
        <v>20034</v>
      </c>
      <c r="AH248" s="11">
        <f t="shared" si="145"/>
        <v>1276828</v>
      </c>
      <c r="AI248" s="1">
        <f t="shared" si="146"/>
        <v>179001</v>
      </c>
      <c r="AJ248" s="11">
        <f t="shared" si="146"/>
        <v>13931100</v>
      </c>
      <c r="AK248" s="8">
        <f t="shared" si="146"/>
        <v>1366</v>
      </c>
      <c r="AL248" s="11">
        <f t="shared" si="146"/>
        <v>164000</v>
      </c>
      <c r="AM248" s="8">
        <f t="shared" si="146"/>
        <v>24400</v>
      </c>
      <c r="AN248" s="11">
        <f t="shared" si="146"/>
        <v>1951113</v>
      </c>
      <c r="AO248" s="8">
        <f t="shared" si="146"/>
        <v>2</v>
      </c>
      <c r="AP248" s="11">
        <f t="shared" si="146"/>
        <v>193</v>
      </c>
      <c r="AQ248" s="11">
        <f t="shared" si="146"/>
        <v>162</v>
      </c>
      <c r="AR248" s="11">
        <f t="shared" si="146"/>
        <v>9402</v>
      </c>
      <c r="AS248" s="8">
        <f t="shared" si="151"/>
        <v>224965</v>
      </c>
      <c r="AT248" s="11">
        <f t="shared" si="147"/>
        <v>17332636</v>
      </c>
      <c r="AU248" s="2" t="str">
        <f t="shared" si="148"/>
        <v>LERMA</v>
      </c>
      <c r="AV248" s="37">
        <f t="shared" si="149"/>
        <v>0</v>
      </c>
      <c r="AW248" s="37">
        <f t="shared" si="149"/>
        <v>0</v>
      </c>
    </row>
    <row r="249" spans="1:49" outlineLevel="1" x14ac:dyDescent="0.25">
      <c r="B249" s="2" t="s">
        <v>30</v>
      </c>
      <c r="C249" s="2">
        <v>2023</v>
      </c>
      <c r="D249" s="1">
        <v>14206</v>
      </c>
      <c r="E249" s="11">
        <v>886368</v>
      </c>
      <c r="F249" s="1">
        <v>5144</v>
      </c>
      <c r="G249" s="11">
        <v>319478</v>
      </c>
      <c r="H249" s="1">
        <v>1665</v>
      </c>
      <c r="I249" s="11">
        <v>152215</v>
      </c>
      <c r="J249" s="1">
        <v>182964</v>
      </c>
      <c r="K249" s="11">
        <v>14208207</v>
      </c>
      <c r="L249" s="1">
        <v>1387</v>
      </c>
      <c r="M249" s="11">
        <v>167731</v>
      </c>
      <c r="N249" s="1">
        <v>23921</v>
      </c>
      <c r="O249" s="11">
        <v>1889537</v>
      </c>
      <c r="P249" s="8">
        <v>5</v>
      </c>
      <c r="Q249" s="11">
        <v>730</v>
      </c>
      <c r="R249" s="8">
        <v>394</v>
      </c>
      <c r="S249" s="11">
        <v>20711</v>
      </c>
      <c r="T249" s="53">
        <f t="shared" si="150"/>
        <v>229686</v>
      </c>
      <c r="U249" s="54">
        <f t="shared" si="144"/>
        <v>17644977</v>
      </c>
      <c r="V249" s="2" t="s">
        <v>66</v>
      </c>
      <c r="Z249" s="30"/>
      <c r="AA249" s="30"/>
      <c r="AB249" s="31"/>
      <c r="AC249" s="32"/>
      <c r="AE249" s="2" t="s">
        <v>30</v>
      </c>
      <c r="AF249" s="2">
        <v>2023</v>
      </c>
      <c r="AG249" s="1">
        <f t="shared" si="145"/>
        <v>21015</v>
      </c>
      <c r="AH249" s="11">
        <f t="shared" si="145"/>
        <v>1358061</v>
      </c>
      <c r="AI249" s="1">
        <f t="shared" si="146"/>
        <v>182964</v>
      </c>
      <c r="AJ249" s="11">
        <f t="shared" si="146"/>
        <v>14208207</v>
      </c>
      <c r="AK249" s="8">
        <f t="shared" si="146"/>
        <v>1387</v>
      </c>
      <c r="AL249" s="11">
        <f t="shared" si="146"/>
        <v>167731</v>
      </c>
      <c r="AM249" s="8">
        <f t="shared" si="146"/>
        <v>23921</v>
      </c>
      <c r="AN249" s="11">
        <f t="shared" si="146"/>
        <v>1889537</v>
      </c>
      <c r="AO249" s="8">
        <f t="shared" si="146"/>
        <v>5</v>
      </c>
      <c r="AP249" s="11">
        <f t="shared" si="146"/>
        <v>730</v>
      </c>
      <c r="AQ249" s="11">
        <f t="shared" si="146"/>
        <v>394</v>
      </c>
      <c r="AR249" s="11">
        <f t="shared" si="146"/>
        <v>20711</v>
      </c>
      <c r="AS249" s="8">
        <f t="shared" si="151"/>
        <v>229686</v>
      </c>
      <c r="AT249" s="11">
        <f t="shared" si="147"/>
        <v>17644977</v>
      </c>
      <c r="AU249" s="2" t="str">
        <f t="shared" si="148"/>
        <v>LERMA</v>
      </c>
      <c r="AV249" s="37">
        <f t="shared" si="149"/>
        <v>0</v>
      </c>
      <c r="AW249" s="37">
        <f t="shared" si="149"/>
        <v>0</v>
      </c>
    </row>
    <row r="250" spans="1:49" outlineLevel="1" x14ac:dyDescent="0.25">
      <c r="B250" s="2" t="s">
        <v>31</v>
      </c>
      <c r="C250" s="2">
        <v>2023</v>
      </c>
      <c r="D250" s="1">
        <v>14770</v>
      </c>
      <c r="E250" s="11">
        <v>900412</v>
      </c>
      <c r="F250" s="1">
        <v>5190</v>
      </c>
      <c r="G250" s="11">
        <v>325309</v>
      </c>
      <c r="H250" s="1">
        <v>1726</v>
      </c>
      <c r="I250" s="11">
        <v>151893</v>
      </c>
      <c r="J250" s="1">
        <v>180522</v>
      </c>
      <c r="K250" s="11">
        <v>13506395</v>
      </c>
      <c r="L250" s="1">
        <v>1461</v>
      </c>
      <c r="M250" s="11">
        <v>172697</v>
      </c>
      <c r="N250" s="1">
        <v>23747</v>
      </c>
      <c r="O250" s="11">
        <v>1917834</v>
      </c>
      <c r="P250" s="8">
        <v>30</v>
      </c>
      <c r="Q250" s="11">
        <v>4957</v>
      </c>
      <c r="R250" s="8">
        <v>427</v>
      </c>
      <c r="S250" s="11">
        <v>21041</v>
      </c>
      <c r="T250" s="53">
        <f t="shared" si="150"/>
        <v>227873</v>
      </c>
      <c r="U250" s="54">
        <f t="shared" si="144"/>
        <v>17000538</v>
      </c>
      <c r="V250" s="2" t="s">
        <v>66</v>
      </c>
      <c r="X250" s="13"/>
      <c r="Z250" s="30"/>
      <c r="AA250" s="30"/>
      <c r="AB250" s="31"/>
      <c r="AC250" s="32"/>
      <c r="AE250" s="2" t="s">
        <v>31</v>
      </c>
      <c r="AF250" s="2">
        <v>2023</v>
      </c>
      <c r="AG250" s="1">
        <f t="shared" si="145"/>
        <v>21686</v>
      </c>
      <c r="AH250" s="11">
        <f t="shared" si="145"/>
        <v>1377614</v>
      </c>
      <c r="AI250" s="1">
        <f t="shared" si="146"/>
        <v>180522</v>
      </c>
      <c r="AJ250" s="11">
        <f t="shared" si="146"/>
        <v>13506395</v>
      </c>
      <c r="AK250" s="8">
        <f t="shared" si="146"/>
        <v>1461</v>
      </c>
      <c r="AL250" s="11">
        <f t="shared" si="146"/>
        <v>172697</v>
      </c>
      <c r="AM250" s="8">
        <f t="shared" si="146"/>
        <v>23747</v>
      </c>
      <c r="AN250" s="11">
        <f t="shared" si="146"/>
        <v>1917834</v>
      </c>
      <c r="AO250" s="8">
        <f t="shared" si="146"/>
        <v>30</v>
      </c>
      <c r="AP250" s="11">
        <f t="shared" si="146"/>
        <v>4957</v>
      </c>
      <c r="AQ250" s="11">
        <f t="shared" si="146"/>
        <v>427</v>
      </c>
      <c r="AR250" s="11">
        <f t="shared" si="146"/>
        <v>21041</v>
      </c>
      <c r="AS250" s="8">
        <f t="shared" si="151"/>
        <v>227873</v>
      </c>
      <c r="AT250" s="11">
        <f t="shared" si="147"/>
        <v>17000538</v>
      </c>
      <c r="AU250" s="2" t="str">
        <f t="shared" si="148"/>
        <v>LERMA</v>
      </c>
      <c r="AV250" s="37">
        <f t="shared" si="149"/>
        <v>0</v>
      </c>
      <c r="AW250" s="37">
        <f t="shared" si="149"/>
        <v>0</v>
      </c>
    </row>
    <row r="251" spans="1:49" outlineLevel="1" x14ac:dyDescent="0.25">
      <c r="AH251" s="9"/>
      <c r="AJ251" s="9"/>
      <c r="AL251" s="9"/>
      <c r="AN251" s="9"/>
      <c r="AO251" s="9"/>
      <c r="AP251" s="9"/>
      <c r="AQ251" s="9"/>
      <c r="AR251" s="9"/>
      <c r="AT251" s="9"/>
    </row>
    <row r="252" spans="1:49" outlineLevel="1" x14ac:dyDescent="0.25">
      <c r="B252" s="3" t="s">
        <v>12</v>
      </c>
      <c r="C252" s="3"/>
      <c r="D252" s="4">
        <f t="shared" ref="D252:O252" si="152">SUM(D239:D251)</f>
        <v>166812</v>
      </c>
      <c r="E252" s="12">
        <f t="shared" si="152"/>
        <v>10413014</v>
      </c>
      <c r="F252" s="4">
        <f t="shared" si="152"/>
        <v>55303</v>
      </c>
      <c r="G252" s="12">
        <f t="shared" si="152"/>
        <v>3367805</v>
      </c>
      <c r="H252" s="4">
        <f t="shared" si="152"/>
        <v>19312</v>
      </c>
      <c r="I252" s="12">
        <f t="shared" si="152"/>
        <v>1828718</v>
      </c>
      <c r="J252" s="4">
        <f t="shared" si="152"/>
        <v>2079840</v>
      </c>
      <c r="K252" s="12">
        <f t="shared" si="152"/>
        <v>159286416</v>
      </c>
      <c r="L252" s="4">
        <f t="shared" si="152"/>
        <v>14604</v>
      </c>
      <c r="M252" s="12">
        <f t="shared" si="152"/>
        <v>1622881</v>
      </c>
      <c r="N252" s="4">
        <f t="shared" si="152"/>
        <v>283118</v>
      </c>
      <c r="O252" s="12">
        <f t="shared" si="152"/>
        <v>22337957</v>
      </c>
      <c r="P252" s="4">
        <f>SUM(P239:P251)</f>
        <v>37</v>
      </c>
      <c r="Q252" s="12">
        <f>SUM(Q239:Q251)</f>
        <v>5880</v>
      </c>
      <c r="R252" s="4">
        <f>SUM(R239:R251)</f>
        <v>1487</v>
      </c>
      <c r="S252" s="12">
        <f>SUM(S239:S251)</f>
        <v>77634</v>
      </c>
      <c r="T252" s="4">
        <f t="shared" ref="T252:U252" si="153">SUM(T239:T251)</f>
        <v>2620513</v>
      </c>
      <c r="U252" s="12">
        <f t="shared" si="153"/>
        <v>198940305</v>
      </c>
      <c r="Z252" s="12">
        <f>AVERAGE(Z239:Z251)</f>
        <v>118138.73000000001</v>
      </c>
      <c r="AA252" s="12">
        <f t="shared" ref="AA252:AC252" si="154">AVERAGE(AA239:AA251)</f>
        <v>0.69834735996097907</v>
      </c>
      <c r="AB252" s="12">
        <f t="shared" si="154"/>
        <v>37371.264000000003</v>
      </c>
      <c r="AC252" s="16">
        <f t="shared" si="154"/>
        <v>2.9062282139765941E-3</v>
      </c>
      <c r="AE252" s="3" t="s">
        <v>12</v>
      </c>
      <c r="AF252" s="3"/>
      <c r="AG252" s="4">
        <f t="shared" ref="AG252:AT252" si="155">SUM(AG239:AG251)</f>
        <v>241427</v>
      </c>
      <c r="AH252" s="12">
        <f t="shared" si="155"/>
        <v>15609537</v>
      </c>
      <c r="AI252" s="4">
        <f t="shared" si="155"/>
        <v>2079840</v>
      </c>
      <c r="AJ252" s="12">
        <f t="shared" si="155"/>
        <v>159286416</v>
      </c>
      <c r="AK252" s="4">
        <f t="shared" si="155"/>
        <v>14604</v>
      </c>
      <c r="AL252" s="12">
        <f t="shared" si="155"/>
        <v>1622881</v>
      </c>
      <c r="AM252" s="4">
        <f t="shared" si="155"/>
        <v>283118</v>
      </c>
      <c r="AN252" s="12">
        <f t="shared" si="155"/>
        <v>22337957</v>
      </c>
      <c r="AO252" s="4">
        <f t="shared" si="155"/>
        <v>37</v>
      </c>
      <c r="AP252" s="12">
        <f t="shared" si="155"/>
        <v>5880</v>
      </c>
      <c r="AQ252" s="4">
        <f t="shared" si="155"/>
        <v>1487</v>
      </c>
      <c r="AR252" s="12">
        <f t="shared" si="155"/>
        <v>77634</v>
      </c>
      <c r="AS252" s="4">
        <f t="shared" si="155"/>
        <v>2620513</v>
      </c>
      <c r="AT252" s="12">
        <f t="shared" si="155"/>
        <v>198940305</v>
      </c>
    </row>
    <row r="253" spans="1:49" outlineLevel="1" x14ac:dyDescent="0.25">
      <c r="J253" s="46" t="str">
        <f>+$A$234</f>
        <v>Aforo e Ingreso - LERMA</v>
      </c>
      <c r="K253" s="9" t="s">
        <v>84</v>
      </c>
      <c r="L253" s="15">
        <f>AVERAGE(L239:L250)</f>
        <v>1217</v>
      </c>
      <c r="M253" s="60">
        <f>AVERAGE(M239:M250)</f>
        <v>135240.08333333334</v>
      </c>
      <c r="T253" s="15">
        <f>AVERAGE(T239:T250)</f>
        <v>218376.08333333334</v>
      </c>
      <c r="U253" s="28">
        <f>AVERAGE(U239:U250)</f>
        <v>16578358.75</v>
      </c>
      <c r="AA253" s="13"/>
    </row>
    <row r="254" spans="1:49" outlineLevel="1" x14ac:dyDescent="0.25">
      <c r="A254" s="67" t="s">
        <v>14</v>
      </c>
      <c r="J254" s="46" t="str">
        <f>+$A$234</f>
        <v>Aforo e Ingreso - LERMA</v>
      </c>
      <c r="K254" s="9" t="s">
        <v>85</v>
      </c>
      <c r="L254" s="26">
        <f>+L253/$L$337</f>
        <v>9.1118447118045311E-3</v>
      </c>
      <c r="M254" s="36">
        <f>+M253/$M$337</f>
        <v>6.7196860430923768E-3</v>
      </c>
      <c r="N254" s="18"/>
      <c r="O254" s="19"/>
      <c r="P254" s="19"/>
      <c r="Q254" s="19"/>
      <c r="R254" s="19"/>
      <c r="S254" s="19"/>
      <c r="T254" s="36">
        <f>+L253/T253</f>
        <v>5.5729546085060439E-3</v>
      </c>
      <c r="U254" s="62">
        <f>+M253/U253</f>
        <v>8.1576279879534731E-3</v>
      </c>
    </row>
    <row r="255" spans="1:49" outlineLevel="1" x14ac:dyDescent="0.25">
      <c r="A255" s="67" t="s">
        <v>67</v>
      </c>
      <c r="L255" s="26"/>
      <c r="M255" s="26"/>
    </row>
    <row r="256" spans="1:49" outlineLevel="1" x14ac:dyDescent="0.25">
      <c r="B256" s="5"/>
    </row>
    <row r="257" spans="1:49" outlineLevel="1" x14ac:dyDescent="0.25">
      <c r="D257" s="89" t="s">
        <v>15</v>
      </c>
      <c r="E257" s="90"/>
      <c r="F257" s="89" t="s">
        <v>71</v>
      </c>
      <c r="G257" s="90"/>
      <c r="H257" s="89" t="s">
        <v>16</v>
      </c>
      <c r="I257" s="90"/>
      <c r="J257" s="89" t="s">
        <v>17</v>
      </c>
      <c r="K257" s="93"/>
      <c r="L257" s="89" t="s">
        <v>18</v>
      </c>
      <c r="M257" s="93"/>
      <c r="N257" s="89" t="s">
        <v>13</v>
      </c>
      <c r="O257" s="93"/>
      <c r="P257" s="89" t="s">
        <v>34</v>
      </c>
      <c r="Q257" s="93"/>
      <c r="R257" s="89" t="s">
        <v>87</v>
      </c>
      <c r="S257" s="93"/>
      <c r="T257" s="89" t="s">
        <v>12</v>
      </c>
      <c r="U257" s="93"/>
      <c r="AG257" s="89" t="s">
        <v>69</v>
      </c>
      <c r="AH257" s="90"/>
      <c r="AI257" s="89" t="s">
        <v>17</v>
      </c>
      <c r="AJ257" s="93"/>
      <c r="AK257" s="89" t="s">
        <v>18</v>
      </c>
      <c r="AL257" s="93"/>
      <c r="AM257" s="89" t="s">
        <v>13</v>
      </c>
      <c r="AN257" s="93"/>
      <c r="AO257" s="89" t="s">
        <v>34</v>
      </c>
      <c r="AP257" s="93"/>
      <c r="AQ257" s="89" t="s">
        <v>87</v>
      </c>
      <c r="AR257" s="93"/>
      <c r="AS257" s="89" t="s">
        <v>12</v>
      </c>
      <c r="AT257" s="93"/>
    </row>
    <row r="258" spans="1:49" outlineLevel="1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Z258" s="33">
        <v>2021</v>
      </c>
      <c r="AA258" s="34">
        <v>0.65107536491747087</v>
      </c>
      <c r="AB258" s="33">
        <f>+Z258</f>
        <v>2021</v>
      </c>
      <c r="AC258" s="35">
        <v>5.9743403600312946E-3</v>
      </c>
      <c r="AE258" s="7" t="s">
        <v>0</v>
      </c>
      <c r="AF258" s="7" t="s">
        <v>1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</row>
    <row r="259" spans="1:49" outlineLevel="1" x14ac:dyDescent="0.25">
      <c r="AH259" s="9"/>
      <c r="AJ259" s="9"/>
      <c r="AL259" s="9"/>
      <c r="AN259" s="9"/>
      <c r="AO259" s="9"/>
      <c r="AP259" s="9"/>
      <c r="AQ259" s="9"/>
      <c r="AR259" s="9"/>
      <c r="AT259" s="9"/>
    </row>
    <row r="260" spans="1:49" outlineLevel="1" x14ac:dyDescent="0.25">
      <c r="B260" s="2" t="s">
        <v>5</v>
      </c>
      <c r="C260" s="2">
        <v>2023</v>
      </c>
      <c r="D260" s="1">
        <v>769</v>
      </c>
      <c r="E260" s="11">
        <v>54674</v>
      </c>
      <c r="F260" s="1">
        <v>292</v>
      </c>
      <c r="G260" s="11">
        <v>24185</v>
      </c>
      <c r="H260" s="1">
        <v>319</v>
      </c>
      <c r="I260" s="11">
        <v>22669</v>
      </c>
      <c r="J260" s="1">
        <v>27794</v>
      </c>
      <c r="K260" s="11">
        <v>2311406</v>
      </c>
      <c r="L260" s="1">
        <v>968</v>
      </c>
      <c r="M260" s="11">
        <v>102302</v>
      </c>
      <c r="N260" s="1">
        <v>1037</v>
      </c>
      <c r="O260" s="11">
        <v>102414</v>
      </c>
      <c r="P260" s="8">
        <v>0</v>
      </c>
      <c r="Q260" s="11">
        <v>0</v>
      </c>
      <c r="R260" s="8">
        <v>18</v>
      </c>
      <c r="S260" s="11">
        <v>1699</v>
      </c>
      <c r="T260" s="53">
        <f t="shared" ref="T260:U271" si="156">N260+L260+J260+H260+D260+P260+F260+R260</f>
        <v>31197</v>
      </c>
      <c r="U260" s="54">
        <f t="shared" si="156"/>
        <v>2619349</v>
      </c>
      <c r="V260" s="2" t="s">
        <v>68</v>
      </c>
      <c r="Z260" s="30">
        <v>13970.27</v>
      </c>
      <c r="AA260" s="30">
        <f>+Z260/J260</f>
        <v>0.50263618047060521</v>
      </c>
      <c r="AB260" s="31">
        <v>11807.83</v>
      </c>
      <c r="AC260" s="32">
        <f>+AB260/K260</f>
        <v>5.1085053858993187E-3</v>
      </c>
      <c r="AE260" s="2" t="s">
        <v>5</v>
      </c>
      <c r="AF260" s="2">
        <v>2023</v>
      </c>
      <c r="AG260" s="1">
        <f t="shared" ref="AG260:AH271" si="157">D260+H260+F260</f>
        <v>1380</v>
      </c>
      <c r="AH260" s="11">
        <f t="shared" si="157"/>
        <v>101528</v>
      </c>
      <c r="AI260" s="1">
        <f t="shared" ref="AI260:AR271" si="158">+J260</f>
        <v>27794</v>
      </c>
      <c r="AJ260" s="11">
        <f t="shared" si="158"/>
        <v>2311406</v>
      </c>
      <c r="AK260" s="8">
        <f t="shared" si="158"/>
        <v>968</v>
      </c>
      <c r="AL260" s="11">
        <f t="shared" si="158"/>
        <v>102302</v>
      </c>
      <c r="AM260" s="8">
        <f t="shared" si="158"/>
        <v>1037</v>
      </c>
      <c r="AN260" s="11">
        <f t="shared" si="158"/>
        <v>102414</v>
      </c>
      <c r="AO260" s="8">
        <f t="shared" si="158"/>
        <v>0</v>
      </c>
      <c r="AP260" s="11">
        <f t="shared" si="158"/>
        <v>0</v>
      </c>
      <c r="AQ260" s="11">
        <f t="shared" si="158"/>
        <v>18</v>
      </c>
      <c r="AR260" s="11">
        <f t="shared" si="158"/>
        <v>1699</v>
      </c>
      <c r="AS260" s="8">
        <f>AO260+AM260+AK260+AI260+AG260+AQ260</f>
        <v>31197</v>
      </c>
      <c r="AT260" s="11">
        <f t="shared" ref="AT260:AT271" si="159">AP260+AN260+AL260+AJ260+AH260+AR260</f>
        <v>2619349</v>
      </c>
      <c r="AU260" s="2" t="str">
        <f t="shared" ref="AU260:AU271" si="160">+V260</f>
        <v>IRAPUATO</v>
      </c>
      <c r="AV260" s="37">
        <f t="shared" ref="AV260:AW271" si="161">+AS260-T260</f>
        <v>0</v>
      </c>
      <c r="AW260" s="37">
        <f t="shared" si="161"/>
        <v>0</v>
      </c>
    </row>
    <row r="261" spans="1:49" outlineLevel="1" x14ac:dyDescent="0.25">
      <c r="B261" s="2" t="s">
        <v>6</v>
      </c>
      <c r="C261" s="2">
        <v>2023</v>
      </c>
      <c r="D261" s="1">
        <v>741</v>
      </c>
      <c r="E261" s="11">
        <v>58374</v>
      </c>
      <c r="F261" s="1">
        <v>296</v>
      </c>
      <c r="G261" s="11">
        <v>25086</v>
      </c>
      <c r="H261" s="1">
        <v>346</v>
      </c>
      <c r="I261" s="11">
        <v>24737</v>
      </c>
      <c r="J261" s="1">
        <v>26028</v>
      </c>
      <c r="K261" s="11">
        <v>2326142</v>
      </c>
      <c r="L261" s="1">
        <v>880</v>
      </c>
      <c r="M261" s="11">
        <v>100097</v>
      </c>
      <c r="N261" s="1">
        <v>831</v>
      </c>
      <c r="O261" s="11">
        <v>86580</v>
      </c>
      <c r="P261" s="8">
        <v>0</v>
      </c>
      <c r="Q261" s="11">
        <v>0</v>
      </c>
      <c r="R261" s="8">
        <v>20</v>
      </c>
      <c r="S261" s="11">
        <v>2236</v>
      </c>
      <c r="T261" s="53">
        <f t="shared" si="156"/>
        <v>29142</v>
      </c>
      <c r="U261" s="54">
        <f t="shared" si="156"/>
        <v>2623252</v>
      </c>
      <c r="V261" s="2" t="s">
        <v>68</v>
      </c>
      <c r="Z261" s="30">
        <v>13414.460000000001</v>
      </c>
      <c r="AA261" s="30">
        <f>+Z261/J261</f>
        <v>0.51538573843553104</v>
      </c>
      <c r="AB261" s="31">
        <v>11157.419999999998</v>
      </c>
      <c r="AC261" s="32">
        <f>+AB261/K261</f>
        <v>4.7965343474302077E-3</v>
      </c>
      <c r="AE261" s="2" t="s">
        <v>6</v>
      </c>
      <c r="AF261" s="2">
        <v>2023</v>
      </c>
      <c r="AG261" s="1">
        <f t="shared" si="157"/>
        <v>1383</v>
      </c>
      <c r="AH261" s="11">
        <f t="shared" si="157"/>
        <v>108197</v>
      </c>
      <c r="AI261" s="1">
        <f t="shared" si="158"/>
        <v>26028</v>
      </c>
      <c r="AJ261" s="11">
        <f t="shared" si="158"/>
        <v>2326142</v>
      </c>
      <c r="AK261" s="8">
        <f t="shared" si="158"/>
        <v>880</v>
      </c>
      <c r="AL261" s="11">
        <f t="shared" si="158"/>
        <v>100097</v>
      </c>
      <c r="AM261" s="8">
        <f t="shared" si="158"/>
        <v>831</v>
      </c>
      <c r="AN261" s="11">
        <f t="shared" si="158"/>
        <v>86580</v>
      </c>
      <c r="AO261" s="8">
        <f t="shared" si="158"/>
        <v>0</v>
      </c>
      <c r="AP261" s="11">
        <f t="shared" si="158"/>
        <v>0</v>
      </c>
      <c r="AQ261" s="11">
        <f t="shared" si="158"/>
        <v>20</v>
      </c>
      <c r="AR261" s="11">
        <f t="shared" si="158"/>
        <v>2236</v>
      </c>
      <c r="AS261" s="8">
        <f t="shared" ref="AS261:AS271" si="162">AO261+AM261+AK261+AI261+AG261+AQ261</f>
        <v>29142</v>
      </c>
      <c r="AT261" s="11">
        <f t="shared" si="159"/>
        <v>2623252</v>
      </c>
      <c r="AU261" s="2" t="str">
        <f t="shared" si="160"/>
        <v>IRAPUATO</v>
      </c>
      <c r="AV261" s="37">
        <f t="shared" si="161"/>
        <v>0</v>
      </c>
      <c r="AW261" s="37">
        <f t="shared" si="161"/>
        <v>0</v>
      </c>
    </row>
    <row r="262" spans="1:49" outlineLevel="1" x14ac:dyDescent="0.25">
      <c r="B262" s="2" t="s">
        <v>7</v>
      </c>
      <c r="C262" s="2">
        <v>2023</v>
      </c>
      <c r="D262" s="1">
        <v>902</v>
      </c>
      <c r="E262" s="11">
        <v>64733</v>
      </c>
      <c r="F262" s="1">
        <v>371</v>
      </c>
      <c r="G262" s="11">
        <v>33620</v>
      </c>
      <c r="H262" s="1">
        <v>516</v>
      </c>
      <c r="I262" s="11">
        <v>39294</v>
      </c>
      <c r="J262" s="1">
        <v>28962</v>
      </c>
      <c r="K262" s="11">
        <v>2595963</v>
      </c>
      <c r="L262" s="1">
        <v>1288</v>
      </c>
      <c r="M262" s="11">
        <v>154806</v>
      </c>
      <c r="N262" s="1">
        <v>867</v>
      </c>
      <c r="O262" s="11">
        <v>89731</v>
      </c>
      <c r="P262" s="8">
        <v>0</v>
      </c>
      <c r="Q262" s="11">
        <v>0</v>
      </c>
      <c r="R262" s="8">
        <v>17</v>
      </c>
      <c r="S262" s="11">
        <v>1973</v>
      </c>
      <c r="T262" s="53">
        <f t="shared" si="156"/>
        <v>32923</v>
      </c>
      <c r="U262" s="54">
        <f t="shared" si="156"/>
        <v>2980120</v>
      </c>
      <c r="V262" s="2" t="s">
        <v>68</v>
      </c>
      <c r="Z262" s="30">
        <v>14757.12</v>
      </c>
      <c r="AA262" s="30">
        <f>+Z262/J262</f>
        <v>0.50953387197016786</v>
      </c>
      <c r="AB262" s="31">
        <v>11684.06</v>
      </c>
      <c r="AC262" s="32">
        <f>+AB262/K262</f>
        <v>4.5008576778636676E-3</v>
      </c>
      <c r="AD262" s="13"/>
      <c r="AE262" s="2" t="s">
        <v>7</v>
      </c>
      <c r="AF262" s="2">
        <v>2023</v>
      </c>
      <c r="AG262" s="1">
        <f t="shared" si="157"/>
        <v>1789</v>
      </c>
      <c r="AH262" s="11">
        <f t="shared" si="157"/>
        <v>137647</v>
      </c>
      <c r="AI262" s="1">
        <f t="shared" si="158"/>
        <v>28962</v>
      </c>
      <c r="AJ262" s="11">
        <f t="shared" si="158"/>
        <v>2595963</v>
      </c>
      <c r="AK262" s="8">
        <f t="shared" si="158"/>
        <v>1288</v>
      </c>
      <c r="AL262" s="11">
        <f t="shared" si="158"/>
        <v>154806</v>
      </c>
      <c r="AM262" s="8">
        <f t="shared" si="158"/>
        <v>867</v>
      </c>
      <c r="AN262" s="11">
        <f t="shared" si="158"/>
        <v>89731</v>
      </c>
      <c r="AO262" s="8">
        <f t="shared" si="158"/>
        <v>0</v>
      </c>
      <c r="AP262" s="11">
        <f t="shared" si="158"/>
        <v>0</v>
      </c>
      <c r="AQ262" s="11">
        <f t="shared" si="158"/>
        <v>17</v>
      </c>
      <c r="AR262" s="11">
        <f t="shared" si="158"/>
        <v>1973</v>
      </c>
      <c r="AS262" s="8">
        <f t="shared" si="162"/>
        <v>32923</v>
      </c>
      <c r="AT262" s="11">
        <f t="shared" si="159"/>
        <v>2980120</v>
      </c>
      <c r="AU262" s="2" t="str">
        <f t="shared" si="160"/>
        <v>IRAPUATO</v>
      </c>
      <c r="AV262" s="37">
        <f t="shared" si="161"/>
        <v>0</v>
      </c>
      <c r="AW262" s="37">
        <f t="shared" si="161"/>
        <v>0</v>
      </c>
    </row>
    <row r="263" spans="1:49" outlineLevel="1" x14ac:dyDescent="0.25">
      <c r="B263" s="2" t="s">
        <v>8</v>
      </c>
      <c r="C263" s="2">
        <v>2023</v>
      </c>
      <c r="D263" s="1">
        <v>830</v>
      </c>
      <c r="E263" s="11">
        <v>61730</v>
      </c>
      <c r="F263" s="1">
        <v>415</v>
      </c>
      <c r="G263" s="11">
        <v>33949</v>
      </c>
      <c r="H263" s="1">
        <v>399</v>
      </c>
      <c r="I263" s="11">
        <v>29242</v>
      </c>
      <c r="J263" s="1">
        <v>25227</v>
      </c>
      <c r="K263" s="11">
        <v>2253831</v>
      </c>
      <c r="L263" s="1">
        <v>975</v>
      </c>
      <c r="M263" s="11">
        <v>116177</v>
      </c>
      <c r="N263" s="1">
        <v>707</v>
      </c>
      <c r="O263" s="11">
        <v>69409</v>
      </c>
      <c r="P263" s="8">
        <v>0</v>
      </c>
      <c r="Q263" s="11">
        <v>0</v>
      </c>
      <c r="R263" s="8">
        <v>48</v>
      </c>
      <c r="S263" s="11">
        <v>4677</v>
      </c>
      <c r="T263" s="53">
        <f t="shared" si="156"/>
        <v>28601</v>
      </c>
      <c r="U263" s="54">
        <f t="shared" si="156"/>
        <v>2569015</v>
      </c>
      <c r="V263" s="2" t="s">
        <v>68</v>
      </c>
      <c r="Z263" s="30">
        <v>13312.15</v>
      </c>
      <c r="AA263" s="30">
        <f>+Z263/J263</f>
        <v>0.52769453363459784</v>
      </c>
      <c r="AB263" s="31">
        <v>9867.94</v>
      </c>
      <c r="AC263" s="32">
        <f>+AB263/K263</f>
        <v>4.3782963318900131E-3</v>
      </c>
      <c r="AD263" s="13"/>
      <c r="AE263" s="2" t="s">
        <v>8</v>
      </c>
      <c r="AF263" s="2">
        <v>2023</v>
      </c>
      <c r="AG263" s="1">
        <f t="shared" si="157"/>
        <v>1644</v>
      </c>
      <c r="AH263" s="11">
        <f t="shared" si="157"/>
        <v>124921</v>
      </c>
      <c r="AI263" s="1">
        <f t="shared" si="158"/>
        <v>25227</v>
      </c>
      <c r="AJ263" s="11">
        <f t="shared" si="158"/>
        <v>2253831</v>
      </c>
      <c r="AK263" s="8">
        <f t="shared" si="158"/>
        <v>975</v>
      </c>
      <c r="AL263" s="11">
        <f t="shared" si="158"/>
        <v>116177</v>
      </c>
      <c r="AM263" s="8">
        <f t="shared" si="158"/>
        <v>707</v>
      </c>
      <c r="AN263" s="11">
        <f t="shared" si="158"/>
        <v>69409</v>
      </c>
      <c r="AO263" s="8">
        <f t="shared" si="158"/>
        <v>0</v>
      </c>
      <c r="AP263" s="11">
        <f t="shared" si="158"/>
        <v>0</v>
      </c>
      <c r="AQ263" s="11">
        <f t="shared" si="158"/>
        <v>48</v>
      </c>
      <c r="AR263" s="11">
        <f t="shared" si="158"/>
        <v>4677</v>
      </c>
      <c r="AS263" s="8">
        <f t="shared" si="162"/>
        <v>28601</v>
      </c>
      <c r="AT263" s="11">
        <f t="shared" si="159"/>
        <v>2569015</v>
      </c>
      <c r="AU263" s="2" t="str">
        <f t="shared" si="160"/>
        <v>IRAPUATO</v>
      </c>
      <c r="AV263" s="37">
        <f t="shared" si="161"/>
        <v>0</v>
      </c>
      <c r="AW263" s="37">
        <f t="shared" si="161"/>
        <v>0</v>
      </c>
    </row>
    <row r="264" spans="1:49" outlineLevel="1" x14ac:dyDescent="0.25">
      <c r="B264" s="2" t="s">
        <v>9</v>
      </c>
      <c r="C264" s="2">
        <v>2023</v>
      </c>
      <c r="D264" s="1">
        <v>904</v>
      </c>
      <c r="E264" s="11">
        <v>67419</v>
      </c>
      <c r="F264" s="1">
        <v>396</v>
      </c>
      <c r="G264" s="11">
        <v>31940</v>
      </c>
      <c r="H264" s="1">
        <v>500</v>
      </c>
      <c r="I264" s="11">
        <v>39851</v>
      </c>
      <c r="J264" s="1">
        <v>27636</v>
      </c>
      <c r="K264" s="11">
        <v>2499214</v>
      </c>
      <c r="L264" s="1">
        <v>1019</v>
      </c>
      <c r="M264" s="11">
        <v>118760</v>
      </c>
      <c r="N264" s="1">
        <v>794</v>
      </c>
      <c r="O264" s="11">
        <v>78482</v>
      </c>
      <c r="P264" s="8">
        <v>0</v>
      </c>
      <c r="Q264" s="11">
        <v>0</v>
      </c>
      <c r="R264" s="8">
        <v>38</v>
      </c>
      <c r="S264" s="11">
        <v>3593</v>
      </c>
      <c r="T264" s="53">
        <f t="shared" si="156"/>
        <v>31287</v>
      </c>
      <c r="U264" s="54">
        <f t="shared" si="156"/>
        <v>2839259</v>
      </c>
      <c r="V264" s="2" t="s">
        <v>68</v>
      </c>
      <c r="Z264" s="30">
        <v>15149.939999999999</v>
      </c>
      <c r="AA264" s="30">
        <f>+Z264/J264</f>
        <v>0.54819583152409901</v>
      </c>
      <c r="AB264" s="31">
        <v>12231.512500000001</v>
      </c>
      <c r="AC264" s="32">
        <f>+AB264/K264</f>
        <v>4.894143718785186E-3</v>
      </c>
      <c r="AD264" s="13"/>
      <c r="AE264" s="2" t="s">
        <v>9</v>
      </c>
      <c r="AF264" s="2">
        <v>2023</v>
      </c>
      <c r="AG264" s="1">
        <f t="shared" si="157"/>
        <v>1800</v>
      </c>
      <c r="AH264" s="11">
        <f t="shared" si="157"/>
        <v>139210</v>
      </c>
      <c r="AI264" s="1">
        <f t="shared" si="158"/>
        <v>27636</v>
      </c>
      <c r="AJ264" s="11">
        <f t="shared" si="158"/>
        <v>2499214</v>
      </c>
      <c r="AK264" s="8">
        <f t="shared" si="158"/>
        <v>1019</v>
      </c>
      <c r="AL264" s="11">
        <f t="shared" si="158"/>
        <v>118760</v>
      </c>
      <c r="AM264" s="8">
        <f t="shared" si="158"/>
        <v>794</v>
      </c>
      <c r="AN264" s="11">
        <f t="shared" si="158"/>
        <v>78482</v>
      </c>
      <c r="AO264" s="8">
        <f t="shared" si="158"/>
        <v>0</v>
      </c>
      <c r="AP264" s="11">
        <f t="shared" si="158"/>
        <v>0</v>
      </c>
      <c r="AQ264" s="11">
        <f t="shared" si="158"/>
        <v>38</v>
      </c>
      <c r="AR264" s="11">
        <f t="shared" si="158"/>
        <v>3593</v>
      </c>
      <c r="AS264" s="8">
        <f t="shared" si="162"/>
        <v>31287</v>
      </c>
      <c r="AT264" s="11">
        <f t="shared" si="159"/>
        <v>2839259</v>
      </c>
      <c r="AU264" s="2" t="str">
        <f t="shared" si="160"/>
        <v>IRAPUATO</v>
      </c>
      <c r="AV264" s="37">
        <f t="shared" si="161"/>
        <v>0</v>
      </c>
      <c r="AW264" s="37">
        <f t="shared" si="161"/>
        <v>0</v>
      </c>
    </row>
    <row r="265" spans="1:49" outlineLevel="1" x14ac:dyDescent="0.25">
      <c r="B265" s="2" t="s">
        <v>10</v>
      </c>
      <c r="C265" s="2">
        <v>2023</v>
      </c>
      <c r="D265" s="1">
        <v>628</v>
      </c>
      <c r="E265" s="11">
        <v>47603</v>
      </c>
      <c r="F265" s="1">
        <v>495</v>
      </c>
      <c r="G265" s="11">
        <v>43080</v>
      </c>
      <c r="H265" s="1">
        <v>342</v>
      </c>
      <c r="I265" s="11">
        <v>26418</v>
      </c>
      <c r="J265" s="1">
        <v>24965</v>
      </c>
      <c r="K265" s="11">
        <v>2191405</v>
      </c>
      <c r="L265" s="1">
        <v>672</v>
      </c>
      <c r="M265" s="11">
        <v>76721</v>
      </c>
      <c r="N265" s="1">
        <v>828</v>
      </c>
      <c r="O265" s="11">
        <v>86497</v>
      </c>
      <c r="P265" s="8">
        <v>0</v>
      </c>
      <c r="Q265" s="11">
        <v>0</v>
      </c>
      <c r="R265" s="8">
        <v>22</v>
      </c>
      <c r="S265" s="11">
        <v>1741</v>
      </c>
      <c r="T265" s="53">
        <f t="shared" si="156"/>
        <v>27952</v>
      </c>
      <c r="U265" s="54">
        <f t="shared" si="156"/>
        <v>2473465</v>
      </c>
      <c r="V265" s="2" t="s">
        <v>68</v>
      </c>
      <c r="Z265" s="30"/>
      <c r="AA265" s="30"/>
      <c r="AB265" s="31"/>
      <c r="AC265" s="32"/>
      <c r="AE265" s="2" t="s">
        <v>10</v>
      </c>
      <c r="AF265" s="2">
        <v>2023</v>
      </c>
      <c r="AG265" s="1">
        <f t="shared" si="157"/>
        <v>1465</v>
      </c>
      <c r="AH265" s="11">
        <f t="shared" si="157"/>
        <v>117101</v>
      </c>
      <c r="AI265" s="1">
        <f t="shared" si="158"/>
        <v>24965</v>
      </c>
      <c r="AJ265" s="11">
        <f t="shared" si="158"/>
        <v>2191405</v>
      </c>
      <c r="AK265" s="8">
        <f t="shared" si="158"/>
        <v>672</v>
      </c>
      <c r="AL265" s="11">
        <f t="shared" si="158"/>
        <v>76721</v>
      </c>
      <c r="AM265" s="8">
        <f t="shared" si="158"/>
        <v>828</v>
      </c>
      <c r="AN265" s="11">
        <f t="shared" si="158"/>
        <v>86497</v>
      </c>
      <c r="AO265" s="8">
        <f t="shared" si="158"/>
        <v>0</v>
      </c>
      <c r="AP265" s="11">
        <f t="shared" si="158"/>
        <v>0</v>
      </c>
      <c r="AQ265" s="11">
        <f t="shared" si="158"/>
        <v>22</v>
      </c>
      <c r="AR265" s="11">
        <f t="shared" si="158"/>
        <v>1741</v>
      </c>
      <c r="AS265" s="8">
        <f t="shared" si="162"/>
        <v>27952</v>
      </c>
      <c r="AT265" s="11">
        <f t="shared" si="159"/>
        <v>2473465</v>
      </c>
      <c r="AU265" s="2" t="str">
        <f t="shared" si="160"/>
        <v>IRAPUATO</v>
      </c>
      <c r="AV265" s="37">
        <f t="shared" si="161"/>
        <v>0</v>
      </c>
      <c r="AW265" s="37">
        <f t="shared" si="161"/>
        <v>0</v>
      </c>
    </row>
    <row r="266" spans="1:49" outlineLevel="1" x14ac:dyDescent="0.25">
      <c r="B266" s="2" t="s">
        <v>11</v>
      </c>
      <c r="C266" s="2">
        <v>2023</v>
      </c>
      <c r="D266" s="1">
        <v>786</v>
      </c>
      <c r="E266" s="11">
        <v>63198</v>
      </c>
      <c r="F266" s="1">
        <v>413</v>
      </c>
      <c r="G266" s="11">
        <v>34789</v>
      </c>
      <c r="H266" s="1">
        <v>357</v>
      </c>
      <c r="I266" s="11">
        <v>26743</v>
      </c>
      <c r="J266" s="1">
        <v>23916</v>
      </c>
      <c r="K266" s="11">
        <v>2099472</v>
      </c>
      <c r="L266" s="1">
        <v>736</v>
      </c>
      <c r="M266" s="11">
        <v>83199</v>
      </c>
      <c r="N266" s="1">
        <v>810</v>
      </c>
      <c r="O266" s="11">
        <v>83663</v>
      </c>
      <c r="P266" s="8">
        <v>0</v>
      </c>
      <c r="Q266" s="11">
        <v>0</v>
      </c>
      <c r="R266" s="8">
        <v>28</v>
      </c>
      <c r="S266" s="11">
        <v>2044</v>
      </c>
      <c r="T266" s="53">
        <f t="shared" si="156"/>
        <v>27046</v>
      </c>
      <c r="U266" s="54">
        <f t="shared" si="156"/>
        <v>2393108</v>
      </c>
      <c r="V266" s="2" t="s">
        <v>68</v>
      </c>
      <c r="Z266" s="30"/>
      <c r="AA266" s="30"/>
      <c r="AB266" s="31"/>
      <c r="AC266" s="32"/>
      <c r="AE266" s="2" t="s">
        <v>11</v>
      </c>
      <c r="AF266" s="2">
        <v>2023</v>
      </c>
      <c r="AG266" s="1">
        <f t="shared" si="157"/>
        <v>1556</v>
      </c>
      <c r="AH266" s="11">
        <f t="shared" si="157"/>
        <v>124730</v>
      </c>
      <c r="AI266" s="1">
        <f t="shared" si="158"/>
        <v>23916</v>
      </c>
      <c r="AJ266" s="11">
        <f t="shared" si="158"/>
        <v>2099472</v>
      </c>
      <c r="AK266" s="8">
        <f t="shared" si="158"/>
        <v>736</v>
      </c>
      <c r="AL266" s="11">
        <f t="shared" si="158"/>
        <v>83199</v>
      </c>
      <c r="AM266" s="8">
        <f t="shared" si="158"/>
        <v>810</v>
      </c>
      <c r="AN266" s="11">
        <f t="shared" si="158"/>
        <v>83663</v>
      </c>
      <c r="AO266" s="8">
        <f t="shared" si="158"/>
        <v>0</v>
      </c>
      <c r="AP266" s="11">
        <f t="shared" si="158"/>
        <v>0</v>
      </c>
      <c r="AQ266" s="11">
        <f t="shared" si="158"/>
        <v>28</v>
      </c>
      <c r="AR266" s="11">
        <f t="shared" si="158"/>
        <v>2044</v>
      </c>
      <c r="AS266" s="8">
        <f t="shared" si="162"/>
        <v>27046</v>
      </c>
      <c r="AT266" s="11">
        <f t="shared" si="159"/>
        <v>2393108</v>
      </c>
      <c r="AU266" s="2" t="str">
        <f t="shared" si="160"/>
        <v>IRAPUATO</v>
      </c>
      <c r="AV266" s="37">
        <f t="shared" si="161"/>
        <v>0</v>
      </c>
      <c r="AW266" s="37">
        <f t="shared" si="161"/>
        <v>0</v>
      </c>
    </row>
    <row r="267" spans="1:49" outlineLevel="1" x14ac:dyDescent="0.25">
      <c r="B267" s="2" t="s">
        <v>4</v>
      </c>
      <c r="C267" s="2">
        <v>2023</v>
      </c>
      <c r="D267" s="1">
        <v>864</v>
      </c>
      <c r="E267" s="11">
        <v>66898</v>
      </c>
      <c r="F267" s="1">
        <v>391</v>
      </c>
      <c r="G267" s="11">
        <v>32838</v>
      </c>
      <c r="H267" s="1">
        <v>409</v>
      </c>
      <c r="I267" s="11">
        <v>34140</v>
      </c>
      <c r="J267" s="1">
        <v>25504</v>
      </c>
      <c r="K267" s="11">
        <v>2279422</v>
      </c>
      <c r="L267" s="1">
        <v>730</v>
      </c>
      <c r="M267" s="11">
        <v>80603</v>
      </c>
      <c r="N267" s="1">
        <v>776</v>
      </c>
      <c r="O267" s="11">
        <v>77885</v>
      </c>
      <c r="P267" s="8">
        <v>0</v>
      </c>
      <c r="Q267" s="11">
        <v>0</v>
      </c>
      <c r="R267" s="8">
        <v>29</v>
      </c>
      <c r="S267" s="11">
        <v>2784</v>
      </c>
      <c r="T267" s="53">
        <f t="shared" si="156"/>
        <v>28703</v>
      </c>
      <c r="U267" s="54">
        <f t="shared" si="156"/>
        <v>2574570</v>
      </c>
      <c r="V267" s="2" t="s">
        <v>68</v>
      </c>
      <c r="W267" s="38"/>
      <c r="Z267" s="30"/>
      <c r="AA267" s="30"/>
      <c r="AB267" s="31"/>
      <c r="AC267" s="32"/>
      <c r="AE267" s="2" t="s">
        <v>4</v>
      </c>
      <c r="AF267" s="2">
        <v>2023</v>
      </c>
      <c r="AG267" s="1">
        <f t="shared" si="157"/>
        <v>1664</v>
      </c>
      <c r="AH267" s="11">
        <f t="shared" si="157"/>
        <v>133876</v>
      </c>
      <c r="AI267" s="1">
        <f t="shared" si="158"/>
        <v>25504</v>
      </c>
      <c r="AJ267" s="11">
        <f t="shared" si="158"/>
        <v>2279422</v>
      </c>
      <c r="AK267" s="8">
        <f t="shared" si="158"/>
        <v>730</v>
      </c>
      <c r="AL267" s="11">
        <f t="shared" si="158"/>
        <v>80603</v>
      </c>
      <c r="AM267" s="8">
        <f t="shared" si="158"/>
        <v>776</v>
      </c>
      <c r="AN267" s="11">
        <f t="shared" si="158"/>
        <v>77885</v>
      </c>
      <c r="AO267" s="8">
        <f t="shared" si="158"/>
        <v>0</v>
      </c>
      <c r="AP267" s="11">
        <f t="shared" si="158"/>
        <v>0</v>
      </c>
      <c r="AQ267" s="11">
        <f t="shared" si="158"/>
        <v>29</v>
      </c>
      <c r="AR267" s="11">
        <f t="shared" si="158"/>
        <v>2784</v>
      </c>
      <c r="AS267" s="8">
        <f t="shared" si="162"/>
        <v>28703</v>
      </c>
      <c r="AT267" s="11">
        <f t="shared" si="159"/>
        <v>2574570</v>
      </c>
      <c r="AU267" s="2" t="str">
        <f t="shared" si="160"/>
        <v>IRAPUATO</v>
      </c>
      <c r="AV267" s="37">
        <f t="shared" si="161"/>
        <v>0</v>
      </c>
      <c r="AW267" s="37">
        <f t="shared" si="161"/>
        <v>0</v>
      </c>
    </row>
    <row r="268" spans="1:49" outlineLevel="1" x14ac:dyDescent="0.25">
      <c r="B268" s="2" t="s">
        <v>28</v>
      </c>
      <c r="C268" s="2">
        <v>2023</v>
      </c>
      <c r="D268" s="1">
        <v>852</v>
      </c>
      <c r="E268" s="11">
        <v>67270</v>
      </c>
      <c r="F268" s="1">
        <v>417</v>
      </c>
      <c r="G268" s="11">
        <v>35537</v>
      </c>
      <c r="H268" s="1">
        <v>428</v>
      </c>
      <c r="I268" s="11">
        <v>35674</v>
      </c>
      <c r="J268" s="1">
        <v>26177</v>
      </c>
      <c r="K268" s="11">
        <v>2334105</v>
      </c>
      <c r="L268" s="1">
        <v>765</v>
      </c>
      <c r="M268" s="11">
        <v>89689</v>
      </c>
      <c r="N268" s="1">
        <v>675</v>
      </c>
      <c r="O268" s="11">
        <v>64615</v>
      </c>
      <c r="P268" s="8">
        <v>0</v>
      </c>
      <c r="Q268" s="11">
        <v>0</v>
      </c>
      <c r="R268" s="8">
        <v>39</v>
      </c>
      <c r="S268" s="11">
        <v>2567</v>
      </c>
      <c r="T268" s="53">
        <f t="shared" si="156"/>
        <v>29353</v>
      </c>
      <c r="U268" s="54">
        <f t="shared" si="156"/>
        <v>2629457</v>
      </c>
      <c r="V268" s="2" t="s">
        <v>68</v>
      </c>
      <c r="Z268" s="30"/>
      <c r="AA268" s="30"/>
      <c r="AB268" s="31"/>
      <c r="AC268" s="32"/>
      <c r="AE268" s="2" t="s">
        <v>28</v>
      </c>
      <c r="AF268" s="2">
        <v>2023</v>
      </c>
      <c r="AG268" s="1">
        <f t="shared" si="157"/>
        <v>1697</v>
      </c>
      <c r="AH268" s="11">
        <f t="shared" si="157"/>
        <v>138481</v>
      </c>
      <c r="AI268" s="1">
        <f t="shared" si="158"/>
        <v>26177</v>
      </c>
      <c r="AJ268" s="11">
        <f t="shared" si="158"/>
        <v>2334105</v>
      </c>
      <c r="AK268" s="8">
        <f t="shared" si="158"/>
        <v>765</v>
      </c>
      <c r="AL268" s="11">
        <f t="shared" si="158"/>
        <v>89689</v>
      </c>
      <c r="AM268" s="8">
        <f t="shared" si="158"/>
        <v>675</v>
      </c>
      <c r="AN268" s="11">
        <f t="shared" si="158"/>
        <v>64615</v>
      </c>
      <c r="AO268" s="8">
        <f t="shared" si="158"/>
        <v>0</v>
      </c>
      <c r="AP268" s="11">
        <f t="shared" si="158"/>
        <v>0</v>
      </c>
      <c r="AQ268" s="11">
        <f t="shared" si="158"/>
        <v>39</v>
      </c>
      <c r="AR268" s="11">
        <f t="shared" si="158"/>
        <v>2567</v>
      </c>
      <c r="AS268" s="8">
        <f t="shared" si="162"/>
        <v>29353</v>
      </c>
      <c r="AT268" s="11">
        <f t="shared" si="159"/>
        <v>2629457</v>
      </c>
      <c r="AU268" s="2" t="str">
        <f t="shared" si="160"/>
        <v>IRAPUATO</v>
      </c>
      <c r="AV268" s="37">
        <f t="shared" si="161"/>
        <v>0</v>
      </c>
      <c r="AW268" s="37">
        <f t="shared" si="161"/>
        <v>0</v>
      </c>
    </row>
    <row r="269" spans="1:49" outlineLevel="1" x14ac:dyDescent="0.25">
      <c r="B269" s="2" t="s">
        <v>29</v>
      </c>
      <c r="C269" s="2">
        <v>2023</v>
      </c>
      <c r="D269" s="1">
        <v>760</v>
      </c>
      <c r="E269" s="11">
        <v>56839</v>
      </c>
      <c r="F269" s="1">
        <v>422</v>
      </c>
      <c r="G269" s="11">
        <v>37130</v>
      </c>
      <c r="H269" s="1">
        <v>416</v>
      </c>
      <c r="I269" s="11">
        <v>32156</v>
      </c>
      <c r="J269" s="1">
        <v>26094</v>
      </c>
      <c r="K269" s="11">
        <v>2391879</v>
      </c>
      <c r="L269" s="1">
        <v>673</v>
      </c>
      <c r="M269" s="11">
        <v>78222</v>
      </c>
      <c r="N269" s="1">
        <v>966</v>
      </c>
      <c r="O269" s="11">
        <v>99775</v>
      </c>
      <c r="P269" s="8">
        <v>3</v>
      </c>
      <c r="Q269" s="11">
        <v>437</v>
      </c>
      <c r="R269" s="8">
        <v>41</v>
      </c>
      <c r="S269" s="11">
        <v>3542</v>
      </c>
      <c r="T269" s="53">
        <f>N269+L269+J269+H269+D269+P269+F269+R269</f>
        <v>29375</v>
      </c>
      <c r="U269" s="54">
        <f>O269+M269+K269+I269+E269+Q269+G269+S269</f>
        <v>2699980</v>
      </c>
      <c r="V269" s="2" t="s">
        <v>68</v>
      </c>
      <c r="Z269" s="30"/>
      <c r="AA269" s="30"/>
      <c r="AB269" s="31"/>
      <c r="AC269" s="32"/>
      <c r="AE269" s="2" t="s">
        <v>29</v>
      </c>
      <c r="AF269" s="2">
        <v>2023</v>
      </c>
      <c r="AG269" s="1">
        <f t="shared" si="157"/>
        <v>1598</v>
      </c>
      <c r="AH269" s="11">
        <f t="shared" si="157"/>
        <v>126125</v>
      </c>
      <c r="AI269" s="1">
        <f t="shared" si="158"/>
        <v>26094</v>
      </c>
      <c r="AJ269" s="11">
        <f t="shared" si="158"/>
        <v>2391879</v>
      </c>
      <c r="AK269" s="8">
        <f t="shared" si="158"/>
        <v>673</v>
      </c>
      <c r="AL269" s="11">
        <f t="shared" si="158"/>
        <v>78222</v>
      </c>
      <c r="AM269" s="8">
        <f t="shared" si="158"/>
        <v>966</v>
      </c>
      <c r="AN269" s="11">
        <f t="shared" si="158"/>
        <v>99775</v>
      </c>
      <c r="AO269" s="8">
        <f t="shared" si="158"/>
        <v>3</v>
      </c>
      <c r="AP269" s="11">
        <f t="shared" si="158"/>
        <v>437</v>
      </c>
      <c r="AQ269" s="11">
        <f t="shared" si="158"/>
        <v>41</v>
      </c>
      <c r="AR269" s="11">
        <f t="shared" si="158"/>
        <v>3542</v>
      </c>
      <c r="AS269" s="8">
        <f t="shared" si="162"/>
        <v>29375</v>
      </c>
      <c r="AT269" s="11">
        <f t="shared" si="159"/>
        <v>2699980</v>
      </c>
      <c r="AU269" s="2" t="str">
        <f t="shared" si="160"/>
        <v>IRAPUATO</v>
      </c>
      <c r="AV269" s="37">
        <f t="shared" si="161"/>
        <v>0</v>
      </c>
      <c r="AW269" s="37">
        <f t="shared" si="161"/>
        <v>0</v>
      </c>
    </row>
    <row r="270" spans="1:49" outlineLevel="1" x14ac:dyDescent="0.25">
      <c r="B270" s="2" t="s">
        <v>30</v>
      </c>
      <c r="C270" s="2">
        <v>2023</v>
      </c>
      <c r="D270" s="1">
        <v>1111</v>
      </c>
      <c r="E270" s="11">
        <v>77696</v>
      </c>
      <c r="F270" s="1">
        <v>610</v>
      </c>
      <c r="G270" s="11">
        <v>48289</v>
      </c>
      <c r="H270" s="1">
        <v>601</v>
      </c>
      <c r="I270" s="11">
        <v>45203</v>
      </c>
      <c r="J270" s="1">
        <v>35438</v>
      </c>
      <c r="K270" s="11">
        <v>2984793</v>
      </c>
      <c r="L270" s="1">
        <v>671</v>
      </c>
      <c r="M270" s="11">
        <v>69096</v>
      </c>
      <c r="N270" s="1">
        <v>1303</v>
      </c>
      <c r="O270" s="11">
        <v>126593</v>
      </c>
      <c r="P270" s="8">
        <v>4</v>
      </c>
      <c r="Q270" s="11">
        <v>461</v>
      </c>
      <c r="R270" s="8">
        <v>52</v>
      </c>
      <c r="S270" s="11">
        <v>4012</v>
      </c>
      <c r="T270" s="53">
        <f>N270+L270+J270+H270+D270+P270+F270+R270</f>
        <v>39790</v>
      </c>
      <c r="U270" s="54">
        <f>O270+M270+K270+I270+E270+Q270+G270+S270</f>
        <v>3356143</v>
      </c>
      <c r="V270" s="2" t="s">
        <v>68</v>
      </c>
      <c r="Z270" s="30"/>
      <c r="AA270" s="30"/>
      <c r="AB270" s="31"/>
      <c r="AC270" s="32"/>
      <c r="AE270" s="2" t="s">
        <v>30</v>
      </c>
      <c r="AF270" s="2">
        <v>2023</v>
      </c>
      <c r="AG270" s="1">
        <f t="shared" si="157"/>
        <v>2322</v>
      </c>
      <c r="AH270" s="11">
        <f t="shared" si="157"/>
        <v>171188</v>
      </c>
      <c r="AI270" s="1">
        <f t="shared" si="158"/>
        <v>35438</v>
      </c>
      <c r="AJ270" s="11">
        <f t="shared" si="158"/>
        <v>2984793</v>
      </c>
      <c r="AK270" s="8">
        <f t="shared" si="158"/>
        <v>671</v>
      </c>
      <c r="AL270" s="11">
        <f t="shared" si="158"/>
        <v>69096</v>
      </c>
      <c r="AM270" s="8">
        <f t="shared" si="158"/>
        <v>1303</v>
      </c>
      <c r="AN270" s="11">
        <f t="shared" si="158"/>
        <v>126593</v>
      </c>
      <c r="AO270" s="8">
        <f t="shared" si="158"/>
        <v>4</v>
      </c>
      <c r="AP270" s="11">
        <f t="shared" si="158"/>
        <v>461</v>
      </c>
      <c r="AQ270" s="11">
        <f t="shared" si="158"/>
        <v>52</v>
      </c>
      <c r="AR270" s="11">
        <f t="shared" si="158"/>
        <v>4012</v>
      </c>
      <c r="AS270" s="8">
        <f t="shared" si="162"/>
        <v>39790</v>
      </c>
      <c r="AT270" s="11">
        <f t="shared" si="159"/>
        <v>3356143</v>
      </c>
      <c r="AU270" s="2" t="str">
        <f t="shared" si="160"/>
        <v>IRAPUATO</v>
      </c>
      <c r="AV270" s="37">
        <f t="shared" si="161"/>
        <v>0</v>
      </c>
      <c r="AW270" s="37">
        <f t="shared" si="161"/>
        <v>0</v>
      </c>
    </row>
    <row r="271" spans="1:49" outlineLevel="1" x14ac:dyDescent="0.25">
      <c r="B271" s="2" t="s">
        <v>31</v>
      </c>
      <c r="C271" s="2">
        <v>2023</v>
      </c>
      <c r="D271" s="1">
        <v>931</v>
      </c>
      <c r="E271" s="11">
        <v>67685</v>
      </c>
      <c r="F271" s="1">
        <v>593</v>
      </c>
      <c r="G271" s="11">
        <v>53459</v>
      </c>
      <c r="H271" s="1">
        <v>464</v>
      </c>
      <c r="I271" s="11">
        <v>38752</v>
      </c>
      <c r="J271" s="1">
        <v>25626</v>
      </c>
      <c r="K271" s="11">
        <v>2392849</v>
      </c>
      <c r="L271" s="1">
        <v>644</v>
      </c>
      <c r="M271" s="11">
        <v>71762</v>
      </c>
      <c r="N271" s="1">
        <v>1391</v>
      </c>
      <c r="O271" s="11">
        <v>148284</v>
      </c>
      <c r="P271" s="8">
        <v>19</v>
      </c>
      <c r="Q271" s="11">
        <v>2224</v>
      </c>
      <c r="R271" s="8">
        <v>65</v>
      </c>
      <c r="S271" s="11">
        <v>3934</v>
      </c>
      <c r="T271" s="53">
        <f t="shared" si="156"/>
        <v>29733</v>
      </c>
      <c r="U271" s="54">
        <f t="shared" si="156"/>
        <v>2778949</v>
      </c>
      <c r="V271" s="2" t="s">
        <v>68</v>
      </c>
      <c r="X271" s="13"/>
      <c r="Z271" s="30"/>
      <c r="AA271" s="30"/>
      <c r="AB271" s="31"/>
      <c r="AC271" s="32"/>
      <c r="AE271" s="2" t="s">
        <v>31</v>
      </c>
      <c r="AF271" s="2">
        <v>2023</v>
      </c>
      <c r="AG271" s="1">
        <f t="shared" si="157"/>
        <v>1988</v>
      </c>
      <c r="AH271" s="11">
        <f t="shared" si="157"/>
        <v>159896</v>
      </c>
      <c r="AI271" s="1">
        <f t="shared" si="158"/>
        <v>25626</v>
      </c>
      <c r="AJ271" s="11">
        <f t="shared" si="158"/>
        <v>2392849</v>
      </c>
      <c r="AK271" s="8">
        <f t="shared" si="158"/>
        <v>644</v>
      </c>
      <c r="AL271" s="11">
        <f t="shared" si="158"/>
        <v>71762</v>
      </c>
      <c r="AM271" s="8">
        <f t="shared" si="158"/>
        <v>1391</v>
      </c>
      <c r="AN271" s="11">
        <f t="shared" si="158"/>
        <v>148284</v>
      </c>
      <c r="AO271" s="8">
        <f t="shared" si="158"/>
        <v>19</v>
      </c>
      <c r="AP271" s="11">
        <f t="shared" si="158"/>
        <v>2224</v>
      </c>
      <c r="AQ271" s="11">
        <f t="shared" si="158"/>
        <v>65</v>
      </c>
      <c r="AR271" s="11">
        <f t="shared" si="158"/>
        <v>3934</v>
      </c>
      <c r="AS271" s="8">
        <f t="shared" si="162"/>
        <v>29733</v>
      </c>
      <c r="AT271" s="11">
        <f t="shared" si="159"/>
        <v>2778949</v>
      </c>
      <c r="AU271" s="2" t="str">
        <f t="shared" si="160"/>
        <v>IRAPUATO</v>
      </c>
      <c r="AV271" s="37">
        <f t="shared" si="161"/>
        <v>0</v>
      </c>
      <c r="AW271" s="37">
        <f t="shared" si="161"/>
        <v>0</v>
      </c>
    </row>
    <row r="272" spans="1:49" outlineLevel="1" x14ac:dyDescent="0.25">
      <c r="AH272" s="9"/>
      <c r="AJ272" s="9"/>
      <c r="AL272" s="9"/>
      <c r="AN272" s="9"/>
      <c r="AO272" s="9"/>
      <c r="AP272" s="9"/>
      <c r="AQ272" s="9"/>
      <c r="AR272" s="9"/>
      <c r="AT272" s="9"/>
    </row>
    <row r="273" spans="1:49" outlineLevel="1" x14ac:dyDescent="0.25">
      <c r="B273" s="3" t="s">
        <v>12</v>
      </c>
      <c r="C273" s="3"/>
      <c r="D273" s="4">
        <f t="shared" ref="D273:U273" si="163">SUM(D260:D272)</f>
        <v>10078</v>
      </c>
      <c r="E273" s="12">
        <f t="shared" si="163"/>
        <v>754119</v>
      </c>
      <c r="F273" s="4">
        <f t="shared" si="163"/>
        <v>5111</v>
      </c>
      <c r="G273" s="12">
        <f t="shared" si="163"/>
        <v>433902</v>
      </c>
      <c r="H273" s="4">
        <f t="shared" si="163"/>
        <v>5097</v>
      </c>
      <c r="I273" s="12">
        <f t="shared" si="163"/>
        <v>394879</v>
      </c>
      <c r="J273" s="4">
        <f t="shared" si="163"/>
        <v>323367</v>
      </c>
      <c r="K273" s="12">
        <f t="shared" si="163"/>
        <v>28660481</v>
      </c>
      <c r="L273" s="4">
        <f t="shared" si="163"/>
        <v>10021</v>
      </c>
      <c r="M273" s="12">
        <f t="shared" si="163"/>
        <v>1141434</v>
      </c>
      <c r="N273" s="4">
        <f t="shared" si="163"/>
        <v>10985</v>
      </c>
      <c r="O273" s="12">
        <f t="shared" si="163"/>
        <v>1113928</v>
      </c>
      <c r="P273" s="4">
        <f>SUM(P260:P272)</f>
        <v>26</v>
      </c>
      <c r="Q273" s="12">
        <f>SUM(Q260:Q272)</f>
        <v>3122</v>
      </c>
      <c r="R273" s="4">
        <f>SUM(R260:R272)</f>
        <v>417</v>
      </c>
      <c r="S273" s="12">
        <f>SUM(S260:S272)</f>
        <v>34802</v>
      </c>
      <c r="T273" s="4">
        <f t="shared" si="163"/>
        <v>365102</v>
      </c>
      <c r="U273" s="12">
        <f t="shared" si="163"/>
        <v>32536667</v>
      </c>
      <c r="Z273" s="12">
        <f>AVERAGE(Z260:Z272)</f>
        <v>14120.788</v>
      </c>
      <c r="AA273" s="12">
        <f t="shared" ref="AA273:AC273" si="164">AVERAGE(AA260:AA272)</f>
        <v>0.52068923120700017</v>
      </c>
      <c r="AB273" s="12">
        <f t="shared" si="164"/>
        <v>11349.752499999999</v>
      </c>
      <c r="AC273" s="16">
        <f t="shared" si="164"/>
        <v>4.7356674923736781E-3</v>
      </c>
      <c r="AE273" s="3" t="s">
        <v>12</v>
      </c>
      <c r="AF273" s="3"/>
      <c r="AG273" s="4">
        <f t="shared" ref="AG273:AT273" si="165">SUM(AG260:AG272)</f>
        <v>20286</v>
      </c>
      <c r="AH273" s="12">
        <f t="shared" si="165"/>
        <v>1582900</v>
      </c>
      <c r="AI273" s="4">
        <f t="shared" si="165"/>
        <v>323367</v>
      </c>
      <c r="AJ273" s="12">
        <f t="shared" si="165"/>
        <v>28660481</v>
      </c>
      <c r="AK273" s="4">
        <f t="shared" si="165"/>
        <v>10021</v>
      </c>
      <c r="AL273" s="12">
        <f t="shared" si="165"/>
        <v>1141434</v>
      </c>
      <c r="AM273" s="4">
        <f t="shared" si="165"/>
        <v>10985</v>
      </c>
      <c r="AN273" s="12">
        <f t="shared" si="165"/>
        <v>1113928</v>
      </c>
      <c r="AO273" s="4">
        <f t="shared" si="165"/>
        <v>26</v>
      </c>
      <c r="AP273" s="12">
        <f t="shared" si="165"/>
        <v>3122</v>
      </c>
      <c r="AQ273" s="4">
        <f t="shared" si="165"/>
        <v>417</v>
      </c>
      <c r="AR273" s="12">
        <f t="shared" si="165"/>
        <v>34802</v>
      </c>
      <c r="AS273" s="4">
        <f t="shared" si="165"/>
        <v>365102</v>
      </c>
      <c r="AT273" s="12">
        <f t="shared" si="165"/>
        <v>32536667</v>
      </c>
    </row>
    <row r="274" spans="1:49" outlineLevel="1" x14ac:dyDescent="0.25">
      <c r="J274" s="46" t="str">
        <f>+$A$255</f>
        <v>Aforo e Ingreso - IRAPUATO</v>
      </c>
      <c r="K274" s="9" t="s">
        <v>84</v>
      </c>
      <c r="L274" s="15">
        <f>AVERAGE(L260:L271)</f>
        <v>835.08333333333337</v>
      </c>
      <c r="M274" s="60">
        <f>AVERAGE(M260:M271)</f>
        <v>95119.5</v>
      </c>
      <c r="T274" s="15">
        <f>AVERAGE(T260:T271)</f>
        <v>30425.166666666668</v>
      </c>
      <c r="U274" s="28">
        <f>AVERAGE(U260:U271)</f>
        <v>2711388.9166666665</v>
      </c>
    </row>
    <row r="275" spans="1:49" outlineLevel="1" x14ac:dyDescent="0.25">
      <c r="A275" s="67" t="s">
        <v>14</v>
      </c>
      <c r="J275" s="46" t="str">
        <f>+$A$255</f>
        <v>Aforo e Ingreso - IRAPUATO</v>
      </c>
      <c r="K275" s="9" t="s">
        <v>85</v>
      </c>
      <c r="L275" s="26">
        <f>+L274/$L$337</f>
        <v>6.2523826251022468E-3</v>
      </c>
      <c r="M275" s="36">
        <f>+M274/$M$337</f>
        <v>4.7262110523883776E-3</v>
      </c>
      <c r="N275" s="18"/>
      <c r="O275" s="19"/>
      <c r="P275" s="19"/>
      <c r="Q275" s="19"/>
      <c r="R275" s="19"/>
      <c r="S275" s="19"/>
      <c r="T275" s="36">
        <f>+L274/T274</f>
        <v>2.7447124365245875E-2</v>
      </c>
      <c r="U275" s="62">
        <f>+M274/U274</f>
        <v>3.5081466703396513E-2</v>
      </c>
    </row>
    <row r="276" spans="1:49" outlineLevel="1" x14ac:dyDescent="0.25">
      <c r="A276" s="67" t="s">
        <v>81</v>
      </c>
      <c r="L276" s="26"/>
      <c r="M276" s="26"/>
    </row>
    <row r="277" spans="1:49" outlineLevel="1" x14ac:dyDescent="0.25">
      <c r="B277" s="5"/>
    </row>
    <row r="278" spans="1:49" outlineLevel="1" x14ac:dyDescent="0.25">
      <c r="D278" s="89" t="s">
        <v>15</v>
      </c>
      <c r="E278" s="90"/>
      <c r="F278" s="89" t="s">
        <v>71</v>
      </c>
      <c r="G278" s="90"/>
      <c r="H278" s="89" t="s">
        <v>16</v>
      </c>
      <c r="I278" s="90"/>
      <c r="J278" s="89" t="s">
        <v>17</v>
      </c>
      <c r="K278" s="93"/>
      <c r="L278" s="89" t="s">
        <v>18</v>
      </c>
      <c r="M278" s="93"/>
      <c r="N278" s="89" t="s">
        <v>13</v>
      </c>
      <c r="O278" s="93"/>
      <c r="P278" s="89" t="s">
        <v>34</v>
      </c>
      <c r="Q278" s="93"/>
      <c r="R278" s="89" t="s">
        <v>87</v>
      </c>
      <c r="S278" s="93"/>
      <c r="T278" s="89" t="s">
        <v>12</v>
      </c>
      <c r="U278" s="93"/>
      <c r="AG278" s="89" t="s">
        <v>69</v>
      </c>
      <c r="AH278" s="90"/>
      <c r="AI278" s="89" t="s">
        <v>17</v>
      </c>
      <c r="AJ278" s="93"/>
      <c r="AK278" s="89" t="s">
        <v>18</v>
      </c>
      <c r="AL278" s="93"/>
      <c r="AM278" s="89" t="s">
        <v>13</v>
      </c>
      <c r="AN278" s="93"/>
      <c r="AO278" s="89" t="s">
        <v>34</v>
      </c>
      <c r="AP278" s="93"/>
      <c r="AQ278" s="89" t="s">
        <v>87</v>
      </c>
      <c r="AR278" s="93"/>
      <c r="AS278" s="89" t="s">
        <v>12</v>
      </c>
      <c r="AT278" s="93"/>
    </row>
    <row r="279" spans="1:49" outlineLevel="1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Z279" s="33">
        <v>2021</v>
      </c>
      <c r="AA279" s="34">
        <v>0.64911320469749589</v>
      </c>
      <c r="AB279" s="33">
        <f>+Z279</f>
        <v>2021</v>
      </c>
      <c r="AC279" s="35">
        <v>7.2438527738108022E-3</v>
      </c>
      <c r="AE279" s="7" t="s">
        <v>0</v>
      </c>
      <c r="AF279" s="7" t="s">
        <v>1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  <c r="AQ279" s="7" t="s">
        <v>2</v>
      </c>
      <c r="AR279" s="10" t="s">
        <v>3</v>
      </c>
      <c r="AS279" s="7" t="s">
        <v>2</v>
      </c>
      <c r="AT279" s="10" t="s">
        <v>3</v>
      </c>
    </row>
    <row r="280" spans="1:49" outlineLevel="1" x14ac:dyDescent="0.25">
      <c r="AH280" s="9"/>
      <c r="AJ280" s="9"/>
      <c r="AL280" s="9"/>
      <c r="AN280" s="9"/>
      <c r="AO280" s="9"/>
      <c r="AP280" s="9"/>
      <c r="AQ280" s="9"/>
      <c r="AR280" s="9"/>
      <c r="AT280" s="9"/>
    </row>
    <row r="281" spans="1:49" outlineLevel="1" x14ac:dyDescent="0.25">
      <c r="B281" s="2" t="s">
        <v>5</v>
      </c>
      <c r="C281" s="2">
        <v>2023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1"/>
      <c r="Q281" s="11"/>
      <c r="R281" s="1"/>
      <c r="S281" s="11"/>
      <c r="T281" s="53">
        <f t="shared" ref="T281:U292" si="166">N281+L281+J281+H281+D281+P281+F281+R281</f>
        <v>0</v>
      </c>
      <c r="U281" s="54">
        <f t="shared" si="166"/>
        <v>0</v>
      </c>
      <c r="V281" s="2" t="s">
        <v>82</v>
      </c>
      <c r="Z281" s="30">
        <v>44950.31</v>
      </c>
      <c r="AA281" s="30">
        <f>+Z260/J260</f>
        <v>0.50263618047060521</v>
      </c>
      <c r="AB281" s="30">
        <v>86968.012499999997</v>
      </c>
      <c r="AC281" s="32" t="e">
        <f>+AB281/K281</f>
        <v>#DIV/0!</v>
      </c>
      <c r="AE281" s="2" t="s">
        <v>5</v>
      </c>
      <c r="AF281" s="2">
        <v>2023</v>
      </c>
      <c r="AG281" s="1">
        <f t="shared" ref="AG281:AH292" si="167">D281+H281+F281</f>
        <v>0</v>
      </c>
      <c r="AH281" s="11">
        <f t="shared" si="167"/>
        <v>0</v>
      </c>
      <c r="AI281" s="1">
        <f t="shared" ref="AI281:AR292" si="168">+J281</f>
        <v>0</v>
      </c>
      <c r="AJ281" s="11">
        <f t="shared" si="168"/>
        <v>0</v>
      </c>
      <c r="AK281" s="8">
        <f t="shared" si="168"/>
        <v>0</v>
      </c>
      <c r="AL281" s="11">
        <f t="shared" si="168"/>
        <v>0</v>
      </c>
      <c r="AM281" s="8">
        <f t="shared" si="168"/>
        <v>0</v>
      </c>
      <c r="AN281" s="11">
        <f t="shared" si="168"/>
        <v>0</v>
      </c>
      <c r="AO281" s="8">
        <f t="shared" si="168"/>
        <v>0</v>
      </c>
      <c r="AP281" s="11">
        <f t="shared" si="168"/>
        <v>0</v>
      </c>
      <c r="AQ281" s="11">
        <f t="shared" si="168"/>
        <v>0</v>
      </c>
      <c r="AR281" s="11">
        <f t="shared" si="168"/>
        <v>0</v>
      </c>
      <c r="AS281" s="8">
        <f>AO281+AM281+AK281+AI281+AG281+AQ281</f>
        <v>0</v>
      </c>
      <c r="AT281" s="11">
        <f t="shared" ref="AT281:AT292" si="169">AP281+AN281+AL281+AJ281+AH281+AR281</f>
        <v>0</v>
      </c>
      <c r="AU281" s="2" t="str">
        <f t="shared" ref="AU281:AU292" si="170">+V281</f>
        <v>META</v>
      </c>
      <c r="AV281" s="37">
        <f t="shared" ref="AV281:AW292" si="171">+AS281-T281</f>
        <v>0</v>
      </c>
      <c r="AW281" s="37">
        <f t="shared" si="171"/>
        <v>0</v>
      </c>
    </row>
    <row r="282" spans="1:49" outlineLevel="1" x14ac:dyDescent="0.25">
      <c r="B282" s="2" t="s">
        <v>6</v>
      </c>
      <c r="C282" s="2">
        <v>2023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>
        <f t="shared" si="166"/>
        <v>0</v>
      </c>
      <c r="U282" s="54">
        <f t="shared" si="166"/>
        <v>0</v>
      </c>
      <c r="V282" s="2" t="s">
        <v>82</v>
      </c>
      <c r="Z282" s="30">
        <v>42247.73</v>
      </c>
      <c r="AA282" s="30">
        <f>+Z261/J261</f>
        <v>0.51538573843553104</v>
      </c>
      <c r="AB282" s="31">
        <v>76121.642499999987</v>
      </c>
      <c r="AC282" s="32" t="e">
        <f>+AB282/K282</f>
        <v>#DIV/0!</v>
      </c>
      <c r="AE282" s="2" t="s">
        <v>6</v>
      </c>
      <c r="AF282" s="2">
        <v>2023</v>
      </c>
      <c r="AG282" s="1">
        <f t="shared" si="167"/>
        <v>0</v>
      </c>
      <c r="AH282" s="11">
        <f t="shared" si="167"/>
        <v>0</v>
      </c>
      <c r="AI282" s="1">
        <f t="shared" si="168"/>
        <v>0</v>
      </c>
      <c r="AJ282" s="11">
        <f t="shared" si="168"/>
        <v>0</v>
      </c>
      <c r="AK282" s="8">
        <f t="shared" si="168"/>
        <v>0</v>
      </c>
      <c r="AL282" s="11">
        <f t="shared" si="168"/>
        <v>0</v>
      </c>
      <c r="AM282" s="8">
        <f t="shared" si="168"/>
        <v>0</v>
      </c>
      <c r="AN282" s="11">
        <f t="shared" si="168"/>
        <v>0</v>
      </c>
      <c r="AO282" s="8">
        <f t="shared" si="168"/>
        <v>0</v>
      </c>
      <c r="AP282" s="11">
        <f t="shared" si="168"/>
        <v>0</v>
      </c>
      <c r="AQ282" s="11">
        <f t="shared" si="168"/>
        <v>0</v>
      </c>
      <c r="AR282" s="11">
        <f t="shared" si="168"/>
        <v>0</v>
      </c>
      <c r="AS282" s="8">
        <f t="shared" ref="AS282:AS292" si="172">AO282+AM282+AK282+AI282+AG282+AQ282</f>
        <v>0</v>
      </c>
      <c r="AT282" s="11">
        <f t="shared" si="169"/>
        <v>0</v>
      </c>
      <c r="AU282" s="2" t="str">
        <f t="shared" si="170"/>
        <v>META</v>
      </c>
      <c r="AV282" s="37">
        <f t="shared" si="171"/>
        <v>0</v>
      </c>
      <c r="AW282" s="37">
        <f t="shared" si="171"/>
        <v>0</v>
      </c>
    </row>
    <row r="283" spans="1:49" outlineLevel="1" x14ac:dyDescent="0.25">
      <c r="B283" s="2" t="s">
        <v>7</v>
      </c>
      <c r="C283" s="2">
        <v>2023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>
        <f t="shared" si="166"/>
        <v>0</v>
      </c>
      <c r="U283" s="54">
        <f t="shared" si="166"/>
        <v>0</v>
      </c>
      <c r="V283" s="2" t="s">
        <v>82</v>
      </c>
      <c r="Z283" s="30">
        <v>46033.65</v>
      </c>
      <c r="AA283" s="30">
        <f>+Z262/J262</f>
        <v>0.50953387197016786</v>
      </c>
      <c r="AB283" s="31">
        <v>86865.14</v>
      </c>
      <c r="AC283" s="32" t="e">
        <f>+AB283/K283</f>
        <v>#DIV/0!</v>
      </c>
      <c r="AD283" s="13"/>
      <c r="AE283" s="2" t="s">
        <v>7</v>
      </c>
      <c r="AF283" s="2">
        <v>2023</v>
      </c>
      <c r="AG283" s="1">
        <f t="shared" si="167"/>
        <v>0</v>
      </c>
      <c r="AH283" s="11">
        <f t="shared" si="167"/>
        <v>0</v>
      </c>
      <c r="AI283" s="1">
        <f t="shared" si="168"/>
        <v>0</v>
      </c>
      <c r="AJ283" s="11">
        <f t="shared" si="168"/>
        <v>0</v>
      </c>
      <c r="AK283" s="8">
        <f t="shared" si="168"/>
        <v>0</v>
      </c>
      <c r="AL283" s="11">
        <f t="shared" si="168"/>
        <v>0</v>
      </c>
      <c r="AM283" s="8">
        <f t="shared" si="168"/>
        <v>0</v>
      </c>
      <c r="AN283" s="11">
        <f t="shared" si="168"/>
        <v>0</v>
      </c>
      <c r="AO283" s="8">
        <f t="shared" si="168"/>
        <v>0</v>
      </c>
      <c r="AP283" s="11">
        <f t="shared" si="168"/>
        <v>0</v>
      </c>
      <c r="AQ283" s="11">
        <f t="shared" si="168"/>
        <v>0</v>
      </c>
      <c r="AR283" s="11">
        <f t="shared" si="168"/>
        <v>0</v>
      </c>
      <c r="AS283" s="8">
        <f t="shared" si="172"/>
        <v>0</v>
      </c>
      <c r="AT283" s="11">
        <f t="shared" si="169"/>
        <v>0</v>
      </c>
      <c r="AU283" s="2" t="str">
        <f t="shared" si="170"/>
        <v>META</v>
      </c>
      <c r="AV283" s="37">
        <f t="shared" si="171"/>
        <v>0</v>
      </c>
      <c r="AW283" s="37">
        <f t="shared" si="171"/>
        <v>0</v>
      </c>
    </row>
    <row r="284" spans="1:49" outlineLevel="1" x14ac:dyDescent="0.25">
      <c r="B284" s="2" t="s">
        <v>8</v>
      </c>
      <c r="C284" s="2">
        <v>2023</v>
      </c>
      <c r="D284" s="1"/>
      <c r="E284" s="11"/>
      <c r="F284" s="1"/>
      <c r="G284" s="11"/>
      <c r="H284" s="1"/>
      <c r="I284" s="11"/>
      <c r="J284" s="1"/>
      <c r="K284" s="11"/>
      <c r="L284" s="1"/>
      <c r="M284" s="11"/>
      <c r="N284" s="1"/>
      <c r="O284" s="11"/>
      <c r="P284" s="8"/>
      <c r="Q284" s="11"/>
      <c r="R284" s="8"/>
      <c r="S284" s="11"/>
      <c r="T284" s="53">
        <f t="shared" si="166"/>
        <v>0</v>
      </c>
      <c r="U284" s="54">
        <f t="shared" si="166"/>
        <v>0</v>
      </c>
      <c r="V284" s="2" t="s">
        <v>82</v>
      </c>
      <c r="Z284" s="30">
        <v>50495.9</v>
      </c>
      <c r="AA284" s="30">
        <f>+Z263/J263</f>
        <v>0.52769453363459784</v>
      </c>
      <c r="AB284" s="31">
        <v>96631.172500000001</v>
      </c>
      <c r="AC284" s="32" t="e">
        <f>+AB284/K284</f>
        <v>#DIV/0!</v>
      </c>
      <c r="AD284" s="13"/>
      <c r="AE284" s="2" t="s">
        <v>8</v>
      </c>
      <c r="AF284" s="2">
        <v>2023</v>
      </c>
      <c r="AG284" s="1">
        <f t="shared" si="167"/>
        <v>0</v>
      </c>
      <c r="AH284" s="11">
        <f t="shared" si="167"/>
        <v>0</v>
      </c>
      <c r="AI284" s="1">
        <f t="shared" si="168"/>
        <v>0</v>
      </c>
      <c r="AJ284" s="11">
        <f t="shared" si="168"/>
        <v>0</v>
      </c>
      <c r="AK284" s="8">
        <f t="shared" si="168"/>
        <v>0</v>
      </c>
      <c r="AL284" s="11">
        <f t="shared" si="168"/>
        <v>0</v>
      </c>
      <c r="AM284" s="8">
        <f t="shared" si="168"/>
        <v>0</v>
      </c>
      <c r="AN284" s="11">
        <f t="shared" si="168"/>
        <v>0</v>
      </c>
      <c r="AO284" s="8">
        <f t="shared" si="168"/>
        <v>0</v>
      </c>
      <c r="AP284" s="11">
        <f t="shared" si="168"/>
        <v>0</v>
      </c>
      <c r="AQ284" s="11">
        <f t="shared" si="168"/>
        <v>0</v>
      </c>
      <c r="AR284" s="11">
        <f t="shared" si="168"/>
        <v>0</v>
      </c>
      <c r="AS284" s="8">
        <f t="shared" si="172"/>
        <v>0</v>
      </c>
      <c r="AT284" s="11">
        <f t="shared" si="169"/>
        <v>0</v>
      </c>
      <c r="AU284" s="2" t="str">
        <f t="shared" si="170"/>
        <v>META</v>
      </c>
      <c r="AV284" s="37">
        <f t="shared" si="171"/>
        <v>0</v>
      </c>
      <c r="AW284" s="37">
        <f t="shared" si="171"/>
        <v>0</v>
      </c>
    </row>
    <row r="285" spans="1:49" outlineLevel="1" x14ac:dyDescent="0.25">
      <c r="B285" s="2" t="s">
        <v>9</v>
      </c>
      <c r="C285" s="2">
        <v>2023</v>
      </c>
      <c r="D285" s="1"/>
      <c r="E285" s="11"/>
      <c r="F285" s="1"/>
      <c r="G285" s="11"/>
      <c r="H285" s="1"/>
      <c r="I285" s="11"/>
      <c r="J285" s="1"/>
      <c r="K285" s="11"/>
      <c r="L285" s="1"/>
      <c r="M285" s="11"/>
      <c r="N285" s="1"/>
      <c r="O285" s="11"/>
      <c r="P285" s="8"/>
      <c r="Q285" s="11"/>
      <c r="R285" s="8"/>
      <c r="S285" s="11"/>
      <c r="T285" s="53">
        <f t="shared" si="166"/>
        <v>0</v>
      </c>
      <c r="U285" s="54">
        <f t="shared" si="166"/>
        <v>0</v>
      </c>
      <c r="V285" s="2" t="s">
        <v>82</v>
      </c>
      <c r="Z285" s="30">
        <v>58164.700000000004</v>
      </c>
      <c r="AA285" s="30">
        <f>+Z264/J264</f>
        <v>0.54819583152409901</v>
      </c>
      <c r="AB285" s="31">
        <v>109533.6525</v>
      </c>
      <c r="AC285" s="32" t="e">
        <f>+AB285/K285</f>
        <v>#DIV/0!</v>
      </c>
      <c r="AD285" s="13"/>
      <c r="AE285" s="2" t="s">
        <v>9</v>
      </c>
      <c r="AF285" s="2">
        <v>2023</v>
      </c>
      <c r="AG285" s="1">
        <f t="shared" si="167"/>
        <v>0</v>
      </c>
      <c r="AH285" s="11">
        <f t="shared" si="167"/>
        <v>0</v>
      </c>
      <c r="AI285" s="1">
        <f t="shared" si="168"/>
        <v>0</v>
      </c>
      <c r="AJ285" s="11">
        <f t="shared" si="168"/>
        <v>0</v>
      </c>
      <c r="AK285" s="8">
        <f t="shared" si="168"/>
        <v>0</v>
      </c>
      <c r="AL285" s="11">
        <f t="shared" si="168"/>
        <v>0</v>
      </c>
      <c r="AM285" s="8">
        <f t="shared" si="168"/>
        <v>0</v>
      </c>
      <c r="AN285" s="11">
        <f t="shared" si="168"/>
        <v>0</v>
      </c>
      <c r="AO285" s="8">
        <f t="shared" si="168"/>
        <v>0</v>
      </c>
      <c r="AP285" s="11">
        <f t="shared" si="168"/>
        <v>0</v>
      </c>
      <c r="AQ285" s="11">
        <f t="shared" si="168"/>
        <v>0</v>
      </c>
      <c r="AR285" s="11">
        <f t="shared" si="168"/>
        <v>0</v>
      </c>
      <c r="AS285" s="8">
        <f t="shared" si="172"/>
        <v>0</v>
      </c>
      <c r="AT285" s="11">
        <f t="shared" si="169"/>
        <v>0</v>
      </c>
      <c r="AU285" s="2" t="str">
        <f t="shared" si="170"/>
        <v>META</v>
      </c>
      <c r="AV285" s="37">
        <f t="shared" si="171"/>
        <v>0</v>
      </c>
      <c r="AW285" s="37">
        <f t="shared" si="171"/>
        <v>0</v>
      </c>
    </row>
    <row r="286" spans="1:49" outlineLevel="1" x14ac:dyDescent="0.25">
      <c r="B286" s="2" t="s">
        <v>10</v>
      </c>
      <c r="C286" s="2">
        <v>2023</v>
      </c>
      <c r="D286" s="1"/>
      <c r="E286" s="11"/>
      <c r="F286" s="1"/>
      <c r="G286" s="11"/>
      <c r="H286" s="1"/>
      <c r="I286" s="11"/>
      <c r="J286" s="1"/>
      <c r="K286" s="11"/>
      <c r="L286" s="1"/>
      <c r="M286" s="11"/>
      <c r="N286" s="1"/>
      <c r="O286" s="11"/>
      <c r="P286" s="8"/>
      <c r="Q286" s="11"/>
      <c r="R286" s="8"/>
      <c r="S286" s="11"/>
      <c r="T286" s="53">
        <f t="shared" si="166"/>
        <v>0</v>
      </c>
      <c r="U286" s="54">
        <f t="shared" si="166"/>
        <v>0</v>
      </c>
      <c r="V286" s="2" t="s">
        <v>82</v>
      </c>
      <c r="Z286" s="30"/>
      <c r="AA286" s="30"/>
      <c r="AB286" s="31"/>
      <c r="AC286" s="32"/>
      <c r="AE286" s="2" t="s">
        <v>10</v>
      </c>
      <c r="AF286" s="2">
        <v>2023</v>
      </c>
      <c r="AG286" s="1">
        <f t="shared" si="167"/>
        <v>0</v>
      </c>
      <c r="AH286" s="11">
        <f t="shared" si="167"/>
        <v>0</v>
      </c>
      <c r="AI286" s="1">
        <f t="shared" si="168"/>
        <v>0</v>
      </c>
      <c r="AJ286" s="11">
        <f t="shared" si="168"/>
        <v>0</v>
      </c>
      <c r="AK286" s="8">
        <f t="shared" si="168"/>
        <v>0</v>
      </c>
      <c r="AL286" s="11">
        <f t="shared" si="168"/>
        <v>0</v>
      </c>
      <c r="AM286" s="8">
        <f t="shared" si="168"/>
        <v>0</v>
      </c>
      <c r="AN286" s="11">
        <f t="shared" si="168"/>
        <v>0</v>
      </c>
      <c r="AO286" s="8">
        <f t="shared" si="168"/>
        <v>0</v>
      </c>
      <c r="AP286" s="11">
        <f t="shared" si="168"/>
        <v>0</v>
      </c>
      <c r="AQ286" s="11">
        <f t="shared" si="168"/>
        <v>0</v>
      </c>
      <c r="AR286" s="11">
        <f t="shared" si="168"/>
        <v>0</v>
      </c>
      <c r="AS286" s="8">
        <f t="shared" si="172"/>
        <v>0</v>
      </c>
      <c r="AT286" s="11">
        <f t="shared" si="169"/>
        <v>0</v>
      </c>
      <c r="AU286" s="2" t="str">
        <f t="shared" si="170"/>
        <v>META</v>
      </c>
      <c r="AV286" s="37">
        <f t="shared" si="171"/>
        <v>0</v>
      </c>
      <c r="AW286" s="37">
        <f t="shared" si="171"/>
        <v>0</v>
      </c>
    </row>
    <row r="287" spans="1:49" outlineLevel="1" x14ac:dyDescent="0.25">
      <c r="B287" s="2" t="s">
        <v>11</v>
      </c>
      <c r="C287" s="2">
        <v>2023</v>
      </c>
      <c r="D287" s="1"/>
      <c r="E287" s="11"/>
      <c r="F287" s="1"/>
      <c r="G287" s="11"/>
      <c r="H287" s="1"/>
      <c r="I287" s="11"/>
      <c r="J287" s="1"/>
      <c r="K287" s="11"/>
      <c r="L287" s="1"/>
      <c r="M287" s="11"/>
      <c r="N287" s="1"/>
      <c r="O287" s="11"/>
      <c r="P287" s="8"/>
      <c r="Q287" s="11"/>
      <c r="R287" s="8"/>
      <c r="S287" s="11"/>
      <c r="T287" s="53">
        <f t="shared" si="166"/>
        <v>0</v>
      </c>
      <c r="U287" s="54">
        <f t="shared" si="166"/>
        <v>0</v>
      </c>
      <c r="V287" s="2" t="s">
        <v>82</v>
      </c>
      <c r="Z287" s="30"/>
      <c r="AA287" s="30"/>
      <c r="AB287" s="31"/>
      <c r="AC287" s="32"/>
      <c r="AE287" s="2" t="s">
        <v>11</v>
      </c>
      <c r="AF287" s="2">
        <v>2023</v>
      </c>
      <c r="AG287" s="1">
        <f t="shared" si="167"/>
        <v>0</v>
      </c>
      <c r="AH287" s="11">
        <f t="shared" si="167"/>
        <v>0</v>
      </c>
      <c r="AI287" s="1">
        <f t="shared" si="168"/>
        <v>0</v>
      </c>
      <c r="AJ287" s="11">
        <f t="shared" si="168"/>
        <v>0</v>
      </c>
      <c r="AK287" s="8">
        <f t="shared" si="168"/>
        <v>0</v>
      </c>
      <c r="AL287" s="11">
        <f t="shared" si="168"/>
        <v>0</v>
      </c>
      <c r="AM287" s="8">
        <f t="shared" si="168"/>
        <v>0</v>
      </c>
      <c r="AN287" s="11">
        <f t="shared" si="168"/>
        <v>0</v>
      </c>
      <c r="AO287" s="8">
        <f t="shared" si="168"/>
        <v>0</v>
      </c>
      <c r="AP287" s="11">
        <f t="shared" si="168"/>
        <v>0</v>
      </c>
      <c r="AQ287" s="11">
        <f t="shared" si="168"/>
        <v>0</v>
      </c>
      <c r="AR287" s="11">
        <f t="shared" si="168"/>
        <v>0</v>
      </c>
      <c r="AS287" s="8">
        <f t="shared" si="172"/>
        <v>0</v>
      </c>
      <c r="AT287" s="11">
        <f t="shared" si="169"/>
        <v>0</v>
      </c>
      <c r="AU287" s="2" t="str">
        <f t="shared" si="170"/>
        <v>META</v>
      </c>
      <c r="AV287" s="37">
        <f t="shared" si="171"/>
        <v>0</v>
      </c>
      <c r="AW287" s="37">
        <f t="shared" si="171"/>
        <v>0</v>
      </c>
    </row>
    <row r="288" spans="1:49" outlineLevel="1" x14ac:dyDescent="0.25">
      <c r="B288" s="2" t="s">
        <v>4</v>
      </c>
      <c r="C288" s="2">
        <v>2023</v>
      </c>
      <c r="D288" s="1"/>
      <c r="E288" s="11"/>
      <c r="F288" s="1"/>
      <c r="G288" s="11"/>
      <c r="H288" s="1"/>
      <c r="I288" s="11"/>
      <c r="J288" s="1"/>
      <c r="K288" s="11"/>
      <c r="L288" s="1"/>
      <c r="M288" s="11"/>
      <c r="N288" s="1"/>
      <c r="O288" s="11"/>
      <c r="P288" s="8"/>
      <c r="Q288" s="11"/>
      <c r="R288" s="8"/>
      <c r="S288" s="11"/>
      <c r="T288" s="53">
        <f t="shared" si="166"/>
        <v>0</v>
      </c>
      <c r="U288" s="54">
        <f t="shared" si="166"/>
        <v>0</v>
      </c>
      <c r="V288" s="2" t="s">
        <v>82</v>
      </c>
      <c r="W288" s="38"/>
      <c r="Z288" s="30"/>
      <c r="AA288" s="30"/>
      <c r="AB288" s="31"/>
      <c r="AC288" s="32"/>
      <c r="AE288" s="2" t="s">
        <v>4</v>
      </c>
      <c r="AF288" s="2">
        <v>2023</v>
      </c>
      <c r="AG288" s="1">
        <f t="shared" si="167"/>
        <v>0</v>
      </c>
      <c r="AH288" s="11">
        <f t="shared" si="167"/>
        <v>0</v>
      </c>
      <c r="AI288" s="1">
        <f t="shared" si="168"/>
        <v>0</v>
      </c>
      <c r="AJ288" s="11">
        <f t="shared" si="168"/>
        <v>0</v>
      </c>
      <c r="AK288" s="8">
        <f t="shared" si="168"/>
        <v>0</v>
      </c>
      <c r="AL288" s="11">
        <f t="shared" si="168"/>
        <v>0</v>
      </c>
      <c r="AM288" s="8">
        <f t="shared" si="168"/>
        <v>0</v>
      </c>
      <c r="AN288" s="11">
        <f t="shared" si="168"/>
        <v>0</v>
      </c>
      <c r="AO288" s="8">
        <f t="shared" si="168"/>
        <v>0</v>
      </c>
      <c r="AP288" s="11">
        <f t="shared" si="168"/>
        <v>0</v>
      </c>
      <c r="AQ288" s="11">
        <f t="shared" si="168"/>
        <v>0</v>
      </c>
      <c r="AR288" s="11">
        <f t="shared" si="168"/>
        <v>0</v>
      </c>
      <c r="AS288" s="8">
        <f t="shared" si="172"/>
        <v>0</v>
      </c>
      <c r="AT288" s="11">
        <f t="shared" si="169"/>
        <v>0</v>
      </c>
      <c r="AU288" s="2" t="str">
        <f t="shared" si="170"/>
        <v>META</v>
      </c>
      <c r="AV288" s="37">
        <f t="shared" si="171"/>
        <v>0</v>
      </c>
      <c r="AW288" s="37">
        <f t="shared" si="171"/>
        <v>0</v>
      </c>
    </row>
    <row r="289" spans="1:49" outlineLevel="1" x14ac:dyDescent="0.25">
      <c r="B289" s="2" t="s">
        <v>28</v>
      </c>
      <c r="C289" s="2">
        <v>2023</v>
      </c>
      <c r="D289" s="1"/>
      <c r="E289" s="11"/>
      <c r="F289" s="1"/>
      <c r="G289" s="11"/>
      <c r="H289" s="1"/>
      <c r="I289" s="11"/>
      <c r="J289" s="1"/>
      <c r="K289" s="11"/>
      <c r="L289" s="1"/>
      <c r="M289" s="11"/>
      <c r="N289" s="1"/>
      <c r="O289" s="11"/>
      <c r="P289" s="8"/>
      <c r="Q289" s="11"/>
      <c r="R289" s="8"/>
      <c r="S289" s="11"/>
      <c r="T289" s="53">
        <f t="shared" si="166"/>
        <v>0</v>
      </c>
      <c r="U289" s="54">
        <f t="shared" si="166"/>
        <v>0</v>
      </c>
      <c r="V289" s="2" t="s">
        <v>82</v>
      </c>
      <c r="Z289" s="30"/>
      <c r="AA289" s="30"/>
      <c r="AB289" s="31"/>
      <c r="AC289" s="32"/>
      <c r="AE289" s="2" t="s">
        <v>28</v>
      </c>
      <c r="AF289" s="2">
        <v>2023</v>
      </c>
      <c r="AG289" s="1">
        <f t="shared" si="167"/>
        <v>0</v>
      </c>
      <c r="AH289" s="11">
        <f t="shared" si="167"/>
        <v>0</v>
      </c>
      <c r="AI289" s="1">
        <f t="shared" si="168"/>
        <v>0</v>
      </c>
      <c r="AJ289" s="11">
        <f t="shared" si="168"/>
        <v>0</v>
      </c>
      <c r="AK289" s="8">
        <f t="shared" si="168"/>
        <v>0</v>
      </c>
      <c r="AL289" s="11">
        <f t="shared" si="168"/>
        <v>0</v>
      </c>
      <c r="AM289" s="8">
        <f t="shared" si="168"/>
        <v>0</v>
      </c>
      <c r="AN289" s="11">
        <f t="shared" si="168"/>
        <v>0</v>
      </c>
      <c r="AO289" s="8">
        <f t="shared" si="168"/>
        <v>0</v>
      </c>
      <c r="AP289" s="11">
        <f t="shared" si="168"/>
        <v>0</v>
      </c>
      <c r="AQ289" s="11">
        <f t="shared" si="168"/>
        <v>0</v>
      </c>
      <c r="AR289" s="11">
        <f t="shared" si="168"/>
        <v>0</v>
      </c>
      <c r="AS289" s="8">
        <f t="shared" si="172"/>
        <v>0</v>
      </c>
      <c r="AT289" s="11">
        <f t="shared" si="169"/>
        <v>0</v>
      </c>
      <c r="AU289" s="2" t="str">
        <f t="shared" si="170"/>
        <v>META</v>
      </c>
      <c r="AV289" s="37">
        <f t="shared" si="171"/>
        <v>0</v>
      </c>
      <c r="AW289" s="37">
        <f t="shared" si="171"/>
        <v>0</v>
      </c>
    </row>
    <row r="290" spans="1:49" outlineLevel="1" x14ac:dyDescent="0.25">
      <c r="B290" s="2" t="s">
        <v>29</v>
      </c>
      <c r="C290" s="2">
        <v>2023</v>
      </c>
      <c r="D290" s="1"/>
      <c r="E290" s="11"/>
      <c r="F290" s="1"/>
      <c r="G290" s="11"/>
      <c r="H290" s="1"/>
      <c r="I290" s="11"/>
      <c r="J290" s="1"/>
      <c r="K290" s="11"/>
      <c r="L290" s="1"/>
      <c r="M290" s="11"/>
      <c r="N290" s="1"/>
      <c r="O290" s="11"/>
      <c r="P290" s="8"/>
      <c r="Q290" s="11"/>
      <c r="R290" s="8"/>
      <c r="S290" s="11"/>
      <c r="T290" s="53">
        <f t="shared" si="166"/>
        <v>0</v>
      </c>
      <c r="U290" s="54">
        <f t="shared" si="166"/>
        <v>0</v>
      </c>
      <c r="V290" s="2" t="s">
        <v>82</v>
      </c>
      <c r="Z290" s="30"/>
      <c r="AA290" s="30"/>
      <c r="AB290" s="31"/>
      <c r="AC290" s="32"/>
      <c r="AE290" s="2" t="s">
        <v>29</v>
      </c>
      <c r="AF290" s="2">
        <v>2023</v>
      </c>
      <c r="AG290" s="1">
        <f t="shared" si="167"/>
        <v>0</v>
      </c>
      <c r="AH290" s="11">
        <f t="shared" si="167"/>
        <v>0</v>
      </c>
      <c r="AI290" s="1">
        <f t="shared" si="168"/>
        <v>0</v>
      </c>
      <c r="AJ290" s="11">
        <f t="shared" si="168"/>
        <v>0</v>
      </c>
      <c r="AK290" s="8">
        <f t="shared" si="168"/>
        <v>0</v>
      </c>
      <c r="AL290" s="11">
        <f t="shared" si="168"/>
        <v>0</v>
      </c>
      <c r="AM290" s="8">
        <f t="shared" si="168"/>
        <v>0</v>
      </c>
      <c r="AN290" s="11">
        <f t="shared" si="168"/>
        <v>0</v>
      </c>
      <c r="AO290" s="8">
        <f t="shared" si="168"/>
        <v>0</v>
      </c>
      <c r="AP290" s="11">
        <f t="shared" si="168"/>
        <v>0</v>
      </c>
      <c r="AQ290" s="11">
        <f t="shared" si="168"/>
        <v>0</v>
      </c>
      <c r="AR290" s="11">
        <f t="shared" si="168"/>
        <v>0</v>
      </c>
      <c r="AS290" s="8">
        <f t="shared" si="172"/>
        <v>0</v>
      </c>
      <c r="AT290" s="11">
        <f t="shared" si="169"/>
        <v>0</v>
      </c>
      <c r="AU290" s="2" t="str">
        <f t="shared" si="170"/>
        <v>META</v>
      </c>
      <c r="AV290" s="37">
        <f t="shared" si="171"/>
        <v>0</v>
      </c>
      <c r="AW290" s="37">
        <f t="shared" si="171"/>
        <v>0</v>
      </c>
    </row>
    <row r="291" spans="1:49" outlineLevel="1" x14ac:dyDescent="0.25">
      <c r="B291" s="2" t="s">
        <v>30</v>
      </c>
      <c r="C291" s="2">
        <v>2023</v>
      </c>
      <c r="D291" s="1"/>
      <c r="E291" s="11"/>
      <c r="F291" s="1"/>
      <c r="G291" s="11"/>
      <c r="H291" s="1"/>
      <c r="I291" s="11"/>
      <c r="J291" s="1"/>
      <c r="K291" s="11"/>
      <c r="L291" s="1"/>
      <c r="M291" s="11"/>
      <c r="N291" s="1"/>
      <c r="O291" s="11"/>
      <c r="P291" s="1"/>
      <c r="Q291" s="11"/>
      <c r="R291" s="1"/>
      <c r="S291" s="11"/>
      <c r="T291" s="47">
        <f t="shared" si="166"/>
        <v>0</v>
      </c>
      <c r="U291" s="48">
        <f t="shared" si="166"/>
        <v>0</v>
      </c>
      <c r="V291" s="2" t="s">
        <v>82</v>
      </c>
      <c r="Z291" s="30"/>
      <c r="AA291" s="30"/>
      <c r="AB291" s="31"/>
      <c r="AC291" s="32"/>
      <c r="AE291" s="2" t="s">
        <v>30</v>
      </c>
      <c r="AF291" s="2">
        <v>2023</v>
      </c>
      <c r="AG291" s="1">
        <f t="shared" si="167"/>
        <v>0</v>
      </c>
      <c r="AH291" s="11">
        <f t="shared" si="167"/>
        <v>0</v>
      </c>
      <c r="AI291" s="1">
        <f t="shared" si="168"/>
        <v>0</v>
      </c>
      <c r="AJ291" s="11">
        <f t="shared" si="168"/>
        <v>0</v>
      </c>
      <c r="AK291" s="8">
        <f t="shared" si="168"/>
        <v>0</v>
      </c>
      <c r="AL291" s="11">
        <f t="shared" si="168"/>
        <v>0</v>
      </c>
      <c r="AM291" s="8">
        <f t="shared" si="168"/>
        <v>0</v>
      </c>
      <c r="AN291" s="11">
        <f t="shared" si="168"/>
        <v>0</v>
      </c>
      <c r="AO291" s="8">
        <f t="shared" si="168"/>
        <v>0</v>
      </c>
      <c r="AP291" s="11">
        <f t="shared" si="168"/>
        <v>0</v>
      </c>
      <c r="AQ291" s="11">
        <f t="shared" si="168"/>
        <v>0</v>
      </c>
      <c r="AR291" s="11">
        <f t="shared" si="168"/>
        <v>0</v>
      </c>
      <c r="AS291" s="8">
        <f t="shared" si="172"/>
        <v>0</v>
      </c>
      <c r="AT291" s="11">
        <f t="shared" si="169"/>
        <v>0</v>
      </c>
      <c r="AU291" s="2" t="str">
        <f t="shared" si="170"/>
        <v>META</v>
      </c>
      <c r="AV291" s="37">
        <f t="shared" si="171"/>
        <v>0</v>
      </c>
      <c r="AW291" s="37">
        <f t="shared" si="171"/>
        <v>0</v>
      </c>
    </row>
    <row r="292" spans="1:49" outlineLevel="1" x14ac:dyDescent="0.25">
      <c r="B292" s="2" t="s">
        <v>31</v>
      </c>
      <c r="C292" s="2">
        <v>2023</v>
      </c>
      <c r="D292" s="1"/>
      <c r="E292" s="11"/>
      <c r="F292" s="1"/>
      <c r="G292" s="11"/>
      <c r="H292" s="1"/>
      <c r="I292" s="11"/>
      <c r="J292" s="1"/>
      <c r="K292" s="11"/>
      <c r="L292" s="1"/>
      <c r="M292" s="11"/>
      <c r="N292" s="1"/>
      <c r="O292" s="11"/>
      <c r="P292" s="1"/>
      <c r="Q292" s="11"/>
      <c r="R292" s="1"/>
      <c r="S292" s="11"/>
      <c r="T292" s="47">
        <f t="shared" si="166"/>
        <v>0</v>
      </c>
      <c r="U292" s="48">
        <f t="shared" si="166"/>
        <v>0</v>
      </c>
      <c r="V292" s="2" t="s">
        <v>82</v>
      </c>
      <c r="Z292" s="30"/>
      <c r="AA292" s="30"/>
      <c r="AB292" s="31"/>
      <c r="AC292" s="32"/>
      <c r="AE292" s="2" t="s">
        <v>31</v>
      </c>
      <c r="AF292" s="2">
        <v>2023</v>
      </c>
      <c r="AG292" s="1">
        <f t="shared" si="167"/>
        <v>0</v>
      </c>
      <c r="AH292" s="11">
        <f t="shared" si="167"/>
        <v>0</v>
      </c>
      <c r="AI292" s="1">
        <f t="shared" si="168"/>
        <v>0</v>
      </c>
      <c r="AJ292" s="11">
        <f t="shared" si="168"/>
        <v>0</v>
      </c>
      <c r="AK292" s="8">
        <f t="shared" si="168"/>
        <v>0</v>
      </c>
      <c r="AL292" s="11">
        <f t="shared" si="168"/>
        <v>0</v>
      </c>
      <c r="AM292" s="8">
        <f t="shared" si="168"/>
        <v>0</v>
      </c>
      <c r="AN292" s="11">
        <f t="shared" si="168"/>
        <v>0</v>
      </c>
      <c r="AO292" s="8">
        <f t="shared" si="168"/>
        <v>0</v>
      </c>
      <c r="AP292" s="11">
        <f t="shared" si="168"/>
        <v>0</v>
      </c>
      <c r="AQ292" s="11">
        <f t="shared" si="168"/>
        <v>0</v>
      </c>
      <c r="AR292" s="11">
        <f t="shared" si="168"/>
        <v>0</v>
      </c>
      <c r="AS292" s="8">
        <f t="shared" si="172"/>
        <v>0</v>
      </c>
      <c r="AT292" s="11">
        <f t="shared" si="169"/>
        <v>0</v>
      </c>
      <c r="AU292" s="2" t="str">
        <f t="shared" si="170"/>
        <v>META</v>
      </c>
      <c r="AV292" s="37">
        <f t="shared" si="171"/>
        <v>0</v>
      </c>
      <c r="AW292" s="37">
        <f t="shared" si="171"/>
        <v>0</v>
      </c>
    </row>
    <row r="293" spans="1:49" outlineLevel="1" x14ac:dyDescent="0.25">
      <c r="AH293" s="9"/>
      <c r="AJ293" s="9"/>
      <c r="AL293" s="9"/>
      <c r="AN293" s="9"/>
      <c r="AO293" s="9"/>
      <c r="AP293" s="9"/>
      <c r="AQ293" s="9"/>
      <c r="AR293" s="9"/>
      <c r="AT293" s="9"/>
    </row>
    <row r="294" spans="1:49" outlineLevel="1" x14ac:dyDescent="0.25">
      <c r="B294" s="3" t="s">
        <v>12</v>
      </c>
      <c r="C294" s="3"/>
      <c r="D294" s="4">
        <f t="shared" ref="D294:U294" si="173">SUM(D281:D293)</f>
        <v>0</v>
      </c>
      <c r="E294" s="12">
        <f t="shared" si="173"/>
        <v>0</v>
      </c>
      <c r="F294" s="4">
        <f t="shared" si="173"/>
        <v>0</v>
      </c>
      <c r="G294" s="12">
        <f t="shared" si="173"/>
        <v>0</v>
      </c>
      <c r="H294" s="4">
        <f t="shared" si="173"/>
        <v>0</v>
      </c>
      <c r="I294" s="12">
        <f t="shared" si="173"/>
        <v>0</v>
      </c>
      <c r="J294" s="4">
        <f t="shared" si="173"/>
        <v>0</v>
      </c>
      <c r="K294" s="12">
        <f t="shared" si="173"/>
        <v>0</v>
      </c>
      <c r="L294" s="4">
        <f t="shared" si="173"/>
        <v>0</v>
      </c>
      <c r="M294" s="12">
        <f t="shared" si="173"/>
        <v>0</v>
      </c>
      <c r="N294" s="4">
        <f t="shared" si="173"/>
        <v>0</v>
      </c>
      <c r="O294" s="12">
        <f t="shared" si="173"/>
        <v>0</v>
      </c>
      <c r="P294" s="4">
        <f>SUM(P281:P293)</f>
        <v>0</v>
      </c>
      <c r="Q294" s="12">
        <f>SUM(Q281:Q293)</f>
        <v>0</v>
      </c>
      <c r="R294" s="4">
        <f>SUM(R281:R293)</f>
        <v>0</v>
      </c>
      <c r="S294" s="12">
        <f>SUM(S281:S293)</f>
        <v>0</v>
      </c>
      <c r="T294" s="4">
        <f t="shared" si="173"/>
        <v>0</v>
      </c>
      <c r="U294" s="12">
        <f t="shared" si="173"/>
        <v>0</v>
      </c>
      <c r="Z294" s="12">
        <f>AVERAGE(Z281:Z293)</f>
        <v>48378.457999999999</v>
      </c>
      <c r="AA294" s="12">
        <f t="shared" ref="AA294:AC294" si="174">AVERAGE(AA281:AA293)</f>
        <v>0.52068923120700017</v>
      </c>
      <c r="AB294" s="12">
        <f t="shared" si="174"/>
        <v>91223.923999999999</v>
      </c>
      <c r="AC294" s="16" t="e">
        <f t="shared" si="174"/>
        <v>#DIV/0!</v>
      </c>
      <c r="AE294" s="3" t="s">
        <v>12</v>
      </c>
      <c r="AF294" s="3"/>
      <c r="AG294" s="4">
        <f t="shared" ref="AG294:AT294" si="175">SUM(AG281:AG293)</f>
        <v>0</v>
      </c>
      <c r="AH294" s="12">
        <f t="shared" si="175"/>
        <v>0</v>
      </c>
      <c r="AI294" s="4">
        <f t="shared" si="175"/>
        <v>0</v>
      </c>
      <c r="AJ294" s="12">
        <f t="shared" si="175"/>
        <v>0</v>
      </c>
      <c r="AK294" s="4">
        <f t="shared" si="175"/>
        <v>0</v>
      </c>
      <c r="AL294" s="12">
        <f t="shared" si="175"/>
        <v>0</v>
      </c>
      <c r="AM294" s="4">
        <f t="shared" si="175"/>
        <v>0</v>
      </c>
      <c r="AN294" s="12">
        <f t="shared" si="175"/>
        <v>0</v>
      </c>
      <c r="AO294" s="4">
        <f t="shared" si="175"/>
        <v>0</v>
      </c>
      <c r="AP294" s="12">
        <f t="shared" si="175"/>
        <v>0</v>
      </c>
      <c r="AQ294" s="4">
        <f t="shared" si="175"/>
        <v>0</v>
      </c>
      <c r="AR294" s="12">
        <f t="shared" si="175"/>
        <v>0</v>
      </c>
      <c r="AS294" s="4">
        <f t="shared" si="175"/>
        <v>0</v>
      </c>
      <c r="AT294" s="12">
        <f t="shared" si="175"/>
        <v>0</v>
      </c>
    </row>
    <row r="295" spans="1:49" outlineLevel="1" x14ac:dyDescent="0.25">
      <c r="B295" s="56"/>
      <c r="C295" s="56"/>
      <c r="D295" s="57"/>
      <c r="E295" s="58"/>
      <c r="F295" s="57"/>
      <c r="G295" s="58"/>
      <c r="H295" s="57"/>
      <c r="I295" s="58"/>
      <c r="J295" s="46" t="str">
        <f>+$A$276</f>
        <v>Aforo e Ingreso - META</v>
      </c>
      <c r="K295" s="9" t="s">
        <v>84</v>
      </c>
      <c r="L295" s="15"/>
      <c r="M295" s="60"/>
      <c r="T295" s="15"/>
      <c r="U295" s="28"/>
      <c r="Z295" s="58"/>
      <c r="AA295" s="58"/>
      <c r="AB295" s="58"/>
      <c r="AC295" s="59"/>
      <c r="AE295" s="56"/>
      <c r="AF295" s="56"/>
      <c r="AG295" s="57"/>
      <c r="AH295" s="58"/>
      <c r="AI295" s="57"/>
      <c r="AJ295" s="58"/>
      <c r="AK295" s="57"/>
      <c r="AL295" s="58"/>
      <c r="AM295" s="57"/>
      <c r="AN295" s="58"/>
      <c r="AO295" s="57"/>
      <c r="AP295" s="58"/>
      <c r="AQ295" s="57"/>
      <c r="AR295" s="58"/>
      <c r="AS295" s="57"/>
      <c r="AT295" s="58"/>
    </row>
    <row r="296" spans="1:49" outlineLevel="1" x14ac:dyDescent="0.25">
      <c r="A296" s="67" t="s">
        <v>14</v>
      </c>
      <c r="C296" s="56"/>
      <c r="D296" s="57"/>
      <c r="E296" s="58"/>
      <c r="F296" s="57"/>
      <c r="G296" s="58"/>
      <c r="H296" s="57"/>
      <c r="I296" s="58"/>
      <c r="J296" s="46" t="str">
        <f>+$A$276</f>
        <v>Aforo e Ingreso - META</v>
      </c>
      <c r="K296" s="9" t="s">
        <v>85</v>
      </c>
      <c r="L296" s="26">
        <f>+L295/$L$337</f>
        <v>0</v>
      </c>
      <c r="M296" s="36">
        <f>+M295/$M$337</f>
        <v>0</v>
      </c>
      <c r="N296" s="18"/>
      <c r="O296" s="19"/>
      <c r="P296" s="19"/>
      <c r="Q296" s="19"/>
      <c r="R296" s="19"/>
      <c r="S296" s="19"/>
      <c r="T296" s="36" t="e">
        <f>+L295/T295</f>
        <v>#DIV/0!</v>
      </c>
      <c r="U296" s="62" t="e">
        <f>+M295/U295</f>
        <v>#DIV/0!</v>
      </c>
      <c r="Z296" s="58"/>
      <c r="AA296" s="58"/>
      <c r="AB296" s="58"/>
      <c r="AC296" s="59"/>
      <c r="AE296" s="56"/>
      <c r="AF296" s="56"/>
      <c r="AG296" s="57"/>
      <c r="AH296" s="58"/>
      <c r="AI296" s="57"/>
      <c r="AJ296" s="58"/>
      <c r="AK296" s="57"/>
      <c r="AL296" s="58"/>
      <c r="AM296" s="57"/>
      <c r="AN296" s="58"/>
      <c r="AO296" s="57"/>
      <c r="AP296" s="58"/>
      <c r="AQ296" s="57"/>
      <c r="AR296" s="58"/>
      <c r="AS296" s="57"/>
      <c r="AT296" s="58"/>
    </row>
    <row r="297" spans="1:49" outlineLevel="1" x14ac:dyDescent="0.25">
      <c r="A297" s="67" t="s">
        <v>89</v>
      </c>
      <c r="L297" s="26"/>
      <c r="M297" s="26"/>
    </row>
    <row r="298" spans="1:49" outlineLevel="1" x14ac:dyDescent="0.25">
      <c r="B298" s="5"/>
    </row>
    <row r="299" spans="1:49" outlineLevel="1" x14ac:dyDescent="0.25">
      <c r="D299" s="89" t="s">
        <v>15</v>
      </c>
      <c r="E299" s="90"/>
      <c r="F299" s="89" t="s">
        <v>71</v>
      </c>
      <c r="G299" s="90"/>
      <c r="H299" s="89" t="s">
        <v>16</v>
      </c>
      <c r="I299" s="90"/>
      <c r="J299" s="89" t="s">
        <v>17</v>
      </c>
      <c r="K299" s="93"/>
      <c r="L299" s="89" t="s">
        <v>18</v>
      </c>
      <c r="M299" s="93"/>
      <c r="N299" s="89" t="s">
        <v>13</v>
      </c>
      <c r="O299" s="93"/>
      <c r="P299" s="89" t="s">
        <v>34</v>
      </c>
      <c r="Q299" s="93"/>
      <c r="R299" s="89" t="s">
        <v>87</v>
      </c>
      <c r="S299" s="93"/>
      <c r="T299" s="89" t="s">
        <v>12</v>
      </c>
      <c r="U299" s="93"/>
      <c r="AG299" s="89" t="s">
        <v>69</v>
      </c>
      <c r="AH299" s="90"/>
      <c r="AI299" s="89" t="s">
        <v>17</v>
      </c>
      <c r="AJ299" s="93"/>
      <c r="AK299" s="89" t="s">
        <v>18</v>
      </c>
      <c r="AL299" s="93"/>
      <c r="AM299" s="89" t="s">
        <v>13</v>
      </c>
      <c r="AN299" s="93"/>
      <c r="AO299" s="89" t="s">
        <v>34</v>
      </c>
      <c r="AP299" s="93"/>
      <c r="AQ299" s="89" t="s">
        <v>87</v>
      </c>
      <c r="AR299" s="93"/>
      <c r="AS299" s="89" t="s">
        <v>12</v>
      </c>
      <c r="AT299" s="93"/>
    </row>
    <row r="300" spans="1:49" outlineLevel="1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R300" s="7" t="s">
        <v>2</v>
      </c>
      <c r="S300" s="10" t="s">
        <v>3</v>
      </c>
      <c r="T300" s="7" t="s">
        <v>2</v>
      </c>
      <c r="U300" s="10" t="s">
        <v>3</v>
      </c>
      <c r="Z300" s="33">
        <v>2021</v>
      </c>
      <c r="AA300" s="34">
        <v>0</v>
      </c>
      <c r="AB300" s="33">
        <f>+Z300</f>
        <v>2021</v>
      </c>
      <c r="AC300" s="35">
        <v>0</v>
      </c>
      <c r="AE300" s="7" t="s">
        <v>0</v>
      </c>
      <c r="AF300" s="7" t="s">
        <v>1</v>
      </c>
      <c r="AG300" s="7" t="s">
        <v>2</v>
      </c>
      <c r="AH300" s="10" t="s">
        <v>3</v>
      </c>
      <c r="AI300" s="7" t="s">
        <v>2</v>
      </c>
      <c r="AJ300" s="10" t="s">
        <v>3</v>
      </c>
      <c r="AK300" s="7" t="s">
        <v>2</v>
      </c>
      <c r="AL300" s="10" t="s">
        <v>3</v>
      </c>
      <c r="AM300" s="7" t="s">
        <v>2</v>
      </c>
      <c r="AN300" s="10" t="s">
        <v>3</v>
      </c>
      <c r="AO300" s="7" t="s">
        <v>2</v>
      </c>
      <c r="AP300" s="10" t="s">
        <v>3</v>
      </c>
      <c r="AQ300" s="7" t="s">
        <v>2</v>
      </c>
      <c r="AR300" s="10" t="s">
        <v>3</v>
      </c>
      <c r="AS300" s="7" t="s">
        <v>2</v>
      </c>
      <c r="AT300" s="10" t="s">
        <v>3</v>
      </c>
    </row>
    <row r="301" spans="1:49" outlineLevel="1" x14ac:dyDescent="0.25">
      <c r="AH301" s="9"/>
      <c r="AJ301" s="9"/>
      <c r="AL301" s="9"/>
      <c r="AN301" s="9"/>
      <c r="AO301" s="9"/>
      <c r="AP301" s="9"/>
      <c r="AQ301" s="9"/>
      <c r="AR301" s="9"/>
      <c r="AT301" s="9"/>
    </row>
    <row r="302" spans="1:49" outlineLevel="1" x14ac:dyDescent="0.25">
      <c r="B302" s="2" t="s">
        <v>5</v>
      </c>
      <c r="C302" s="2">
        <v>2023</v>
      </c>
      <c r="D302" s="1">
        <v>101</v>
      </c>
      <c r="E302" s="11">
        <v>10350</v>
      </c>
      <c r="F302" s="1">
        <v>5</v>
      </c>
      <c r="G302" s="11">
        <v>455</v>
      </c>
      <c r="H302" s="1">
        <v>28</v>
      </c>
      <c r="I302" s="11">
        <v>5354</v>
      </c>
      <c r="J302" s="1">
        <v>1367</v>
      </c>
      <c r="K302" s="11">
        <v>146092</v>
      </c>
      <c r="L302" s="1">
        <v>0</v>
      </c>
      <c r="M302" s="11">
        <v>0</v>
      </c>
      <c r="N302" s="1">
        <v>29</v>
      </c>
      <c r="O302" s="11">
        <v>4379</v>
      </c>
      <c r="P302" s="8">
        <v>0</v>
      </c>
      <c r="Q302" s="11">
        <v>0</v>
      </c>
      <c r="R302" s="8">
        <v>4</v>
      </c>
      <c r="S302" s="11">
        <v>364</v>
      </c>
      <c r="T302" s="53">
        <f t="shared" ref="T302:T304" si="176">N302+L302+J302+H302+D302+P302+F302+R302</f>
        <v>1534</v>
      </c>
      <c r="U302" s="54">
        <f t="shared" ref="U302:U304" si="177">O302+M302+K302+I302+E302+Q302+G302+S302</f>
        <v>166994</v>
      </c>
      <c r="V302" s="2" t="s">
        <v>90</v>
      </c>
      <c r="Z302" s="30"/>
      <c r="AA302" s="30"/>
      <c r="AB302" s="30"/>
      <c r="AC302" s="32"/>
      <c r="AE302" s="2" t="s">
        <v>5</v>
      </c>
      <c r="AF302" s="2">
        <v>2023</v>
      </c>
      <c r="AG302" s="1">
        <f t="shared" ref="AG302:AH313" si="178">D302+H302+F302</f>
        <v>134</v>
      </c>
      <c r="AH302" s="11">
        <f t="shared" si="178"/>
        <v>16159</v>
      </c>
      <c r="AI302" s="1">
        <f t="shared" ref="AI302:AR313" si="179">+J302</f>
        <v>1367</v>
      </c>
      <c r="AJ302" s="11">
        <f t="shared" si="179"/>
        <v>146092</v>
      </c>
      <c r="AK302" s="8">
        <f t="shared" si="179"/>
        <v>0</v>
      </c>
      <c r="AL302" s="11">
        <f t="shared" si="179"/>
        <v>0</v>
      </c>
      <c r="AM302" s="8">
        <f t="shared" si="179"/>
        <v>29</v>
      </c>
      <c r="AN302" s="11">
        <f t="shared" si="179"/>
        <v>4379</v>
      </c>
      <c r="AO302" s="8">
        <f t="shared" si="179"/>
        <v>0</v>
      </c>
      <c r="AP302" s="11">
        <f t="shared" si="179"/>
        <v>0</v>
      </c>
      <c r="AQ302" s="11">
        <f t="shared" si="179"/>
        <v>4</v>
      </c>
      <c r="AR302" s="11">
        <f t="shared" si="179"/>
        <v>364</v>
      </c>
      <c r="AS302" s="8">
        <f>AO302+AM302+AK302+AI302+AG302+AQ302</f>
        <v>1534</v>
      </c>
      <c r="AT302" s="11">
        <f t="shared" ref="AT302:AT313" si="180">AP302+AN302+AL302+AJ302+AH302+AR302</f>
        <v>166994</v>
      </c>
      <c r="AU302" s="2" t="str">
        <f t="shared" ref="AU302:AU313" si="181">+V302</f>
        <v>COTESA</v>
      </c>
      <c r="AV302" s="37">
        <f t="shared" ref="AV302:AW313" si="182">+AS302-T302</f>
        <v>0</v>
      </c>
      <c r="AW302" s="37">
        <f t="shared" si="182"/>
        <v>0</v>
      </c>
    </row>
    <row r="303" spans="1:49" outlineLevel="1" x14ac:dyDescent="0.25">
      <c r="B303" s="2" t="s">
        <v>6</v>
      </c>
      <c r="C303" s="2">
        <v>2023</v>
      </c>
      <c r="D303" s="1">
        <v>88</v>
      </c>
      <c r="E303" s="11">
        <v>9397</v>
      </c>
      <c r="F303" s="1">
        <v>7</v>
      </c>
      <c r="G303" s="11">
        <v>637</v>
      </c>
      <c r="H303" s="1">
        <v>11</v>
      </c>
      <c r="I303" s="11">
        <v>1733</v>
      </c>
      <c r="J303" s="1">
        <v>1225</v>
      </c>
      <c r="K303" s="11">
        <v>132517</v>
      </c>
      <c r="L303" s="1">
        <v>0</v>
      </c>
      <c r="M303" s="11">
        <v>0</v>
      </c>
      <c r="N303" s="1">
        <v>19</v>
      </c>
      <c r="O303" s="11">
        <v>2416</v>
      </c>
      <c r="P303" s="8">
        <v>0</v>
      </c>
      <c r="Q303" s="11">
        <v>0</v>
      </c>
      <c r="R303" s="8">
        <v>1</v>
      </c>
      <c r="S303" s="11">
        <v>91</v>
      </c>
      <c r="T303" s="53">
        <f t="shared" si="176"/>
        <v>1351</v>
      </c>
      <c r="U303" s="54">
        <f t="shared" si="177"/>
        <v>146791</v>
      </c>
      <c r="V303" s="2" t="s">
        <v>90</v>
      </c>
      <c r="Z303" s="30"/>
      <c r="AA303" s="30"/>
      <c r="AB303" s="31"/>
      <c r="AC303" s="32"/>
      <c r="AE303" s="2" t="s">
        <v>6</v>
      </c>
      <c r="AF303" s="2">
        <v>2023</v>
      </c>
      <c r="AG303" s="1">
        <f t="shared" si="178"/>
        <v>106</v>
      </c>
      <c r="AH303" s="11">
        <f t="shared" si="178"/>
        <v>11767</v>
      </c>
      <c r="AI303" s="1">
        <f t="shared" si="179"/>
        <v>1225</v>
      </c>
      <c r="AJ303" s="11">
        <f t="shared" si="179"/>
        <v>132517</v>
      </c>
      <c r="AK303" s="8">
        <f t="shared" si="179"/>
        <v>0</v>
      </c>
      <c r="AL303" s="11">
        <f t="shared" si="179"/>
        <v>0</v>
      </c>
      <c r="AM303" s="8">
        <f t="shared" si="179"/>
        <v>19</v>
      </c>
      <c r="AN303" s="11">
        <f t="shared" si="179"/>
        <v>2416</v>
      </c>
      <c r="AO303" s="8">
        <f t="shared" si="179"/>
        <v>0</v>
      </c>
      <c r="AP303" s="11">
        <f t="shared" si="179"/>
        <v>0</v>
      </c>
      <c r="AQ303" s="11">
        <f t="shared" si="179"/>
        <v>1</v>
      </c>
      <c r="AR303" s="11">
        <f t="shared" si="179"/>
        <v>91</v>
      </c>
      <c r="AS303" s="8">
        <f t="shared" ref="AS303:AS313" si="183">AO303+AM303+AK303+AI303+AG303+AQ303</f>
        <v>1351</v>
      </c>
      <c r="AT303" s="11">
        <f t="shared" si="180"/>
        <v>146791</v>
      </c>
      <c r="AU303" s="2" t="str">
        <f t="shared" si="181"/>
        <v>COTESA</v>
      </c>
      <c r="AV303" s="37">
        <f t="shared" si="182"/>
        <v>0</v>
      </c>
      <c r="AW303" s="37">
        <f t="shared" si="182"/>
        <v>0</v>
      </c>
    </row>
    <row r="304" spans="1:49" outlineLevel="1" x14ac:dyDescent="0.25">
      <c r="B304" s="2" t="s">
        <v>7</v>
      </c>
      <c r="C304" s="2">
        <v>2023</v>
      </c>
      <c r="D304" s="1">
        <v>128</v>
      </c>
      <c r="E304" s="11">
        <v>14409</v>
      </c>
      <c r="F304" s="1">
        <v>27</v>
      </c>
      <c r="G304" s="11">
        <v>2579</v>
      </c>
      <c r="H304" s="1">
        <v>68</v>
      </c>
      <c r="I304" s="11">
        <v>13020</v>
      </c>
      <c r="J304" s="1">
        <v>2393</v>
      </c>
      <c r="K304" s="11">
        <v>270709</v>
      </c>
      <c r="L304" s="1">
        <v>13</v>
      </c>
      <c r="M304" s="11">
        <v>3259</v>
      </c>
      <c r="N304" s="1">
        <v>23</v>
      </c>
      <c r="O304" s="11">
        <v>3253</v>
      </c>
      <c r="P304" s="8">
        <v>0</v>
      </c>
      <c r="Q304" s="11">
        <v>0</v>
      </c>
      <c r="R304" s="8">
        <v>3</v>
      </c>
      <c r="S304" s="11">
        <v>273</v>
      </c>
      <c r="T304" s="53">
        <f t="shared" si="176"/>
        <v>2655</v>
      </c>
      <c r="U304" s="54">
        <f t="shared" si="177"/>
        <v>307502</v>
      </c>
      <c r="V304" s="2" t="s">
        <v>90</v>
      </c>
      <c r="Z304" s="30"/>
      <c r="AA304" s="30"/>
      <c r="AB304" s="31"/>
      <c r="AC304" s="32"/>
      <c r="AE304" s="2" t="s">
        <v>7</v>
      </c>
      <c r="AF304" s="2">
        <v>2023</v>
      </c>
      <c r="AG304" s="1">
        <f t="shared" si="178"/>
        <v>223</v>
      </c>
      <c r="AH304" s="11">
        <f t="shared" si="178"/>
        <v>30008</v>
      </c>
      <c r="AI304" s="1">
        <f t="shared" si="179"/>
        <v>2393</v>
      </c>
      <c r="AJ304" s="11">
        <f t="shared" si="179"/>
        <v>270709</v>
      </c>
      <c r="AK304" s="8">
        <f t="shared" si="179"/>
        <v>13</v>
      </c>
      <c r="AL304" s="11">
        <f t="shared" si="179"/>
        <v>3259</v>
      </c>
      <c r="AM304" s="8">
        <f t="shared" si="179"/>
        <v>23</v>
      </c>
      <c r="AN304" s="11">
        <f t="shared" si="179"/>
        <v>3253</v>
      </c>
      <c r="AO304" s="8">
        <f t="shared" si="179"/>
        <v>0</v>
      </c>
      <c r="AP304" s="11">
        <f t="shared" si="179"/>
        <v>0</v>
      </c>
      <c r="AQ304" s="11">
        <f t="shared" si="179"/>
        <v>3</v>
      </c>
      <c r="AR304" s="11">
        <f t="shared" si="179"/>
        <v>273</v>
      </c>
      <c r="AS304" s="8">
        <f t="shared" si="183"/>
        <v>2655</v>
      </c>
      <c r="AT304" s="11">
        <f t="shared" si="180"/>
        <v>307502</v>
      </c>
      <c r="AU304" s="2" t="str">
        <f t="shared" si="181"/>
        <v>COTESA</v>
      </c>
      <c r="AV304" s="37">
        <f t="shared" si="182"/>
        <v>0</v>
      </c>
      <c r="AW304" s="37">
        <f t="shared" si="182"/>
        <v>0</v>
      </c>
    </row>
    <row r="305" spans="1:49" outlineLevel="1" x14ac:dyDescent="0.25">
      <c r="B305" s="2" t="s">
        <v>8</v>
      </c>
      <c r="C305" s="2">
        <v>2023</v>
      </c>
      <c r="D305" s="1">
        <v>229</v>
      </c>
      <c r="E305" s="11">
        <v>22532</v>
      </c>
      <c r="F305" s="1">
        <v>20</v>
      </c>
      <c r="G305" s="11">
        <v>1820</v>
      </c>
      <c r="H305" s="1">
        <v>100</v>
      </c>
      <c r="I305" s="11">
        <v>19104</v>
      </c>
      <c r="J305" s="1">
        <v>4096</v>
      </c>
      <c r="K305" s="11">
        <v>456382</v>
      </c>
      <c r="L305" s="1">
        <v>56</v>
      </c>
      <c r="M305" s="11">
        <v>12116</v>
      </c>
      <c r="N305" s="1">
        <v>44</v>
      </c>
      <c r="O305" s="11">
        <v>6217</v>
      </c>
      <c r="P305" s="8">
        <v>0</v>
      </c>
      <c r="Q305" s="11">
        <v>0</v>
      </c>
      <c r="R305" s="8">
        <v>6</v>
      </c>
      <c r="S305" s="11">
        <v>668</v>
      </c>
      <c r="T305" s="53">
        <f t="shared" ref="T305:U313" si="184">N305+L305+J305+H305+D305+P305+F305+R305</f>
        <v>4551</v>
      </c>
      <c r="U305" s="54">
        <f t="shared" si="184"/>
        <v>518839</v>
      </c>
      <c r="V305" s="2" t="s">
        <v>90</v>
      </c>
      <c r="Z305" s="30">
        <v>524</v>
      </c>
      <c r="AA305" s="30">
        <f>+Z305/J305</f>
        <v>0.1279296875</v>
      </c>
      <c r="AB305" s="31">
        <v>334.40999999999997</v>
      </c>
      <c r="AC305" s="32">
        <f>+AB305/K305</f>
        <v>7.3274143152008613E-4</v>
      </c>
      <c r="AD305" s="13"/>
      <c r="AE305" s="2" t="s">
        <v>8</v>
      </c>
      <c r="AF305" s="2">
        <v>2023</v>
      </c>
      <c r="AG305" s="1">
        <f t="shared" si="178"/>
        <v>349</v>
      </c>
      <c r="AH305" s="11">
        <f t="shared" si="178"/>
        <v>43456</v>
      </c>
      <c r="AI305" s="1">
        <f t="shared" si="179"/>
        <v>4096</v>
      </c>
      <c r="AJ305" s="11">
        <f t="shared" si="179"/>
        <v>456382</v>
      </c>
      <c r="AK305" s="8">
        <f t="shared" si="179"/>
        <v>56</v>
      </c>
      <c r="AL305" s="11">
        <f t="shared" si="179"/>
        <v>12116</v>
      </c>
      <c r="AM305" s="8">
        <f t="shared" si="179"/>
        <v>44</v>
      </c>
      <c r="AN305" s="11">
        <f t="shared" si="179"/>
        <v>6217</v>
      </c>
      <c r="AO305" s="8">
        <f t="shared" si="179"/>
        <v>0</v>
      </c>
      <c r="AP305" s="11">
        <f t="shared" si="179"/>
        <v>0</v>
      </c>
      <c r="AQ305" s="11">
        <f t="shared" si="179"/>
        <v>6</v>
      </c>
      <c r="AR305" s="11">
        <f t="shared" si="179"/>
        <v>668</v>
      </c>
      <c r="AS305" s="8">
        <f t="shared" si="183"/>
        <v>4551</v>
      </c>
      <c r="AT305" s="11">
        <f t="shared" si="180"/>
        <v>518839</v>
      </c>
      <c r="AU305" s="2" t="str">
        <f t="shared" si="181"/>
        <v>COTESA</v>
      </c>
      <c r="AV305" s="37">
        <f t="shared" si="182"/>
        <v>0</v>
      </c>
      <c r="AW305" s="37">
        <f t="shared" si="182"/>
        <v>0</v>
      </c>
    </row>
    <row r="306" spans="1:49" outlineLevel="1" x14ac:dyDescent="0.25">
      <c r="B306" s="2" t="s">
        <v>9</v>
      </c>
      <c r="C306" s="2">
        <v>2023</v>
      </c>
      <c r="D306" s="1">
        <v>183</v>
      </c>
      <c r="E306" s="11">
        <v>19217</v>
      </c>
      <c r="F306" s="1">
        <v>21</v>
      </c>
      <c r="G306" s="11">
        <v>2720</v>
      </c>
      <c r="H306" s="1">
        <v>50</v>
      </c>
      <c r="I306" s="11">
        <v>9400</v>
      </c>
      <c r="J306" s="1">
        <v>4027</v>
      </c>
      <c r="K306" s="11">
        <v>500730</v>
      </c>
      <c r="L306" s="1">
        <v>77</v>
      </c>
      <c r="M306" s="11">
        <v>15630</v>
      </c>
      <c r="N306" s="1">
        <v>61</v>
      </c>
      <c r="O306" s="11">
        <v>8665</v>
      </c>
      <c r="P306" s="8">
        <v>0</v>
      </c>
      <c r="Q306" s="11">
        <v>0</v>
      </c>
      <c r="R306" s="8">
        <v>5</v>
      </c>
      <c r="S306" s="11">
        <v>455</v>
      </c>
      <c r="T306" s="53">
        <f t="shared" si="184"/>
        <v>4424</v>
      </c>
      <c r="U306" s="54">
        <f t="shared" si="184"/>
        <v>556817</v>
      </c>
      <c r="V306" s="2" t="s">
        <v>90</v>
      </c>
      <c r="Z306" s="30">
        <v>173.34</v>
      </c>
      <c r="AA306" s="30">
        <f>+Z306/J306</f>
        <v>4.3044449962751426E-2</v>
      </c>
      <c r="AB306" s="31">
        <v>78.11999999999999</v>
      </c>
      <c r="AC306" s="32">
        <f>+AB306/K306</f>
        <v>1.5601222215565273E-4</v>
      </c>
      <c r="AD306" s="13"/>
      <c r="AE306" s="2" t="s">
        <v>9</v>
      </c>
      <c r="AF306" s="2">
        <v>2023</v>
      </c>
      <c r="AG306" s="1">
        <f t="shared" si="178"/>
        <v>254</v>
      </c>
      <c r="AH306" s="11">
        <f t="shared" si="178"/>
        <v>31337</v>
      </c>
      <c r="AI306" s="1">
        <f t="shared" si="179"/>
        <v>4027</v>
      </c>
      <c r="AJ306" s="11">
        <f t="shared" si="179"/>
        <v>500730</v>
      </c>
      <c r="AK306" s="8">
        <f t="shared" si="179"/>
        <v>77</v>
      </c>
      <c r="AL306" s="11">
        <f t="shared" si="179"/>
        <v>15630</v>
      </c>
      <c r="AM306" s="8">
        <f t="shared" si="179"/>
        <v>61</v>
      </c>
      <c r="AN306" s="11">
        <f t="shared" si="179"/>
        <v>8665</v>
      </c>
      <c r="AO306" s="8">
        <f t="shared" si="179"/>
        <v>0</v>
      </c>
      <c r="AP306" s="11">
        <f t="shared" si="179"/>
        <v>0</v>
      </c>
      <c r="AQ306" s="11">
        <f t="shared" si="179"/>
        <v>5</v>
      </c>
      <c r="AR306" s="11">
        <f t="shared" si="179"/>
        <v>455</v>
      </c>
      <c r="AS306" s="8">
        <f t="shared" si="183"/>
        <v>4424</v>
      </c>
      <c r="AT306" s="11">
        <f t="shared" si="180"/>
        <v>556817</v>
      </c>
      <c r="AU306" s="2" t="str">
        <f t="shared" si="181"/>
        <v>COTESA</v>
      </c>
      <c r="AV306" s="37">
        <f t="shared" si="182"/>
        <v>0</v>
      </c>
      <c r="AW306" s="37">
        <f t="shared" si="182"/>
        <v>0</v>
      </c>
    </row>
    <row r="307" spans="1:49" outlineLevel="1" x14ac:dyDescent="0.25">
      <c r="B307" s="2" t="s">
        <v>10</v>
      </c>
      <c r="C307" s="2">
        <v>2023</v>
      </c>
      <c r="D307" s="1">
        <v>165</v>
      </c>
      <c r="E307" s="11">
        <v>17121</v>
      </c>
      <c r="F307" s="1">
        <v>28</v>
      </c>
      <c r="G307" s="11">
        <v>3723</v>
      </c>
      <c r="H307" s="1">
        <v>26</v>
      </c>
      <c r="I307" s="11">
        <v>3418</v>
      </c>
      <c r="J307" s="1">
        <v>4432</v>
      </c>
      <c r="K307" s="11">
        <v>575270</v>
      </c>
      <c r="L307" s="1">
        <v>47</v>
      </c>
      <c r="M307" s="11">
        <v>9006</v>
      </c>
      <c r="N307" s="1">
        <v>69</v>
      </c>
      <c r="O307" s="11">
        <v>14767</v>
      </c>
      <c r="P307" s="8">
        <v>0</v>
      </c>
      <c r="Q307" s="11">
        <v>0</v>
      </c>
      <c r="R307" s="8">
        <v>6</v>
      </c>
      <c r="S307" s="11">
        <v>546</v>
      </c>
      <c r="T307" s="53">
        <f t="shared" si="184"/>
        <v>4773</v>
      </c>
      <c r="U307" s="54">
        <f t="shared" si="184"/>
        <v>623851</v>
      </c>
      <c r="V307" s="2" t="s">
        <v>90</v>
      </c>
      <c r="Z307" s="30"/>
      <c r="AA307" s="30"/>
      <c r="AB307" s="31"/>
      <c r="AC307" s="32"/>
      <c r="AE307" s="2" t="s">
        <v>10</v>
      </c>
      <c r="AF307" s="2">
        <v>2023</v>
      </c>
      <c r="AG307" s="1">
        <f t="shared" si="178"/>
        <v>219</v>
      </c>
      <c r="AH307" s="11">
        <f t="shared" si="178"/>
        <v>24262</v>
      </c>
      <c r="AI307" s="1">
        <f t="shared" si="179"/>
        <v>4432</v>
      </c>
      <c r="AJ307" s="11">
        <f t="shared" si="179"/>
        <v>575270</v>
      </c>
      <c r="AK307" s="8">
        <f t="shared" si="179"/>
        <v>47</v>
      </c>
      <c r="AL307" s="11">
        <f t="shared" si="179"/>
        <v>9006</v>
      </c>
      <c r="AM307" s="8">
        <f t="shared" si="179"/>
        <v>69</v>
      </c>
      <c r="AN307" s="11">
        <f t="shared" si="179"/>
        <v>14767</v>
      </c>
      <c r="AO307" s="8">
        <f t="shared" si="179"/>
        <v>0</v>
      </c>
      <c r="AP307" s="11">
        <f t="shared" si="179"/>
        <v>0</v>
      </c>
      <c r="AQ307" s="11">
        <f t="shared" si="179"/>
        <v>6</v>
      </c>
      <c r="AR307" s="11">
        <f t="shared" si="179"/>
        <v>546</v>
      </c>
      <c r="AS307" s="8">
        <f t="shared" si="183"/>
        <v>4773</v>
      </c>
      <c r="AT307" s="11">
        <f t="shared" si="180"/>
        <v>623851</v>
      </c>
      <c r="AU307" s="2" t="str">
        <f t="shared" si="181"/>
        <v>COTESA</v>
      </c>
      <c r="AV307" s="37">
        <f t="shared" si="182"/>
        <v>0</v>
      </c>
      <c r="AW307" s="37">
        <f t="shared" si="182"/>
        <v>0</v>
      </c>
    </row>
    <row r="308" spans="1:49" outlineLevel="1" x14ac:dyDescent="0.25">
      <c r="B308" s="2" t="s">
        <v>11</v>
      </c>
      <c r="C308" s="2">
        <v>2023</v>
      </c>
      <c r="D308" s="1">
        <v>233</v>
      </c>
      <c r="E308" s="11">
        <v>24300</v>
      </c>
      <c r="F308" s="1">
        <v>27</v>
      </c>
      <c r="G308" s="11">
        <v>2915</v>
      </c>
      <c r="H308" s="1">
        <v>55</v>
      </c>
      <c r="I308" s="11">
        <v>9641</v>
      </c>
      <c r="J308" s="1">
        <v>4838</v>
      </c>
      <c r="K308" s="11">
        <v>584202</v>
      </c>
      <c r="L308" s="1">
        <v>77</v>
      </c>
      <c r="M308" s="11">
        <v>14476</v>
      </c>
      <c r="N308" s="1">
        <v>52</v>
      </c>
      <c r="O308" s="11">
        <v>8426</v>
      </c>
      <c r="P308" s="8">
        <v>0</v>
      </c>
      <c r="Q308" s="11">
        <v>0</v>
      </c>
      <c r="R308" s="8">
        <v>2</v>
      </c>
      <c r="S308" s="11">
        <v>182</v>
      </c>
      <c r="T308" s="53">
        <f t="shared" si="184"/>
        <v>5284</v>
      </c>
      <c r="U308" s="54">
        <f t="shared" si="184"/>
        <v>644142</v>
      </c>
      <c r="V308" s="2" t="s">
        <v>90</v>
      </c>
      <c r="Z308" s="30"/>
      <c r="AA308" s="30"/>
      <c r="AB308" s="31"/>
      <c r="AC308" s="32"/>
      <c r="AE308" s="2" t="s">
        <v>11</v>
      </c>
      <c r="AF308" s="2">
        <v>2023</v>
      </c>
      <c r="AG308" s="1">
        <f t="shared" si="178"/>
        <v>315</v>
      </c>
      <c r="AH308" s="11">
        <f t="shared" si="178"/>
        <v>36856</v>
      </c>
      <c r="AI308" s="1">
        <f t="shared" si="179"/>
        <v>4838</v>
      </c>
      <c r="AJ308" s="11">
        <f t="shared" si="179"/>
        <v>584202</v>
      </c>
      <c r="AK308" s="8">
        <f t="shared" si="179"/>
        <v>77</v>
      </c>
      <c r="AL308" s="11">
        <f t="shared" si="179"/>
        <v>14476</v>
      </c>
      <c r="AM308" s="8">
        <f t="shared" si="179"/>
        <v>52</v>
      </c>
      <c r="AN308" s="11">
        <f t="shared" si="179"/>
        <v>8426</v>
      </c>
      <c r="AO308" s="8">
        <f t="shared" si="179"/>
        <v>0</v>
      </c>
      <c r="AP308" s="11">
        <f t="shared" si="179"/>
        <v>0</v>
      </c>
      <c r="AQ308" s="11">
        <f t="shared" si="179"/>
        <v>2</v>
      </c>
      <c r="AR308" s="11">
        <f t="shared" si="179"/>
        <v>182</v>
      </c>
      <c r="AS308" s="8">
        <f t="shared" si="183"/>
        <v>5284</v>
      </c>
      <c r="AT308" s="11">
        <f t="shared" si="180"/>
        <v>644142</v>
      </c>
      <c r="AU308" s="2" t="str">
        <f t="shared" si="181"/>
        <v>COTESA</v>
      </c>
      <c r="AV308" s="37">
        <f t="shared" si="182"/>
        <v>0</v>
      </c>
      <c r="AW308" s="37">
        <f t="shared" si="182"/>
        <v>0</v>
      </c>
    </row>
    <row r="309" spans="1:49" outlineLevel="1" x14ac:dyDescent="0.25">
      <c r="B309" s="2" t="s">
        <v>4</v>
      </c>
      <c r="C309" s="2">
        <v>2023</v>
      </c>
      <c r="D309" s="1">
        <v>177</v>
      </c>
      <c r="E309" s="11">
        <v>17633</v>
      </c>
      <c r="F309" s="1">
        <v>45</v>
      </c>
      <c r="G309" s="11">
        <v>4964</v>
      </c>
      <c r="H309" s="1">
        <v>42</v>
      </c>
      <c r="I309" s="11">
        <v>7193</v>
      </c>
      <c r="J309" s="1">
        <v>4285</v>
      </c>
      <c r="K309" s="11">
        <v>494317</v>
      </c>
      <c r="L309" s="1">
        <v>57</v>
      </c>
      <c r="M309" s="11">
        <v>11595</v>
      </c>
      <c r="N309" s="1">
        <v>68</v>
      </c>
      <c r="O309" s="11">
        <v>10111</v>
      </c>
      <c r="P309" s="8">
        <v>0</v>
      </c>
      <c r="Q309" s="11">
        <v>0</v>
      </c>
      <c r="R309" s="8">
        <v>0</v>
      </c>
      <c r="S309" s="11">
        <v>0</v>
      </c>
      <c r="T309" s="53">
        <f t="shared" si="184"/>
        <v>4674</v>
      </c>
      <c r="U309" s="54">
        <f t="shared" si="184"/>
        <v>545813</v>
      </c>
      <c r="V309" s="2" t="s">
        <v>90</v>
      </c>
      <c r="W309" s="38"/>
      <c r="Z309" s="30"/>
      <c r="AA309" s="30"/>
      <c r="AB309" s="31"/>
      <c r="AC309" s="32"/>
      <c r="AE309" s="2" t="s">
        <v>4</v>
      </c>
      <c r="AF309" s="2">
        <v>2023</v>
      </c>
      <c r="AG309" s="1">
        <f t="shared" si="178"/>
        <v>264</v>
      </c>
      <c r="AH309" s="11">
        <f t="shared" si="178"/>
        <v>29790</v>
      </c>
      <c r="AI309" s="1">
        <f t="shared" si="179"/>
        <v>4285</v>
      </c>
      <c r="AJ309" s="11">
        <f t="shared" si="179"/>
        <v>494317</v>
      </c>
      <c r="AK309" s="8">
        <f t="shared" si="179"/>
        <v>57</v>
      </c>
      <c r="AL309" s="11">
        <f t="shared" si="179"/>
        <v>11595</v>
      </c>
      <c r="AM309" s="8">
        <f t="shared" si="179"/>
        <v>68</v>
      </c>
      <c r="AN309" s="11">
        <f t="shared" si="179"/>
        <v>10111</v>
      </c>
      <c r="AO309" s="8">
        <f t="shared" si="179"/>
        <v>0</v>
      </c>
      <c r="AP309" s="11">
        <f t="shared" si="179"/>
        <v>0</v>
      </c>
      <c r="AQ309" s="11">
        <f t="shared" si="179"/>
        <v>0</v>
      </c>
      <c r="AR309" s="11">
        <f t="shared" si="179"/>
        <v>0</v>
      </c>
      <c r="AS309" s="8">
        <f t="shared" si="183"/>
        <v>4674</v>
      </c>
      <c r="AT309" s="11">
        <f t="shared" si="180"/>
        <v>545813</v>
      </c>
      <c r="AU309" s="2" t="str">
        <f t="shared" si="181"/>
        <v>COTESA</v>
      </c>
      <c r="AV309" s="37">
        <f t="shared" si="182"/>
        <v>0</v>
      </c>
      <c r="AW309" s="37">
        <f t="shared" si="182"/>
        <v>0</v>
      </c>
    </row>
    <row r="310" spans="1:49" outlineLevel="1" x14ac:dyDescent="0.25">
      <c r="B310" s="2" t="s">
        <v>28</v>
      </c>
      <c r="C310" s="2">
        <v>2023</v>
      </c>
      <c r="D310" s="1">
        <v>139</v>
      </c>
      <c r="E310" s="11">
        <v>13244</v>
      </c>
      <c r="F310" s="1">
        <v>27</v>
      </c>
      <c r="G310" s="11">
        <v>2701</v>
      </c>
      <c r="H310" s="1">
        <v>37</v>
      </c>
      <c r="I310" s="11">
        <v>5304</v>
      </c>
      <c r="J310" s="1">
        <v>4503</v>
      </c>
      <c r="K310" s="11">
        <v>529120</v>
      </c>
      <c r="L310" s="1">
        <v>51</v>
      </c>
      <c r="M310" s="11">
        <v>8821</v>
      </c>
      <c r="N310" s="1">
        <v>26</v>
      </c>
      <c r="O310" s="11">
        <v>4457</v>
      </c>
      <c r="P310" s="8">
        <v>0</v>
      </c>
      <c r="Q310" s="11">
        <v>0</v>
      </c>
      <c r="R310" s="8">
        <v>0</v>
      </c>
      <c r="S310" s="11">
        <v>0</v>
      </c>
      <c r="T310" s="53">
        <f t="shared" si="184"/>
        <v>4783</v>
      </c>
      <c r="U310" s="54">
        <f t="shared" si="184"/>
        <v>563647</v>
      </c>
      <c r="V310" s="2" t="s">
        <v>90</v>
      </c>
      <c r="Z310" s="30"/>
      <c r="AA310" s="30"/>
      <c r="AB310" s="31"/>
      <c r="AC310" s="32"/>
      <c r="AE310" s="2" t="s">
        <v>28</v>
      </c>
      <c r="AF310" s="2">
        <v>2023</v>
      </c>
      <c r="AG310" s="1">
        <f t="shared" si="178"/>
        <v>203</v>
      </c>
      <c r="AH310" s="11">
        <f t="shared" si="178"/>
        <v>21249</v>
      </c>
      <c r="AI310" s="1">
        <f t="shared" si="179"/>
        <v>4503</v>
      </c>
      <c r="AJ310" s="11">
        <f t="shared" si="179"/>
        <v>529120</v>
      </c>
      <c r="AK310" s="8">
        <f t="shared" si="179"/>
        <v>51</v>
      </c>
      <c r="AL310" s="11">
        <f t="shared" si="179"/>
        <v>8821</v>
      </c>
      <c r="AM310" s="8">
        <f t="shared" si="179"/>
        <v>26</v>
      </c>
      <c r="AN310" s="11">
        <f t="shared" si="179"/>
        <v>4457</v>
      </c>
      <c r="AO310" s="8">
        <f t="shared" si="179"/>
        <v>0</v>
      </c>
      <c r="AP310" s="11">
        <f t="shared" si="179"/>
        <v>0</v>
      </c>
      <c r="AQ310" s="11">
        <f t="shared" si="179"/>
        <v>0</v>
      </c>
      <c r="AR310" s="11">
        <f t="shared" si="179"/>
        <v>0</v>
      </c>
      <c r="AS310" s="8">
        <f t="shared" si="183"/>
        <v>4783</v>
      </c>
      <c r="AT310" s="11">
        <f t="shared" si="180"/>
        <v>563647</v>
      </c>
      <c r="AU310" s="2" t="str">
        <f t="shared" si="181"/>
        <v>COTESA</v>
      </c>
      <c r="AV310" s="37">
        <f t="shared" si="182"/>
        <v>0</v>
      </c>
      <c r="AW310" s="37">
        <f t="shared" si="182"/>
        <v>0</v>
      </c>
    </row>
    <row r="311" spans="1:49" outlineLevel="1" x14ac:dyDescent="0.25">
      <c r="B311" s="2" t="s">
        <v>29</v>
      </c>
      <c r="C311" s="2">
        <v>2023</v>
      </c>
      <c r="D311" s="1">
        <v>155</v>
      </c>
      <c r="E311" s="11">
        <v>14501</v>
      </c>
      <c r="F311" s="1">
        <v>34</v>
      </c>
      <c r="G311" s="11">
        <v>3338</v>
      </c>
      <c r="H311" s="1">
        <v>33</v>
      </c>
      <c r="I311" s="11">
        <v>4467</v>
      </c>
      <c r="J311" s="1">
        <v>4485</v>
      </c>
      <c r="K311" s="11">
        <v>522989</v>
      </c>
      <c r="L311" s="1">
        <v>40</v>
      </c>
      <c r="M311" s="11">
        <v>7263</v>
      </c>
      <c r="N311" s="1">
        <v>31</v>
      </c>
      <c r="O311" s="11">
        <v>4980</v>
      </c>
      <c r="P311" s="8">
        <v>0</v>
      </c>
      <c r="Q311" s="11">
        <v>0</v>
      </c>
      <c r="R311" s="8">
        <v>0</v>
      </c>
      <c r="S311" s="11">
        <v>0</v>
      </c>
      <c r="T311" s="53">
        <f t="shared" si="184"/>
        <v>4778</v>
      </c>
      <c r="U311" s="54">
        <f t="shared" si="184"/>
        <v>557538</v>
      </c>
      <c r="V311" s="2" t="s">
        <v>90</v>
      </c>
      <c r="Z311" s="30"/>
      <c r="AA311" s="30"/>
      <c r="AB311" s="31"/>
      <c r="AC311" s="32"/>
      <c r="AE311" s="2" t="s">
        <v>29</v>
      </c>
      <c r="AF311" s="2">
        <v>2023</v>
      </c>
      <c r="AG311" s="1">
        <f t="shared" si="178"/>
        <v>222</v>
      </c>
      <c r="AH311" s="11">
        <f t="shared" si="178"/>
        <v>22306</v>
      </c>
      <c r="AI311" s="1">
        <f t="shared" si="179"/>
        <v>4485</v>
      </c>
      <c r="AJ311" s="11">
        <f t="shared" si="179"/>
        <v>522989</v>
      </c>
      <c r="AK311" s="8">
        <f t="shared" si="179"/>
        <v>40</v>
      </c>
      <c r="AL311" s="11">
        <f t="shared" si="179"/>
        <v>7263</v>
      </c>
      <c r="AM311" s="8">
        <f t="shared" si="179"/>
        <v>31</v>
      </c>
      <c r="AN311" s="11">
        <f t="shared" si="179"/>
        <v>4980</v>
      </c>
      <c r="AO311" s="8">
        <f t="shared" si="179"/>
        <v>0</v>
      </c>
      <c r="AP311" s="11">
        <f t="shared" si="179"/>
        <v>0</v>
      </c>
      <c r="AQ311" s="11">
        <f t="shared" si="179"/>
        <v>0</v>
      </c>
      <c r="AR311" s="11">
        <f t="shared" si="179"/>
        <v>0</v>
      </c>
      <c r="AS311" s="8">
        <f t="shared" si="183"/>
        <v>4778</v>
      </c>
      <c r="AT311" s="11">
        <f t="shared" si="180"/>
        <v>557538</v>
      </c>
      <c r="AU311" s="2" t="str">
        <f t="shared" si="181"/>
        <v>COTESA</v>
      </c>
      <c r="AV311" s="37">
        <f t="shared" si="182"/>
        <v>0</v>
      </c>
      <c r="AW311" s="37">
        <f t="shared" si="182"/>
        <v>0</v>
      </c>
    </row>
    <row r="312" spans="1:49" outlineLevel="1" x14ac:dyDescent="0.25">
      <c r="B312" s="2" t="s">
        <v>30</v>
      </c>
      <c r="C312" s="2">
        <v>2023</v>
      </c>
      <c r="D312" s="1">
        <v>124</v>
      </c>
      <c r="E312" s="11">
        <v>12152</v>
      </c>
      <c r="F312" s="1">
        <v>39</v>
      </c>
      <c r="G312" s="11">
        <v>4098</v>
      </c>
      <c r="H312" s="1">
        <v>51</v>
      </c>
      <c r="I312" s="11">
        <v>7554</v>
      </c>
      <c r="J312" s="1">
        <v>4526</v>
      </c>
      <c r="K312" s="11">
        <v>517871</v>
      </c>
      <c r="L312" s="1">
        <v>48</v>
      </c>
      <c r="M312" s="11">
        <v>7617</v>
      </c>
      <c r="N312" s="1">
        <v>43</v>
      </c>
      <c r="O312" s="11">
        <v>6798</v>
      </c>
      <c r="P312" s="8">
        <v>0</v>
      </c>
      <c r="Q312" s="11">
        <v>0</v>
      </c>
      <c r="R312" s="11">
        <v>5</v>
      </c>
      <c r="S312" s="11">
        <v>455</v>
      </c>
      <c r="T312" s="53">
        <f t="shared" si="184"/>
        <v>4836</v>
      </c>
      <c r="U312" s="54">
        <f t="shared" si="184"/>
        <v>556545</v>
      </c>
      <c r="V312" s="2" t="s">
        <v>90</v>
      </c>
      <c r="Z312" s="30"/>
      <c r="AA312" s="30"/>
      <c r="AB312" s="31"/>
      <c r="AC312" s="32"/>
      <c r="AE312" s="2" t="s">
        <v>30</v>
      </c>
      <c r="AF312" s="2">
        <v>2023</v>
      </c>
      <c r="AG312" s="1">
        <f t="shared" si="178"/>
        <v>214</v>
      </c>
      <c r="AH312" s="11">
        <f t="shared" si="178"/>
        <v>23804</v>
      </c>
      <c r="AI312" s="1">
        <f t="shared" si="179"/>
        <v>4526</v>
      </c>
      <c r="AJ312" s="11">
        <f t="shared" si="179"/>
        <v>517871</v>
      </c>
      <c r="AK312" s="8">
        <f t="shared" si="179"/>
        <v>48</v>
      </c>
      <c r="AL312" s="11">
        <f t="shared" si="179"/>
        <v>7617</v>
      </c>
      <c r="AM312" s="8">
        <f t="shared" si="179"/>
        <v>43</v>
      </c>
      <c r="AN312" s="11">
        <f t="shared" si="179"/>
        <v>6798</v>
      </c>
      <c r="AO312" s="8">
        <f t="shared" si="179"/>
        <v>0</v>
      </c>
      <c r="AP312" s="11">
        <f t="shared" si="179"/>
        <v>0</v>
      </c>
      <c r="AQ312" s="11">
        <f t="shared" si="179"/>
        <v>5</v>
      </c>
      <c r="AR312" s="11">
        <f t="shared" si="179"/>
        <v>455</v>
      </c>
      <c r="AS312" s="8">
        <f t="shared" si="183"/>
        <v>4836</v>
      </c>
      <c r="AT312" s="11">
        <f t="shared" si="180"/>
        <v>556545</v>
      </c>
      <c r="AU312" s="2" t="str">
        <f t="shared" si="181"/>
        <v>COTESA</v>
      </c>
      <c r="AV312" s="37">
        <f t="shared" si="182"/>
        <v>0</v>
      </c>
      <c r="AW312" s="37">
        <f t="shared" si="182"/>
        <v>0</v>
      </c>
    </row>
    <row r="313" spans="1:49" outlineLevel="1" x14ac:dyDescent="0.25">
      <c r="B313" s="2" t="s">
        <v>31</v>
      </c>
      <c r="C313" s="2">
        <v>2023</v>
      </c>
      <c r="D313" s="1">
        <v>14</v>
      </c>
      <c r="E313" s="11">
        <v>1396</v>
      </c>
      <c r="F313" s="1">
        <v>7</v>
      </c>
      <c r="G313" s="11">
        <v>881</v>
      </c>
      <c r="H313" s="1">
        <v>1</v>
      </c>
      <c r="I313" s="11">
        <v>91</v>
      </c>
      <c r="J313" s="1">
        <v>432</v>
      </c>
      <c r="K313" s="11">
        <v>49392</v>
      </c>
      <c r="L313" s="1">
        <v>3</v>
      </c>
      <c r="M313" s="11">
        <v>395</v>
      </c>
      <c r="N313" s="1">
        <v>3</v>
      </c>
      <c r="O313" s="11">
        <v>273</v>
      </c>
      <c r="P313" s="8">
        <v>0</v>
      </c>
      <c r="Q313" s="11">
        <v>0</v>
      </c>
      <c r="R313" s="11">
        <v>0</v>
      </c>
      <c r="S313" s="11">
        <v>0</v>
      </c>
      <c r="T313" s="53">
        <f t="shared" si="184"/>
        <v>460</v>
      </c>
      <c r="U313" s="54">
        <f t="shared" si="184"/>
        <v>52428</v>
      </c>
      <c r="V313" s="2" t="s">
        <v>90</v>
      </c>
      <c r="X313" s="13"/>
      <c r="Z313" s="30"/>
      <c r="AA313" s="30"/>
      <c r="AB313" s="31"/>
      <c r="AC313" s="32"/>
      <c r="AE313" s="2" t="s">
        <v>31</v>
      </c>
      <c r="AF313" s="2">
        <v>2023</v>
      </c>
      <c r="AG313" s="1">
        <f t="shared" si="178"/>
        <v>22</v>
      </c>
      <c r="AH313" s="11">
        <f t="shared" si="178"/>
        <v>2368</v>
      </c>
      <c r="AI313" s="1">
        <f t="shared" si="179"/>
        <v>432</v>
      </c>
      <c r="AJ313" s="11">
        <f t="shared" si="179"/>
        <v>49392</v>
      </c>
      <c r="AK313" s="8">
        <f t="shared" si="179"/>
        <v>3</v>
      </c>
      <c r="AL313" s="11">
        <f t="shared" si="179"/>
        <v>395</v>
      </c>
      <c r="AM313" s="8">
        <f t="shared" si="179"/>
        <v>3</v>
      </c>
      <c r="AN313" s="11">
        <f t="shared" si="179"/>
        <v>273</v>
      </c>
      <c r="AO313" s="8">
        <f t="shared" si="179"/>
        <v>0</v>
      </c>
      <c r="AP313" s="11">
        <f t="shared" si="179"/>
        <v>0</v>
      </c>
      <c r="AQ313" s="11">
        <f t="shared" si="179"/>
        <v>0</v>
      </c>
      <c r="AR313" s="11">
        <f t="shared" si="179"/>
        <v>0</v>
      </c>
      <c r="AS313" s="8">
        <f t="shared" si="183"/>
        <v>460</v>
      </c>
      <c r="AT313" s="11">
        <f t="shared" si="180"/>
        <v>52428</v>
      </c>
      <c r="AU313" s="2" t="str">
        <f t="shared" si="181"/>
        <v>COTESA</v>
      </c>
      <c r="AV313" s="37">
        <f t="shared" si="182"/>
        <v>0</v>
      </c>
      <c r="AW313" s="37">
        <f t="shared" si="182"/>
        <v>0</v>
      </c>
    </row>
    <row r="314" spans="1:49" outlineLevel="1" x14ac:dyDescent="0.25">
      <c r="AH314" s="9"/>
      <c r="AJ314" s="9"/>
      <c r="AL314" s="9"/>
      <c r="AN314" s="9"/>
      <c r="AO314" s="9"/>
      <c r="AP314" s="9"/>
      <c r="AQ314" s="9"/>
      <c r="AR314" s="9"/>
      <c r="AT314" s="9"/>
    </row>
    <row r="315" spans="1:49" outlineLevel="1" x14ac:dyDescent="0.25">
      <c r="B315" s="3" t="s">
        <v>12</v>
      </c>
      <c r="C315" s="3"/>
      <c r="D315" s="4">
        <f t="shared" ref="D315:O315" si="185">SUM(D302:D314)</f>
        <v>1736</v>
      </c>
      <c r="E315" s="12">
        <f t="shared" si="185"/>
        <v>176252</v>
      </c>
      <c r="F315" s="4">
        <f t="shared" si="185"/>
        <v>287</v>
      </c>
      <c r="G315" s="12">
        <f t="shared" si="185"/>
        <v>30831</v>
      </c>
      <c r="H315" s="4">
        <f t="shared" si="185"/>
        <v>502</v>
      </c>
      <c r="I315" s="12">
        <f t="shared" si="185"/>
        <v>86279</v>
      </c>
      <c r="J315" s="4">
        <f t="shared" si="185"/>
        <v>40609</v>
      </c>
      <c r="K315" s="12">
        <f t="shared" si="185"/>
        <v>4779591</v>
      </c>
      <c r="L315" s="4">
        <f t="shared" si="185"/>
        <v>469</v>
      </c>
      <c r="M315" s="12">
        <f t="shared" si="185"/>
        <v>90178</v>
      </c>
      <c r="N315" s="4">
        <f t="shared" si="185"/>
        <v>468</v>
      </c>
      <c r="O315" s="12">
        <f t="shared" si="185"/>
        <v>74742</v>
      </c>
      <c r="P315" s="4">
        <f>SUM(P302:P314)</f>
        <v>0</v>
      </c>
      <c r="Q315" s="12">
        <f>SUM(Q302:Q314)</f>
        <v>0</v>
      </c>
      <c r="R315" s="4">
        <f>SUM(R302:R314)</f>
        <v>32</v>
      </c>
      <c r="S315" s="12">
        <f>SUM(S302:S314)</f>
        <v>3034</v>
      </c>
      <c r="T315" s="4">
        <f t="shared" ref="T315:U315" si="186">SUM(T302:T314)</f>
        <v>44103</v>
      </c>
      <c r="U315" s="12">
        <f t="shared" si="186"/>
        <v>5240907</v>
      </c>
      <c r="Z315" s="12">
        <f>AVERAGE(Z302:Z314)</f>
        <v>348.67</v>
      </c>
      <c r="AA315" s="12">
        <f t="shared" ref="AA315:AC315" si="187">AVERAGE(AA302:AA314)</f>
        <v>8.5487068731375709E-2</v>
      </c>
      <c r="AB315" s="12">
        <f t="shared" si="187"/>
        <v>206.26499999999999</v>
      </c>
      <c r="AC315" s="16">
        <f t="shared" si="187"/>
        <v>4.4437682683786946E-4</v>
      </c>
      <c r="AE315" s="3" t="s">
        <v>12</v>
      </c>
      <c r="AF315" s="3"/>
      <c r="AG315" s="4">
        <f t="shared" ref="AG315:AT315" si="188">SUM(AG302:AG314)</f>
        <v>2525</v>
      </c>
      <c r="AH315" s="12">
        <f t="shared" si="188"/>
        <v>293362</v>
      </c>
      <c r="AI315" s="4">
        <f t="shared" si="188"/>
        <v>40609</v>
      </c>
      <c r="AJ315" s="12">
        <f t="shared" si="188"/>
        <v>4779591</v>
      </c>
      <c r="AK315" s="4">
        <f t="shared" si="188"/>
        <v>469</v>
      </c>
      <c r="AL315" s="12">
        <f t="shared" si="188"/>
        <v>90178</v>
      </c>
      <c r="AM315" s="4">
        <f t="shared" si="188"/>
        <v>468</v>
      </c>
      <c r="AN315" s="12">
        <f t="shared" si="188"/>
        <v>74742</v>
      </c>
      <c r="AO315" s="4">
        <f t="shared" si="188"/>
        <v>0</v>
      </c>
      <c r="AP315" s="12">
        <f t="shared" si="188"/>
        <v>0</v>
      </c>
      <c r="AQ315" s="4">
        <f t="shared" si="188"/>
        <v>32</v>
      </c>
      <c r="AR315" s="12">
        <f t="shared" si="188"/>
        <v>3034</v>
      </c>
      <c r="AS315" s="4">
        <f t="shared" si="188"/>
        <v>44103</v>
      </c>
      <c r="AT315" s="12">
        <f t="shared" si="188"/>
        <v>5240907</v>
      </c>
    </row>
    <row r="316" spans="1:49" outlineLevel="1" x14ac:dyDescent="0.25">
      <c r="J316" s="46" t="str">
        <f>+$A$297</f>
        <v>Aforo e Ingreso - COTESA</v>
      </c>
      <c r="K316" s="9" t="s">
        <v>84</v>
      </c>
      <c r="L316" s="15">
        <f>AVERAGE(L302:L313)</f>
        <v>39.083333333333336</v>
      </c>
      <c r="M316" s="60">
        <f>AVERAGE(M302:M313)</f>
        <v>7514.833333333333</v>
      </c>
      <c r="T316" s="15">
        <f>AVERAGE(T302:T313)</f>
        <v>3675.25</v>
      </c>
      <c r="U316" s="28">
        <f>AVERAGE(U302:U313)</f>
        <v>436742.25</v>
      </c>
      <c r="V316" s="29"/>
    </row>
    <row r="317" spans="1:49" x14ac:dyDescent="0.25">
      <c r="A317" s="67" t="s">
        <v>14</v>
      </c>
      <c r="J317" s="46" t="str">
        <f>+$A$297</f>
        <v>Aforo e Ingreso - COTESA</v>
      </c>
      <c r="K317" s="9" t="s">
        <v>85</v>
      </c>
      <c r="L317" s="26">
        <f>+L316/$L$337</f>
        <v>2.9262223841662046E-4</v>
      </c>
      <c r="M317" s="36">
        <f>+M316/$M$337</f>
        <v>3.7339019188343707E-4</v>
      </c>
      <c r="N317" s="18"/>
      <c r="O317" s="19"/>
      <c r="P317" s="19"/>
      <c r="Q317" s="19"/>
      <c r="R317" s="19"/>
      <c r="S317" s="19"/>
      <c r="T317" s="36">
        <f>+L316/T316</f>
        <v>1.0634197220143755E-2</v>
      </c>
      <c r="U317" s="62">
        <f>+M316/U316</f>
        <v>1.7206563673043615E-2</v>
      </c>
    </row>
    <row r="318" spans="1:49" x14ac:dyDescent="0.25">
      <c r="A318" s="67" t="s">
        <v>33</v>
      </c>
      <c r="M318" s="26"/>
    </row>
    <row r="319" spans="1:49" x14ac:dyDescent="0.25">
      <c r="B319" s="5"/>
    </row>
    <row r="320" spans="1:49" x14ac:dyDescent="0.25">
      <c r="D320" s="89" t="s">
        <v>15</v>
      </c>
      <c r="E320" s="90"/>
      <c r="F320" s="89" t="s">
        <v>71</v>
      </c>
      <c r="G320" s="90"/>
      <c r="H320" s="89" t="s">
        <v>16</v>
      </c>
      <c r="I320" s="90"/>
      <c r="J320" s="89" t="s">
        <v>17</v>
      </c>
      <c r="K320" s="93"/>
      <c r="L320" s="89" t="s">
        <v>18</v>
      </c>
      <c r="M320" s="93"/>
      <c r="N320" s="89" t="s">
        <v>13</v>
      </c>
      <c r="O320" s="93"/>
      <c r="P320" s="89" t="s">
        <v>34</v>
      </c>
      <c r="Q320" s="93"/>
      <c r="R320" s="89" t="s">
        <v>87</v>
      </c>
      <c r="S320" s="93"/>
      <c r="T320" s="89" t="s">
        <v>44</v>
      </c>
      <c r="U320" s="93"/>
      <c r="AE320" s="89" t="s">
        <v>69</v>
      </c>
      <c r="AF320" s="90"/>
      <c r="AG320" s="89" t="s">
        <v>17</v>
      </c>
      <c r="AH320" s="93"/>
      <c r="AI320" s="89" t="s">
        <v>18</v>
      </c>
      <c r="AJ320" s="93"/>
      <c r="AK320" s="89" t="s">
        <v>13</v>
      </c>
      <c r="AL320" s="93"/>
      <c r="AM320" s="89" t="s">
        <v>34</v>
      </c>
      <c r="AN320" s="93"/>
      <c r="AO320" s="89" t="s">
        <v>87</v>
      </c>
      <c r="AP320" s="93"/>
      <c r="AQ320" s="89" t="s">
        <v>12</v>
      </c>
      <c r="AR320" s="93"/>
    </row>
    <row r="321" spans="1:61" x14ac:dyDescent="0.25">
      <c r="A321" s="6"/>
      <c r="B321" s="7" t="s">
        <v>0</v>
      </c>
      <c r="C321" s="7" t="s">
        <v>1</v>
      </c>
      <c r="D321" s="7" t="s">
        <v>2</v>
      </c>
      <c r="E321" s="10" t="s">
        <v>3</v>
      </c>
      <c r="F321" s="7" t="s">
        <v>2</v>
      </c>
      <c r="G321" s="10" t="s">
        <v>3</v>
      </c>
      <c r="H321" s="7" t="s">
        <v>2</v>
      </c>
      <c r="I321" s="10" t="s">
        <v>3</v>
      </c>
      <c r="J321" s="7" t="s">
        <v>2</v>
      </c>
      <c r="K321" s="10" t="s">
        <v>3</v>
      </c>
      <c r="L321" s="7" t="s">
        <v>2</v>
      </c>
      <c r="M321" s="10" t="s">
        <v>3</v>
      </c>
      <c r="N321" s="7" t="s">
        <v>2</v>
      </c>
      <c r="O321" s="10" t="s">
        <v>3</v>
      </c>
      <c r="P321" s="7" t="s">
        <v>2</v>
      </c>
      <c r="Q321" s="10" t="s">
        <v>3</v>
      </c>
      <c r="R321" s="7" t="s">
        <v>2</v>
      </c>
      <c r="S321" s="10" t="s">
        <v>3</v>
      </c>
      <c r="T321" s="7" t="s">
        <v>2</v>
      </c>
      <c r="U321" s="10" t="s">
        <v>3</v>
      </c>
      <c r="Z321" s="33">
        <v>2021</v>
      </c>
      <c r="AA321" s="34">
        <v>0.63373109825736784</v>
      </c>
      <c r="AB321" s="33">
        <f>+Z321</f>
        <v>2021</v>
      </c>
      <c r="AC321" s="35">
        <v>6.1148709932188107E-3</v>
      </c>
      <c r="AE321" s="7" t="s">
        <v>0</v>
      </c>
      <c r="AF321" s="7" t="s">
        <v>1</v>
      </c>
      <c r="AG321" s="7" t="s">
        <v>2</v>
      </c>
      <c r="AH321" s="10" t="s">
        <v>3</v>
      </c>
      <c r="AI321" s="7" t="s">
        <v>2</v>
      </c>
      <c r="AJ321" s="10" t="s">
        <v>3</v>
      </c>
      <c r="AK321" s="7" t="s">
        <v>2</v>
      </c>
      <c r="AL321" s="10" t="s">
        <v>3</v>
      </c>
      <c r="AM321" s="7" t="s">
        <v>2</v>
      </c>
      <c r="AN321" s="10" t="s">
        <v>3</v>
      </c>
      <c r="AO321" s="7" t="s">
        <v>2</v>
      </c>
      <c r="AP321" s="10" t="s">
        <v>3</v>
      </c>
      <c r="AQ321" s="7" t="s">
        <v>2</v>
      </c>
      <c r="AR321" s="10" t="s">
        <v>3</v>
      </c>
      <c r="AS321" s="7" t="s">
        <v>2</v>
      </c>
      <c r="AT321" s="10" t="s">
        <v>3</v>
      </c>
      <c r="AX321" s="91" t="s">
        <v>100</v>
      </c>
      <c r="AY321" s="92"/>
    </row>
    <row r="322" spans="1:61" x14ac:dyDescent="0.25">
      <c r="AH322" s="9"/>
      <c r="AJ322" s="9"/>
      <c r="AL322" s="9"/>
      <c r="AN322" s="9"/>
      <c r="AO322" s="9"/>
      <c r="AP322" s="9"/>
      <c r="AQ322" s="9"/>
      <c r="AR322" s="9"/>
      <c r="AT322" s="9"/>
      <c r="AX322" s="7" t="s">
        <v>96</v>
      </c>
      <c r="AY322" s="7" t="s">
        <v>86</v>
      </c>
    </row>
    <row r="323" spans="1:61" x14ac:dyDescent="0.25">
      <c r="B323" s="2" t="s">
        <v>5</v>
      </c>
      <c r="C323" s="2">
        <v>2023</v>
      </c>
      <c r="D323" s="1">
        <f>+D113+D92+D71+D50+D29+D8+D134+D155+D176+D197+D218+D239+D260+D281+D302</f>
        <v>1594764</v>
      </c>
      <c r="E323" s="1">
        <f t="shared" ref="E323:S323" si="189">+E113+E92+E71+E50+E29+E8+E134+E155+E176+E197+E218+E239+E260+E281+E302</f>
        <v>96487511.25999999</v>
      </c>
      <c r="F323" s="1">
        <f t="shared" si="189"/>
        <v>724898</v>
      </c>
      <c r="G323" s="1">
        <f t="shared" si="189"/>
        <v>52039069.49000001</v>
      </c>
      <c r="H323" s="1">
        <f t="shared" si="189"/>
        <v>199028</v>
      </c>
      <c r="I323" s="1">
        <f t="shared" si="189"/>
        <v>28883888.879999999</v>
      </c>
      <c r="J323" s="1">
        <f t="shared" si="189"/>
        <v>9229086</v>
      </c>
      <c r="K323" s="1">
        <f t="shared" si="189"/>
        <v>735986224.61000001</v>
      </c>
      <c r="L323" s="1">
        <f t="shared" si="189"/>
        <v>133410</v>
      </c>
      <c r="M323" s="1">
        <f>+M113+M92+M71+M50+M29+M8+M134+M155+M176+M197+M218+M239+M260+M281+M302</f>
        <v>18612608.649999999</v>
      </c>
      <c r="N323" s="1">
        <f t="shared" si="189"/>
        <v>282692</v>
      </c>
      <c r="O323" s="1">
        <f t="shared" si="189"/>
        <v>36110988.159999996</v>
      </c>
      <c r="P323" s="1">
        <f t="shared" si="189"/>
        <v>225</v>
      </c>
      <c r="Q323" s="1">
        <f t="shared" si="189"/>
        <v>23193.11</v>
      </c>
      <c r="R323" s="1">
        <f t="shared" si="189"/>
        <v>5846</v>
      </c>
      <c r="S323" s="1">
        <f t="shared" si="189"/>
        <v>352614.15</v>
      </c>
      <c r="T323" s="53">
        <f t="shared" ref="T323:T334" si="190">N323+L323+J323+H323+D323+P323+F323+R323</f>
        <v>12169949</v>
      </c>
      <c r="U323" s="54">
        <f t="shared" ref="U323:U334" si="191">O323+M323+K323+I323+E323+Q323+G323+S323</f>
        <v>968496098.30999994</v>
      </c>
      <c r="W323" s="66"/>
      <c r="X323" s="66"/>
      <c r="Z323" s="30">
        <f t="shared" ref="Z323:Z328" si="192">+Z281+Z260+Z239+Z218+Z197+Z71+Z134+Z113+Z176</f>
        <v>1768888.24</v>
      </c>
      <c r="AA323" s="30">
        <f t="shared" ref="AA323:AA328" si="193">+Z323/J323</f>
        <v>0.1916645093566145</v>
      </c>
      <c r="AB323" s="30">
        <f t="shared" ref="AB323:AB328" si="194">+AB281+AB260+AB239+AB218+AB197+AB71+AB134+AB113+AB176</f>
        <v>2330652.5674999999</v>
      </c>
      <c r="AC323" s="32">
        <f t="shared" ref="AC323:AC328" si="195">+AB323/K323</f>
        <v>3.1667067800555853E-3</v>
      </c>
      <c r="AD323" s="13"/>
      <c r="AE323" s="2" t="s">
        <v>5</v>
      </c>
      <c r="AF323" s="2">
        <v>2023</v>
      </c>
      <c r="AG323" s="1">
        <f t="shared" ref="AG323:AG334" si="196">D323+H323+F323</f>
        <v>2518690</v>
      </c>
      <c r="AH323" s="11">
        <f t="shared" ref="AH323:AH334" si="197">E323+I323+G323</f>
        <v>177410469.63</v>
      </c>
      <c r="AI323" s="1">
        <f t="shared" ref="AI323:AI334" si="198">+J323</f>
        <v>9229086</v>
      </c>
      <c r="AJ323" s="11">
        <f t="shared" ref="AJ323:AJ334" si="199">+K323</f>
        <v>735986224.61000001</v>
      </c>
      <c r="AK323" s="8">
        <f t="shared" ref="AK323:AK334" si="200">+L323</f>
        <v>133410</v>
      </c>
      <c r="AL323" s="11">
        <f t="shared" ref="AL323:AL334" si="201">+M323</f>
        <v>18612608.649999999</v>
      </c>
      <c r="AM323" s="8">
        <f t="shared" ref="AM323:AM334" si="202">+N323</f>
        <v>282692</v>
      </c>
      <c r="AN323" s="11">
        <f t="shared" ref="AN323:AN334" si="203">+O323</f>
        <v>36110988.159999996</v>
      </c>
      <c r="AO323" s="8">
        <f t="shared" ref="AO323:AO334" si="204">+P323</f>
        <v>225</v>
      </c>
      <c r="AP323" s="11">
        <f t="shared" ref="AP323:AP334" si="205">+Q323</f>
        <v>23193.11</v>
      </c>
      <c r="AQ323" s="11">
        <f t="shared" ref="AQ323:AQ334" si="206">+R323</f>
        <v>5846</v>
      </c>
      <c r="AR323" s="11">
        <f t="shared" ref="AR323:AR334" si="207">+S323</f>
        <v>352614.15</v>
      </c>
      <c r="AS323" s="8">
        <f>AO323+AM323+AK323+AI323+AG323+AQ323</f>
        <v>12169949</v>
      </c>
      <c r="AT323" s="11">
        <f t="shared" ref="AT323:AT334" si="208">AP323+AN323+AL323+AJ323+AH323+AR323</f>
        <v>968496098.30999994</v>
      </c>
      <c r="AU323" s="2" t="s">
        <v>70</v>
      </c>
      <c r="AV323" s="37">
        <f t="shared" ref="AV323:AV334" si="209">+AS323-T323</f>
        <v>0</v>
      </c>
      <c r="AW323" s="37">
        <f t="shared" ref="AW323:AW334" si="210">+AT323-U323</f>
        <v>0</v>
      </c>
      <c r="AX323" s="15">
        <f>+T323-D323-F323-H323</f>
        <v>9651259</v>
      </c>
      <c r="AY323" s="9">
        <f>+U323-E323-G323-I323</f>
        <v>791085628.67999995</v>
      </c>
      <c r="AZ323" s="40"/>
      <c r="BA323" s="13"/>
      <c r="BB323" s="40"/>
      <c r="BC323" s="40"/>
      <c r="BD323" s="13"/>
      <c r="BE323" s="40"/>
      <c r="BF323" s="40"/>
      <c r="BH323" s="41"/>
      <c r="BI323" s="43"/>
    </row>
    <row r="324" spans="1:61" x14ac:dyDescent="0.25">
      <c r="B324" s="2" t="s">
        <v>6</v>
      </c>
      <c r="C324" s="2">
        <v>2023</v>
      </c>
      <c r="D324" s="1">
        <f t="shared" ref="D324:S324" si="211">+D114+D93+D72+D51+D30+D9+D135+D156+D177+D198+D219+D240+D261+D282+D303</f>
        <v>1717919</v>
      </c>
      <c r="E324" s="1">
        <f t="shared" si="211"/>
        <v>99004575.110000014</v>
      </c>
      <c r="F324" s="1">
        <f t="shared" si="211"/>
        <v>961533</v>
      </c>
      <c r="G324" s="1">
        <f t="shared" si="211"/>
        <v>54979754.310000002</v>
      </c>
      <c r="H324" s="1">
        <f t="shared" si="211"/>
        <v>187169</v>
      </c>
      <c r="I324" s="1">
        <f t="shared" si="211"/>
        <v>27308106.149999999</v>
      </c>
      <c r="J324" s="1">
        <f t="shared" si="211"/>
        <v>8960822</v>
      </c>
      <c r="K324" s="1">
        <f t="shared" si="211"/>
        <v>771083774.40999997</v>
      </c>
      <c r="L324" s="1">
        <f t="shared" si="211"/>
        <v>124217</v>
      </c>
      <c r="M324" s="1">
        <f t="shared" si="211"/>
        <v>18555079.079999998</v>
      </c>
      <c r="N324" s="1">
        <f t="shared" si="211"/>
        <v>262138</v>
      </c>
      <c r="O324" s="1">
        <f t="shared" si="211"/>
        <v>37101519.25</v>
      </c>
      <c r="P324" s="1">
        <f t="shared" si="211"/>
        <v>229</v>
      </c>
      <c r="Q324" s="1">
        <f t="shared" si="211"/>
        <v>21015.41</v>
      </c>
      <c r="R324" s="1">
        <f t="shared" si="211"/>
        <v>5179</v>
      </c>
      <c r="S324" s="1">
        <f t="shared" si="211"/>
        <v>327967.61</v>
      </c>
      <c r="T324" s="53">
        <f t="shared" si="190"/>
        <v>12219206</v>
      </c>
      <c r="U324" s="54">
        <f t="shared" si="191"/>
        <v>1008381791.33</v>
      </c>
      <c r="W324" s="66"/>
      <c r="X324" s="66"/>
      <c r="Z324" s="30">
        <f t="shared" si="192"/>
        <v>1764184.79</v>
      </c>
      <c r="AA324" s="30">
        <f t="shared" si="193"/>
        <v>0.19687756212543894</v>
      </c>
      <c r="AB324" s="30">
        <f t="shared" si="194"/>
        <v>2270567.9850000003</v>
      </c>
      <c r="AC324" s="32">
        <f t="shared" si="195"/>
        <v>2.9446450053203896E-3</v>
      </c>
      <c r="AD324" s="13"/>
      <c r="AE324" s="2" t="s">
        <v>6</v>
      </c>
      <c r="AF324" s="2">
        <v>2023</v>
      </c>
      <c r="AG324" s="1">
        <f t="shared" si="196"/>
        <v>2866621</v>
      </c>
      <c r="AH324" s="11">
        <f t="shared" si="197"/>
        <v>181292435.57000002</v>
      </c>
      <c r="AI324" s="1">
        <f t="shared" si="198"/>
        <v>8960822</v>
      </c>
      <c r="AJ324" s="11">
        <f t="shared" si="199"/>
        <v>771083774.40999997</v>
      </c>
      <c r="AK324" s="8">
        <f t="shared" si="200"/>
        <v>124217</v>
      </c>
      <c r="AL324" s="11">
        <f t="shared" si="201"/>
        <v>18555079.079999998</v>
      </c>
      <c r="AM324" s="8">
        <f t="shared" si="202"/>
        <v>262138</v>
      </c>
      <c r="AN324" s="11">
        <f t="shared" si="203"/>
        <v>37101519.25</v>
      </c>
      <c r="AO324" s="8">
        <f t="shared" si="204"/>
        <v>229</v>
      </c>
      <c r="AP324" s="11">
        <f t="shared" si="205"/>
        <v>21015.41</v>
      </c>
      <c r="AQ324" s="11">
        <f t="shared" si="206"/>
        <v>5179</v>
      </c>
      <c r="AR324" s="11">
        <f t="shared" si="207"/>
        <v>327967.61</v>
      </c>
      <c r="AS324" s="8">
        <f t="shared" ref="AS324:AS334" si="212">AO324+AM324+AK324+AI324+AG324+AQ324</f>
        <v>12219206</v>
      </c>
      <c r="AT324" s="11">
        <f t="shared" si="208"/>
        <v>1008381791.33</v>
      </c>
      <c r="AU324" s="2" t="s">
        <v>70</v>
      </c>
      <c r="AV324" s="37">
        <f t="shared" si="209"/>
        <v>0</v>
      </c>
      <c r="AW324" s="37">
        <f t="shared" si="210"/>
        <v>0</v>
      </c>
      <c r="AX324" s="15">
        <f t="shared" ref="AX324:AX325" si="213">+T324-D324-F324-H324</f>
        <v>9352585</v>
      </c>
      <c r="AY324" s="9">
        <f t="shared" ref="AY324:AY325" si="214">+U324-E324-G324-I324</f>
        <v>827089355.76000011</v>
      </c>
      <c r="AZ324" s="40"/>
      <c r="BA324" s="13"/>
      <c r="BB324" s="40"/>
      <c r="BC324" s="40"/>
      <c r="BD324" s="13"/>
      <c r="BE324" s="40"/>
      <c r="BF324" s="40"/>
      <c r="BH324" s="41"/>
      <c r="BI324" s="43"/>
    </row>
    <row r="325" spans="1:61" x14ac:dyDescent="0.25">
      <c r="B325" s="2" t="s">
        <v>7</v>
      </c>
      <c r="C325" s="2">
        <v>2023</v>
      </c>
      <c r="D325" s="1">
        <f t="shared" ref="D325:S325" si="215">+D115+D94+D73+D52+D31+D10+D136+D157+D178+D199+D220+D241+D262+D283+D304</f>
        <v>1956745</v>
      </c>
      <c r="E325" s="1">
        <f t="shared" si="215"/>
        <v>115413630.7</v>
      </c>
      <c r="F325" s="1">
        <f t="shared" si="215"/>
        <v>1108918</v>
      </c>
      <c r="G325" s="1">
        <f t="shared" si="215"/>
        <v>64906887.430000007</v>
      </c>
      <c r="H325" s="1">
        <f t="shared" si="215"/>
        <v>222708</v>
      </c>
      <c r="I325" s="1">
        <f t="shared" si="215"/>
        <v>32546335.550000001</v>
      </c>
      <c r="J325" s="1">
        <f t="shared" si="215"/>
        <v>10266854</v>
      </c>
      <c r="K325" s="1">
        <f t="shared" si="215"/>
        <v>901872953.12</v>
      </c>
      <c r="L325" s="1">
        <f t="shared" si="215"/>
        <v>143360</v>
      </c>
      <c r="M325" s="1">
        <f t="shared" si="215"/>
        <v>21770069.899999999</v>
      </c>
      <c r="N325" s="1">
        <f t="shared" si="215"/>
        <v>303870</v>
      </c>
      <c r="O325" s="1">
        <f t="shared" si="215"/>
        <v>43510915.159999996</v>
      </c>
      <c r="P325" s="1">
        <f t="shared" si="215"/>
        <v>271</v>
      </c>
      <c r="Q325" s="1">
        <f t="shared" si="215"/>
        <v>18401.940000000002</v>
      </c>
      <c r="R325" s="1">
        <f t="shared" si="215"/>
        <v>7113</v>
      </c>
      <c r="S325" s="1">
        <f t="shared" si="215"/>
        <v>453954.77</v>
      </c>
      <c r="T325" s="53">
        <f t="shared" si="190"/>
        <v>14009839</v>
      </c>
      <c r="U325" s="54">
        <f t="shared" si="191"/>
        <v>1180493148.5699999</v>
      </c>
      <c r="W325" s="66"/>
      <c r="X325" s="66"/>
      <c r="Z325" s="30">
        <f t="shared" si="192"/>
        <v>2061751.1</v>
      </c>
      <c r="AA325" s="30">
        <f t="shared" si="193"/>
        <v>0.20081624809313545</v>
      </c>
      <c r="AB325" s="30">
        <f t="shared" si="194"/>
        <v>3029137.9550000005</v>
      </c>
      <c r="AC325" s="32">
        <f t="shared" si="195"/>
        <v>3.3587191461067734E-3</v>
      </c>
      <c r="AD325" s="13"/>
      <c r="AE325" s="2" t="s">
        <v>7</v>
      </c>
      <c r="AF325" s="2">
        <v>2023</v>
      </c>
      <c r="AG325" s="1">
        <f t="shared" si="196"/>
        <v>3288371</v>
      </c>
      <c r="AH325" s="11">
        <f t="shared" si="197"/>
        <v>212866853.68000001</v>
      </c>
      <c r="AI325" s="1">
        <f t="shared" si="198"/>
        <v>10266854</v>
      </c>
      <c r="AJ325" s="11">
        <f t="shared" si="199"/>
        <v>901872953.12</v>
      </c>
      <c r="AK325" s="8">
        <f t="shared" si="200"/>
        <v>143360</v>
      </c>
      <c r="AL325" s="11">
        <f t="shared" si="201"/>
        <v>21770069.899999999</v>
      </c>
      <c r="AM325" s="8">
        <f t="shared" si="202"/>
        <v>303870</v>
      </c>
      <c r="AN325" s="11">
        <f t="shared" si="203"/>
        <v>43510915.159999996</v>
      </c>
      <c r="AO325" s="8">
        <f t="shared" si="204"/>
        <v>271</v>
      </c>
      <c r="AP325" s="11">
        <f t="shared" si="205"/>
        <v>18401.940000000002</v>
      </c>
      <c r="AQ325" s="11">
        <f t="shared" si="206"/>
        <v>7113</v>
      </c>
      <c r="AR325" s="11">
        <f t="shared" si="207"/>
        <v>453954.77</v>
      </c>
      <c r="AS325" s="8">
        <f t="shared" si="212"/>
        <v>14009839</v>
      </c>
      <c r="AT325" s="11">
        <f t="shared" si="208"/>
        <v>1180493148.5699999</v>
      </c>
      <c r="AU325" s="2" t="s">
        <v>70</v>
      </c>
      <c r="AV325" s="37">
        <f t="shared" si="209"/>
        <v>0</v>
      </c>
      <c r="AW325" s="37">
        <f t="shared" si="210"/>
        <v>0</v>
      </c>
      <c r="AX325" s="15">
        <f t="shared" si="213"/>
        <v>10721468</v>
      </c>
      <c r="AY325" s="9">
        <f t="shared" si="214"/>
        <v>967626294.88999987</v>
      </c>
      <c r="AZ325" s="40"/>
      <c r="BA325" s="13"/>
      <c r="BB325" s="40"/>
      <c r="BC325" s="40"/>
      <c r="BD325" s="13"/>
      <c r="BE325" s="40"/>
      <c r="BF325" s="40"/>
      <c r="BH325" s="41"/>
      <c r="BI325" s="43"/>
    </row>
    <row r="326" spans="1:61" x14ac:dyDescent="0.25">
      <c r="B326" s="2" t="s">
        <v>8</v>
      </c>
      <c r="C326" s="2">
        <v>2023</v>
      </c>
      <c r="D326" s="1">
        <f t="shared" ref="D326:S326" si="216">+D116+D95+D74+D53+D32+D11+D137+D158+D179+D200+D221+D242+D263+D284+D305</f>
        <v>1708430</v>
      </c>
      <c r="E326" s="1">
        <f t="shared" si="216"/>
        <v>102018701.67999999</v>
      </c>
      <c r="F326" s="1">
        <f t="shared" si="216"/>
        <v>978277</v>
      </c>
      <c r="G326" s="1">
        <f t="shared" si="216"/>
        <v>57783003.409999996</v>
      </c>
      <c r="H326" s="1">
        <f t="shared" si="216"/>
        <v>216245</v>
      </c>
      <c r="I326" s="1">
        <f t="shared" si="216"/>
        <v>32433870.740000002</v>
      </c>
      <c r="J326" s="1">
        <f t="shared" si="216"/>
        <v>9139782</v>
      </c>
      <c r="K326" s="1">
        <f t="shared" si="216"/>
        <v>817624089.58000004</v>
      </c>
      <c r="L326" s="1">
        <f t="shared" si="216"/>
        <v>126019</v>
      </c>
      <c r="M326" s="1">
        <f t="shared" si="216"/>
        <v>19509171.5</v>
      </c>
      <c r="N326" s="1">
        <f t="shared" si="216"/>
        <v>281977</v>
      </c>
      <c r="O326" s="1">
        <f t="shared" si="216"/>
        <v>40774340.149999999</v>
      </c>
      <c r="P326" s="1">
        <f t="shared" si="216"/>
        <v>235</v>
      </c>
      <c r="Q326" s="1">
        <f t="shared" si="216"/>
        <v>24685.510000000002</v>
      </c>
      <c r="R326" s="1">
        <f t="shared" si="216"/>
        <v>6447</v>
      </c>
      <c r="S326" s="1">
        <f t="shared" si="216"/>
        <v>420743.24000000005</v>
      </c>
      <c r="T326" s="53">
        <f t="shared" si="190"/>
        <v>12457412</v>
      </c>
      <c r="U326" s="54">
        <f t="shared" si="191"/>
        <v>1070588605.8099999</v>
      </c>
      <c r="W326" s="66"/>
      <c r="X326" s="66"/>
      <c r="Z326" s="30">
        <f t="shared" si="192"/>
        <v>1977872.52</v>
      </c>
      <c r="AA326" s="30">
        <f t="shared" si="193"/>
        <v>0.21640259253448277</v>
      </c>
      <c r="AB326" s="30">
        <f t="shared" si="194"/>
        <v>2872885.69</v>
      </c>
      <c r="AC326" s="32">
        <f t="shared" si="195"/>
        <v>3.5136999100353729E-3</v>
      </c>
      <c r="AD326" s="13"/>
      <c r="AE326" s="2" t="s">
        <v>8</v>
      </c>
      <c r="AF326" s="2">
        <v>2023</v>
      </c>
      <c r="AG326" s="1">
        <f t="shared" si="196"/>
        <v>2902952</v>
      </c>
      <c r="AH326" s="11">
        <f t="shared" si="197"/>
        <v>192235575.82999998</v>
      </c>
      <c r="AI326" s="1">
        <f t="shared" si="198"/>
        <v>9139782</v>
      </c>
      <c r="AJ326" s="11">
        <f t="shared" si="199"/>
        <v>817624089.58000004</v>
      </c>
      <c r="AK326" s="8">
        <f t="shared" si="200"/>
        <v>126019</v>
      </c>
      <c r="AL326" s="11">
        <f t="shared" si="201"/>
        <v>19509171.5</v>
      </c>
      <c r="AM326" s="8">
        <f t="shared" si="202"/>
        <v>281977</v>
      </c>
      <c r="AN326" s="11">
        <f t="shared" si="203"/>
        <v>40774340.149999999</v>
      </c>
      <c r="AO326" s="8">
        <f t="shared" si="204"/>
        <v>235</v>
      </c>
      <c r="AP326" s="11">
        <f t="shared" si="205"/>
        <v>24685.510000000002</v>
      </c>
      <c r="AQ326" s="11">
        <f t="shared" si="206"/>
        <v>6447</v>
      </c>
      <c r="AR326" s="11">
        <f t="shared" si="207"/>
        <v>420743.24000000005</v>
      </c>
      <c r="AS326" s="8">
        <f t="shared" si="212"/>
        <v>12457412</v>
      </c>
      <c r="AT326" s="11">
        <f t="shared" si="208"/>
        <v>1070588605.8099999</v>
      </c>
      <c r="AU326" s="2" t="s">
        <v>70</v>
      </c>
      <c r="AV326" s="37">
        <f t="shared" si="209"/>
        <v>0</v>
      </c>
      <c r="AW326" s="37">
        <f t="shared" si="210"/>
        <v>0</v>
      </c>
      <c r="AX326" s="13"/>
      <c r="AY326" s="40"/>
      <c r="AZ326" s="40"/>
      <c r="BA326" s="13"/>
      <c r="BB326" s="40"/>
      <c r="BC326" s="40"/>
      <c r="BD326" s="13"/>
      <c r="BE326" s="40"/>
      <c r="BF326" s="40"/>
      <c r="BH326" s="41"/>
      <c r="BI326" s="43"/>
    </row>
    <row r="327" spans="1:61" x14ac:dyDescent="0.25">
      <c r="B327" s="2" t="s">
        <v>9</v>
      </c>
      <c r="C327" s="2">
        <v>2023</v>
      </c>
      <c r="D327" s="1">
        <f t="shared" ref="D327:S327" si="217">+D117+D96+D75+D54+D33+D12+D138+D159+D180+D201+D222+D243+D264+D285+D306</f>
        <v>1956586</v>
      </c>
      <c r="E327" s="1">
        <f t="shared" si="217"/>
        <v>115042693.57000001</v>
      </c>
      <c r="F327" s="1">
        <f t="shared" si="217"/>
        <v>1129594</v>
      </c>
      <c r="G327" s="1">
        <f t="shared" si="217"/>
        <v>65768568.93</v>
      </c>
      <c r="H327" s="1">
        <f t="shared" si="217"/>
        <v>238151</v>
      </c>
      <c r="I327" s="1">
        <f t="shared" si="217"/>
        <v>34204173</v>
      </c>
      <c r="J327" s="1">
        <f t="shared" si="217"/>
        <v>10364698</v>
      </c>
      <c r="K327" s="1">
        <f t="shared" si="217"/>
        <v>901181554.28999996</v>
      </c>
      <c r="L327" s="1">
        <f t="shared" si="217"/>
        <v>137460</v>
      </c>
      <c r="M327" s="1">
        <f t="shared" si="217"/>
        <v>20693829.859999999</v>
      </c>
      <c r="N327" s="1">
        <f t="shared" si="217"/>
        <v>314981</v>
      </c>
      <c r="O327" s="1">
        <f t="shared" si="217"/>
        <v>44795279.07</v>
      </c>
      <c r="P327" s="1">
        <f t="shared" si="217"/>
        <v>244</v>
      </c>
      <c r="Q327" s="1">
        <f t="shared" si="217"/>
        <v>19084.5</v>
      </c>
      <c r="R327" s="1">
        <f t="shared" si="217"/>
        <v>7649</v>
      </c>
      <c r="S327" s="1">
        <f t="shared" si="217"/>
        <v>502652.04</v>
      </c>
      <c r="T327" s="53">
        <f t="shared" si="190"/>
        <v>14149363</v>
      </c>
      <c r="U327" s="54">
        <f t="shared" si="191"/>
        <v>1182207835.26</v>
      </c>
      <c r="W327" s="66"/>
      <c r="X327" s="66"/>
      <c r="Z327" s="30">
        <f t="shared" si="192"/>
        <v>2087416.3900000001</v>
      </c>
      <c r="AA327" s="30">
        <f t="shared" si="193"/>
        <v>0.20139674016551182</v>
      </c>
      <c r="AB327" s="30">
        <f t="shared" si="194"/>
        <v>3080465.3975</v>
      </c>
      <c r="AC327" s="32">
        <f t="shared" si="195"/>
        <v>3.4182517194628545E-3</v>
      </c>
      <c r="AD327" s="13"/>
      <c r="AE327" s="2" t="s">
        <v>9</v>
      </c>
      <c r="AF327" s="2">
        <v>2023</v>
      </c>
      <c r="AG327" s="1">
        <f t="shared" si="196"/>
        <v>3324331</v>
      </c>
      <c r="AH327" s="11">
        <f t="shared" si="197"/>
        <v>215015435.5</v>
      </c>
      <c r="AI327" s="1">
        <f t="shared" si="198"/>
        <v>10364698</v>
      </c>
      <c r="AJ327" s="11">
        <f t="shared" si="199"/>
        <v>901181554.28999996</v>
      </c>
      <c r="AK327" s="8">
        <f t="shared" si="200"/>
        <v>137460</v>
      </c>
      <c r="AL327" s="11">
        <f t="shared" si="201"/>
        <v>20693829.859999999</v>
      </c>
      <c r="AM327" s="8">
        <f t="shared" si="202"/>
        <v>314981</v>
      </c>
      <c r="AN327" s="11">
        <f t="shared" si="203"/>
        <v>44795279.07</v>
      </c>
      <c r="AO327" s="8">
        <f t="shared" si="204"/>
        <v>244</v>
      </c>
      <c r="AP327" s="11">
        <f t="shared" si="205"/>
        <v>19084.5</v>
      </c>
      <c r="AQ327" s="11">
        <f t="shared" si="206"/>
        <v>7649</v>
      </c>
      <c r="AR327" s="11">
        <f t="shared" si="207"/>
        <v>502652.04</v>
      </c>
      <c r="AS327" s="8">
        <f t="shared" si="212"/>
        <v>14149363</v>
      </c>
      <c r="AT327" s="11">
        <f t="shared" si="208"/>
        <v>1182207835.2599998</v>
      </c>
      <c r="AU327" s="2" t="s">
        <v>70</v>
      </c>
      <c r="AV327" s="37">
        <f t="shared" si="209"/>
        <v>0</v>
      </c>
      <c r="AW327" s="37">
        <f t="shared" si="210"/>
        <v>0</v>
      </c>
      <c r="AX327" s="13"/>
      <c r="AY327" s="40"/>
      <c r="AZ327" s="40"/>
      <c r="BA327" s="13"/>
      <c r="BB327" s="40"/>
      <c r="BC327" s="40"/>
      <c r="BD327" s="13"/>
      <c r="BE327" s="40"/>
      <c r="BF327" s="40"/>
      <c r="BH327" s="41"/>
      <c r="BI327" s="43"/>
    </row>
    <row r="328" spans="1:61" x14ac:dyDescent="0.25">
      <c r="B328" s="2" t="s">
        <v>10</v>
      </c>
      <c r="C328" s="2">
        <v>2023</v>
      </c>
      <c r="D328" s="1">
        <f t="shared" ref="D328:S328" si="218">+D118+D97+D76+D55+D34+D13+D139+D160+D181+D202+D223+D244+D265+D286+D307</f>
        <v>1921391</v>
      </c>
      <c r="E328" s="1">
        <f t="shared" si="218"/>
        <v>112293718.17</v>
      </c>
      <c r="F328" s="1">
        <f t="shared" si="218"/>
        <v>1114719</v>
      </c>
      <c r="G328" s="1">
        <f t="shared" si="218"/>
        <v>65536764.460000008</v>
      </c>
      <c r="H328" s="1">
        <f t="shared" si="218"/>
        <v>230125</v>
      </c>
      <c r="I328" s="1">
        <f t="shared" si="218"/>
        <v>32922968.48</v>
      </c>
      <c r="J328" s="1">
        <f t="shared" si="218"/>
        <v>10192902</v>
      </c>
      <c r="K328" s="1">
        <f t="shared" si="218"/>
        <v>884885056.06000006</v>
      </c>
      <c r="L328" s="1">
        <f t="shared" si="218"/>
        <v>137258</v>
      </c>
      <c r="M328" s="1">
        <f t="shared" si="218"/>
        <v>20838758.469999999</v>
      </c>
      <c r="N328" s="1">
        <f t="shared" si="218"/>
        <v>311649</v>
      </c>
      <c r="O328" s="1">
        <f t="shared" si="218"/>
        <v>44620118.259999998</v>
      </c>
      <c r="P328" s="1">
        <f t="shared" si="218"/>
        <v>251</v>
      </c>
      <c r="Q328" s="1">
        <f t="shared" si="218"/>
        <v>20713.550000000003</v>
      </c>
      <c r="R328" s="1">
        <f t="shared" si="218"/>
        <v>8553</v>
      </c>
      <c r="S328" s="1">
        <f t="shared" si="218"/>
        <v>545145.59000000008</v>
      </c>
      <c r="T328" s="53">
        <f t="shared" si="190"/>
        <v>13916848</v>
      </c>
      <c r="U328" s="54">
        <f t="shared" si="191"/>
        <v>1161663243.04</v>
      </c>
      <c r="W328" s="66"/>
      <c r="X328" s="66"/>
      <c r="Z328" s="30">
        <f t="shared" si="192"/>
        <v>0</v>
      </c>
      <c r="AA328" s="30">
        <f t="shared" si="193"/>
        <v>0</v>
      </c>
      <c r="AB328" s="30">
        <f t="shared" si="194"/>
        <v>0</v>
      </c>
      <c r="AC328" s="32">
        <f t="shared" si="195"/>
        <v>0</v>
      </c>
      <c r="AD328" s="13"/>
      <c r="AE328" s="2" t="s">
        <v>10</v>
      </c>
      <c r="AF328" s="2">
        <v>2023</v>
      </c>
      <c r="AG328" s="1">
        <f t="shared" si="196"/>
        <v>3266235</v>
      </c>
      <c r="AH328" s="11">
        <f t="shared" si="197"/>
        <v>210753451.11000001</v>
      </c>
      <c r="AI328" s="1">
        <f t="shared" si="198"/>
        <v>10192902</v>
      </c>
      <c r="AJ328" s="11">
        <f t="shared" si="199"/>
        <v>884885056.06000006</v>
      </c>
      <c r="AK328" s="8">
        <f t="shared" si="200"/>
        <v>137258</v>
      </c>
      <c r="AL328" s="11">
        <f t="shared" si="201"/>
        <v>20838758.469999999</v>
      </c>
      <c r="AM328" s="8">
        <f t="shared" si="202"/>
        <v>311649</v>
      </c>
      <c r="AN328" s="11">
        <f t="shared" si="203"/>
        <v>44620118.259999998</v>
      </c>
      <c r="AO328" s="8">
        <f t="shared" si="204"/>
        <v>251</v>
      </c>
      <c r="AP328" s="11">
        <f t="shared" si="205"/>
        <v>20713.550000000003</v>
      </c>
      <c r="AQ328" s="11">
        <f t="shared" si="206"/>
        <v>8553</v>
      </c>
      <c r="AR328" s="11">
        <f t="shared" si="207"/>
        <v>545145.59000000008</v>
      </c>
      <c r="AS328" s="8">
        <f t="shared" si="212"/>
        <v>13916848</v>
      </c>
      <c r="AT328" s="11">
        <f t="shared" si="208"/>
        <v>1161663243.04</v>
      </c>
      <c r="AU328" s="2" t="s">
        <v>70</v>
      </c>
      <c r="AV328" s="37">
        <f t="shared" si="209"/>
        <v>0</v>
      </c>
      <c r="AW328" s="37">
        <f t="shared" si="210"/>
        <v>0</v>
      </c>
      <c r="AX328" s="13"/>
      <c r="AY328" s="40"/>
      <c r="AZ328" s="40"/>
      <c r="BA328" s="13"/>
      <c r="BB328" s="40"/>
      <c r="BC328" s="40"/>
      <c r="BD328" s="13"/>
      <c r="BE328" s="40"/>
      <c r="BF328" s="40"/>
      <c r="BH328" s="41"/>
      <c r="BI328" s="43"/>
    </row>
    <row r="329" spans="1:61" x14ac:dyDescent="0.25">
      <c r="B329" s="2" t="s">
        <v>11</v>
      </c>
      <c r="C329" s="2">
        <v>2023</v>
      </c>
      <c r="D329" s="1">
        <f t="shared" ref="D329:S329" si="219">+D119+D98+D77+D56+D35+D14+D140+D161+D182+D203+D224+D245+D266+D287+D308</f>
        <v>1842904</v>
      </c>
      <c r="E329" s="1">
        <f t="shared" si="219"/>
        <v>109546169.36</v>
      </c>
      <c r="F329" s="1">
        <f t="shared" si="219"/>
        <v>1050523</v>
      </c>
      <c r="G329" s="1">
        <f t="shared" si="219"/>
        <v>62703869.299999997</v>
      </c>
      <c r="H329" s="1">
        <f t="shared" si="219"/>
        <v>233325</v>
      </c>
      <c r="I329" s="1">
        <f t="shared" si="219"/>
        <v>34234890.980000004</v>
      </c>
      <c r="J329" s="1">
        <f t="shared" si="219"/>
        <v>9764797</v>
      </c>
      <c r="K329" s="1">
        <f t="shared" si="219"/>
        <v>871829809.99000001</v>
      </c>
      <c r="L329" s="1">
        <f t="shared" si="219"/>
        <v>132803</v>
      </c>
      <c r="M329" s="1">
        <f t="shared" si="219"/>
        <v>20470687.539999999</v>
      </c>
      <c r="N329" s="1">
        <f t="shared" si="219"/>
        <v>305430</v>
      </c>
      <c r="O329" s="1">
        <f t="shared" si="219"/>
        <v>44718331.43</v>
      </c>
      <c r="P329" s="1">
        <f t="shared" si="219"/>
        <v>1412</v>
      </c>
      <c r="Q329" s="1">
        <f t="shared" si="219"/>
        <v>281474.90000000002</v>
      </c>
      <c r="R329" s="1">
        <f t="shared" si="219"/>
        <v>9775</v>
      </c>
      <c r="S329" s="1">
        <f t="shared" si="219"/>
        <v>614118</v>
      </c>
      <c r="T329" s="53">
        <f t="shared" si="190"/>
        <v>13340969</v>
      </c>
      <c r="U329" s="54">
        <f t="shared" si="191"/>
        <v>1144399351.5</v>
      </c>
      <c r="W329" s="66"/>
      <c r="X329" s="66"/>
      <c r="Z329" s="30"/>
      <c r="AA329" s="30"/>
      <c r="AB329" s="31"/>
      <c r="AC329" s="32"/>
      <c r="AE329" s="2" t="s">
        <v>11</v>
      </c>
      <c r="AF329" s="2">
        <v>2023</v>
      </c>
      <c r="AG329" s="1">
        <f t="shared" si="196"/>
        <v>3126752</v>
      </c>
      <c r="AH329" s="11">
        <f t="shared" si="197"/>
        <v>206484929.63999999</v>
      </c>
      <c r="AI329" s="1">
        <f t="shared" si="198"/>
        <v>9764797</v>
      </c>
      <c r="AJ329" s="11">
        <f t="shared" si="199"/>
        <v>871829809.99000001</v>
      </c>
      <c r="AK329" s="8">
        <f t="shared" si="200"/>
        <v>132803</v>
      </c>
      <c r="AL329" s="11">
        <f t="shared" si="201"/>
        <v>20470687.539999999</v>
      </c>
      <c r="AM329" s="8">
        <f t="shared" si="202"/>
        <v>305430</v>
      </c>
      <c r="AN329" s="11">
        <f t="shared" si="203"/>
        <v>44718331.43</v>
      </c>
      <c r="AO329" s="8">
        <f t="shared" si="204"/>
        <v>1412</v>
      </c>
      <c r="AP329" s="11">
        <f t="shared" si="205"/>
        <v>281474.90000000002</v>
      </c>
      <c r="AQ329" s="11">
        <f t="shared" si="206"/>
        <v>9775</v>
      </c>
      <c r="AR329" s="11">
        <f t="shared" si="207"/>
        <v>614118</v>
      </c>
      <c r="AS329" s="8">
        <f t="shared" si="212"/>
        <v>13340969</v>
      </c>
      <c r="AT329" s="11">
        <f t="shared" si="208"/>
        <v>1144399351.5</v>
      </c>
      <c r="AU329" s="2" t="s">
        <v>70</v>
      </c>
      <c r="AV329" s="37">
        <f t="shared" si="209"/>
        <v>0</v>
      </c>
      <c r="AW329" s="37">
        <f t="shared" si="210"/>
        <v>0</v>
      </c>
      <c r="AX329" s="13"/>
      <c r="AY329" s="40"/>
      <c r="AZ329" s="40"/>
      <c r="BA329" s="13"/>
      <c r="BB329" s="40"/>
      <c r="BC329" s="40"/>
      <c r="BD329" s="13"/>
      <c r="BE329" s="40"/>
      <c r="BF329" s="40"/>
      <c r="BH329" s="41"/>
      <c r="BI329" s="43"/>
    </row>
    <row r="330" spans="1:61" x14ac:dyDescent="0.25">
      <c r="B330" s="2" t="s">
        <v>4</v>
      </c>
      <c r="C330" s="2">
        <v>2023</v>
      </c>
      <c r="D330" s="1">
        <f t="shared" ref="D330:S330" si="220">+D120+D99+D78+D57+D36+D15+D141+D162+D183+D204+D225+D246+D267+D288+D309</f>
        <v>1991686</v>
      </c>
      <c r="E330" s="1">
        <f t="shared" si="220"/>
        <v>118037658.81999999</v>
      </c>
      <c r="F330" s="1">
        <f t="shared" si="220"/>
        <v>1151124</v>
      </c>
      <c r="G330" s="1">
        <f t="shared" si="220"/>
        <v>68604698.400000006</v>
      </c>
      <c r="H330" s="1">
        <f t="shared" si="220"/>
        <v>248582</v>
      </c>
      <c r="I330" s="1">
        <f t="shared" si="220"/>
        <v>36448050.5</v>
      </c>
      <c r="J330" s="1">
        <f t="shared" si="220"/>
        <v>10609009</v>
      </c>
      <c r="K330" s="1">
        <f t="shared" si="220"/>
        <v>932293126.98000002</v>
      </c>
      <c r="L330" s="1">
        <f t="shared" si="220"/>
        <v>140067</v>
      </c>
      <c r="M330" s="1">
        <f t="shared" si="220"/>
        <v>21256745.789999999</v>
      </c>
      <c r="N330" s="1">
        <f t="shared" si="220"/>
        <v>326071</v>
      </c>
      <c r="O330" s="1">
        <f t="shared" si="220"/>
        <v>47863870.289999999</v>
      </c>
      <c r="P330" s="1">
        <f t="shared" si="220"/>
        <v>2556</v>
      </c>
      <c r="Q330" s="1">
        <f t="shared" si="220"/>
        <v>448935.66</v>
      </c>
      <c r="R330" s="1">
        <f t="shared" si="220"/>
        <v>12406</v>
      </c>
      <c r="S330" s="1">
        <f t="shared" si="220"/>
        <v>771748.64000000013</v>
      </c>
      <c r="T330" s="53">
        <f t="shared" si="190"/>
        <v>14481501</v>
      </c>
      <c r="U330" s="54">
        <f t="shared" si="191"/>
        <v>1225724835.0800004</v>
      </c>
      <c r="W330" s="66"/>
      <c r="X330" s="66"/>
      <c r="Z330" s="30"/>
      <c r="AA330" s="30"/>
      <c r="AB330" s="31"/>
      <c r="AC330" s="32"/>
      <c r="AE330" s="2" t="s">
        <v>4</v>
      </c>
      <c r="AF330" s="2">
        <v>2023</v>
      </c>
      <c r="AG330" s="1">
        <f t="shared" si="196"/>
        <v>3391392</v>
      </c>
      <c r="AH330" s="11">
        <f t="shared" si="197"/>
        <v>223090407.72</v>
      </c>
      <c r="AI330" s="1">
        <f t="shared" si="198"/>
        <v>10609009</v>
      </c>
      <c r="AJ330" s="11">
        <f t="shared" si="199"/>
        <v>932293126.98000002</v>
      </c>
      <c r="AK330" s="8">
        <f t="shared" si="200"/>
        <v>140067</v>
      </c>
      <c r="AL330" s="11">
        <f t="shared" si="201"/>
        <v>21256745.789999999</v>
      </c>
      <c r="AM330" s="8">
        <f t="shared" si="202"/>
        <v>326071</v>
      </c>
      <c r="AN330" s="11">
        <f t="shared" si="203"/>
        <v>47863870.289999999</v>
      </c>
      <c r="AO330" s="8">
        <f t="shared" si="204"/>
        <v>2556</v>
      </c>
      <c r="AP330" s="11">
        <f t="shared" si="205"/>
        <v>448935.66</v>
      </c>
      <c r="AQ330" s="11">
        <f t="shared" si="206"/>
        <v>12406</v>
      </c>
      <c r="AR330" s="11">
        <f t="shared" si="207"/>
        <v>771748.64000000013</v>
      </c>
      <c r="AS330" s="8">
        <f t="shared" si="212"/>
        <v>14481501</v>
      </c>
      <c r="AT330" s="11">
        <f t="shared" si="208"/>
        <v>1225724835.0800002</v>
      </c>
      <c r="AU330" s="2" t="s">
        <v>70</v>
      </c>
      <c r="AV330" s="37">
        <f t="shared" si="209"/>
        <v>0</v>
      </c>
      <c r="AW330" s="37">
        <f t="shared" si="210"/>
        <v>0</v>
      </c>
      <c r="AX330" s="13"/>
      <c r="AY330" s="40"/>
      <c r="AZ330" s="40"/>
      <c r="BA330" s="13"/>
      <c r="BB330" s="40"/>
      <c r="BC330" s="40"/>
      <c r="BD330" s="13"/>
      <c r="BE330" s="40"/>
      <c r="BF330" s="40"/>
      <c r="BH330" s="41"/>
      <c r="BI330" s="43"/>
    </row>
    <row r="331" spans="1:61" x14ac:dyDescent="0.25">
      <c r="B331" s="2" t="s">
        <v>28</v>
      </c>
      <c r="C331" s="2">
        <v>2023</v>
      </c>
      <c r="D331" s="1">
        <f t="shared" ref="D331:S331" si="221">+D121+D100+D79+D58+D37+D16+D142+D163+D184+D205+D226+D247+D268+D289+D310</f>
        <v>1849814</v>
      </c>
      <c r="E331" s="1">
        <f t="shared" si="221"/>
        <v>109652050.14999998</v>
      </c>
      <c r="F331" s="1">
        <f t="shared" si="221"/>
        <v>1085299</v>
      </c>
      <c r="G331" s="1">
        <f t="shared" si="221"/>
        <v>64488385.32</v>
      </c>
      <c r="H331" s="1">
        <f t="shared" si="221"/>
        <v>232746</v>
      </c>
      <c r="I331" s="1">
        <f t="shared" si="221"/>
        <v>34141208.989999995</v>
      </c>
      <c r="J331" s="1">
        <f t="shared" si="221"/>
        <v>9859302</v>
      </c>
      <c r="K331" s="1">
        <f t="shared" si="221"/>
        <v>861812176.22000003</v>
      </c>
      <c r="L331" s="1">
        <f t="shared" si="221"/>
        <v>124647</v>
      </c>
      <c r="M331" s="1">
        <f t="shared" si="221"/>
        <v>19088659.009999998</v>
      </c>
      <c r="N331" s="1">
        <f t="shared" si="221"/>
        <v>300255</v>
      </c>
      <c r="O331" s="1">
        <f t="shared" si="221"/>
        <v>44505349.219999999</v>
      </c>
      <c r="P331" s="1">
        <f t="shared" si="221"/>
        <v>2004</v>
      </c>
      <c r="Q331" s="1">
        <f t="shared" si="221"/>
        <v>327521.09999999998</v>
      </c>
      <c r="R331" s="1">
        <f t="shared" si="221"/>
        <v>14266</v>
      </c>
      <c r="S331" s="1">
        <f t="shared" si="221"/>
        <v>847843.71</v>
      </c>
      <c r="T331" s="53">
        <f t="shared" si="190"/>
        <v>13468333</v>
      </c>
      <c r="U331" s="54">
        <f t="shared" si="191"/>
        <v>1134863193.72</v>
      </c>
      <c r="W331" s="66"/>
      <c r="X331" s="66"/>
      <c r="Z331" s="30"/>
      <c r="AA331" s="30"/>
      <c r="AB331" s="31"/>
      <c r="AC331" s="32"/>
      <c r="AE331" s="2" t="s">
        <v>28</v>
      </c>
      <c r="AF331" s="2">
        <v>2023</v>
      </c>
      <c r="AG331" s="1">
        <f t="shared" si="196"/>
        <v>3167859</v>
      </c>
      <c r="AH331" s="11">
        <f t="shared" si="197"/>
        <v>208281644.45999998</v>
      </c>
      <c r="AI331" s="1">
        <f t="shared" si="198"/>
        <v>9859302</v>
      </c>
      <c r="AJ331" s="11">
        <f t="shared" si="199"/>
        <v>861812176.22000003</v>
      </c>
      <c r="AK331" s="8">
        <f t="shared" si="200"/>
        <v>124647</v>
      </c>
      <c r="AL331" s="11">
        <f t="shared" si="201"/>
        <v>19088659.009999998</v>
      </c>
      <c r="AM331" s="8">
        <f t="shared" si="202"/>
        <v>300255</v>
      </c>
      <c r="AN331" s="11">
        <f t="shared" si="203"/>
        <v>44505349.219999999</v>
      </c>
      <c r="AO331" s="8">
        <f t="shared" si="204"/>
        <v>2004</v>
      </c>
      <c r="AP331" s="11">
        <f t="shared" si="205"/>
        <v>327521.09999999998</v>
      </c>
      <c r="AQ331" s="11">
        <f t="shared" si="206"/>
        <v>14266</v>
      </c>
      <c r="AR331" s="11">
        <f t="shared" si="207"/>
        <v>847843.71</v>
      </c>
      <c r="AS331" s="8">
        <f t="shared" si="212"/>
        <v>13468333</v>
      </c>
      <c r="AT331" s="11">
        <f t="shared" si="208"/>
        <v>1134863193.72</v>
      </c>
      <c r="AU331" s="2" t="s">
        <v>70</v>
      </c>
      <c r="AV331" s="37">
        <f t="shared" si="209"/>
        <v>0</v>
      </c>
      <c r="AW331" s="37">
        <f t="shared" si="210"/>
        <v>0</v>
      </c>
      <c r="AX331" s="13"/>
      <c r="AY331" s="40"/>
      <c r="AZ331" s="40"/>
      <c r="BA331" s="13"/>
      <c r="BB331" s="40"/>
      <c r="BC331" s="40"/>
      <c r="BD331" s="13"/>
      <c r="BE331" s="40"/>
      <c r="BF331" s="40"/>
      <c r="BH331" s="41"/>
      <c r="BI331" s="43"/>
    </row>
    <row r="332" spans="1:61" x14ac:dyDescent="0.25">
      <c r="B332" s="2" t="s">
        <v>29</v>
      </c>
      <c r="C332" s="2">
        <v>2023</v>
      </c>
      <c r="D332" s="1">
        <f t="shared" ref="D332:S332" si="222">+D122+D101+D80+D59+D38+D17+D143+D164+D185+D206+D227+D248+D269+D290+D311</f>
        <v>2096939</v>
      </c>
      <c r="E332" s="1">
        <f t="shared" si="222"/>
        <v>121547653.86</v>
      </c>
      <c r="F332" s="1">
        <f t="shared" si="222"/>
        <v>1256680</v>
      </c>
      <c r="G332" s="1">
        <f t="shared" si="222"/>
        <v>74623591.879999995</v>
      </c>
      <c r="H332" s="1">
        <f t="shared" si="222"/>
        <v>265911</v>
      </c>
      <c r="I332" s="1">
        <f t="shared" si="222"/>
        <v>37672886.240000002</v>
      </c>
      <c r="J332" s="1">
        <f t="shared" si="222"/>
        <v>11351929</v>
      </c>
      <c r="K332" s="1">
        <f t="shared" si="222"/>
        <v>976939026.02999997</v>
      </c>
      <c r="L332" s="1">
        <f t="shared" si="222"/>
        <v>140653</v>
      </c>
      <c r="M332" s="1">
        <f t="shared" si="222"/>
        <v>20644373.060000002</v>
      </c>
      <c r="N332" s="1">
        <f t="shared" si="222"/>
        <v>349413</v>
      </c>
      <c r="O332" s="1">
        <f t="shared" si="222"/>
        <v>50512713.159999996</v>
      </c>
      <c r="P332" s="1">
        <f t="shared" si="222"/>
        <v>2048</v>
      </c>
      <c r="Q332" s="1">
        <f t="shared" si="222"/>
        <v>382720.99000000005</v>
      </c>
      <c r="R332" s="1">
        <f t="shared" si="222"/>
        <v>21649</v>
      </c>
      <c r="S332" s="1">
        <f t="shared" si="222"/>
        <v>1227238.24</v>
      </c>
      <c r="T332" s="53">
        <f t="shared" si="190"/>
        <v>15485222</v>
      </c>
      <c r="U332" s="54">
        <f t="shared" si="191"/>
        <v>1283550203.4599998</v>
      </c>
      <c r="W332" s="66"/>
      <c r="X332" s="66"/>
      <c r="Z332" s="30"/>
      <c r="AA332" s="30"/>
      <c r="AB332" s="31"/>
      <c r="AC332" s="32"/>
      <c r="AE332" s="2" t="s">
        <v>29</v>
      </c>
      <c r="AF332" s="2">
        <v>2023</v>
      </c>
      <c r="AG332" s="1">
        <f t="shared" si="196"/>
        <v>3619530</v>
      </c>
      <c r="AH332" s="11">
        <f t="shared" si="197"/>
        <v>233844131.97999999</v>
      </c>
      <c r="AI332" s="1">
        <f t="shared" si="198"/>
        <v>11351929</v>
      </c>
      <c r="AJ332" s="11">
        <f t="shared" si="199"/>
        <v>976939026.02999997</v>
      </c>
      <c r="AK332" s="8">
        <f t="shared" si="200"/>
        <v>140653</v>
      </c>
      <c r="AL332" s="11">
        <f t="shared" si="201"/>
        <v>20644373.060000002</v>
      </c>
      <c r="AM332" s="8">
        <f t="shared" si="202"/>
        <v>349413</v>
      </c>
      <c r="AN332" s="11">
        <f t="shared" si="203"/>
        <v>50512713.159999996</v>
      </c>
      <c r="AO332" s="8">
        <f t="shared" si="204"/>
        <v>2048</v>
      </c>
      <c r="AP332" s="11">
        <f t="shared" si="205"/>
        <v>382720.99000000005</v>
      </c>
      <c r="AQ332" s="11">
        <f t="shared" si="206"/>
        <v>21649</v>
      </c>
      <c r="AR332" s="11">
        <f t="shared" si="207"/>
        <v>1227238.24</v>
      </c>
      <c r="AS332" s="8">
        <f t="shared" si="212"/>
        <v>15485222</v>
      </c>
      <c r="AT332" s="11">
        <f t="shared" si="208"/>
        <v>1283550203.46</v>
      </c>
      <c r="AU332" s="2" t="s">
        <v>70</v>
      </c>
      <c r="AV332" s="37">
        <f t="shared" si="209"/>
        <v>0</v>
      </c>
      <c r="AW332" s="37">
        <f t="shared" si="210"/>
        <v>0</v>
      </c>
      <c r="AX332" s="13"/>
      <c r="AY332" s="40"/>
      <c r="AZ332" s="40"/>
      <c r="BA332" s="13"/>
      <c r="BB332" s="40"/>
      <c r="BC332" s="40"/>
      <c r="BD332" s="13"/>
      <c r="BE332" s="40"/>
      <c r="BF332" s="40"/>
    </row>
    <row r="333" spans="1:61" x14ac:dyDescent="0.25">
      <c r="B333" s="2" t="s">
        <v>30</v>
      </c>
      <c r="C333" s="2">
        <v>2023</v>
      </c>
      <c r="D333" s="1">
        <f t="shared" ref="D333:S333" si="223">+D123+D102+D81+D60+D39+D18+D144+D165+D186+D207+D228+D249+D270+D291+D312</f>
        <v>1902942</v>
      </c>
      <c r="E333" s="1">
        <f t="shared" si="223"/>
        <v>113406469.59</v>
      </c>
      <c r="F333" s="1">
        <f t="shared" si="223"/>
        <v>1166700</v>
      </c>
      <c r="G333" s="1">
        <f t="shared" si="223"/>
        <v>71479112.579999983</v>
      </c>
      <c r="H333" s="1">
        <f t="shared" si="223"/>
        <v>252881</v>
      </c>
      <c r="I333" s="1">
        <f t="shared" si="223"/>
        <v>35872158.519999996</v>
      </c>
      <c r="J333" s="1">
        <f t="shared" si="223"/>
        <v>10619217</v>
      </c>
      <c r="K333" s="1">
        <f t="shared" si="223"/>
        <v>931302513.17999995</v>
      </c>
      <c r="L333" s="1">
        <f t="shared" si="223"/>
        <v>132146</v>
      </c>
      <c r="M333" s="1">
        <f t="shared" si="223"/>
        <v>19718035.309999999</v>
      </c>
      <c r="N333" s="1">
        <f t="shared" si="223"/>
        <v>330048</v>
      </c>
      <c r="O333" s="1">
        <f t="shared" si="223"/>
        <v>48859078.570000008</v>
      </c>
      <c r="P333" s="1">
        <f t="shared" si="223"/>
        <v>1805</v>
      </c>
      <c r="Q333" s="1">
        <f t="shared" si="223"/>
        <v>341237.2</v>
      </c>
      <c r="R333" s="1">
        <f t="shared" si="223"/>
        <v>24578</v>
      </c>
      <c r="S333" s="1">
        <f t="shared" si="223"/>
        <v>1367162.65</v>
      </c>
      <c r="T333" s="53">
        <f t="shared" si="190"/>
        <v>14430317</v>
      </c>
      <c r="U333" s="54">
        <f t="shared" si="191"/>
        <v>1222345767.5999999</v>
      </c>
      <c r="W333" s="66"/>
      <c r="X333" s="66"/>
      <c r="Z333" s="30"/>
      <c r="AA333" s="30"/>
      <c r="AB333" s="31"/>
      <c r="AC333" s="32"/>
      <c r="AE333" s="2" t="s">
        <v>30</v>
      </c>
      <c r="AF333" s="2">
        <v>2023</v>
      </c>
      <c r="AG333" s="1">
        <f t="shared" si="196"/>
        <v>3322523</v>
      </c>
      <c r="AH333" s="11">
        <f t="shared" si="197"/>
        <v>220757740.69</v>
      </c>
      <c r="AI333" s="1">
        <f t="shared" si="198"/>
        <v>10619217</v>
      </c>
      <c r="AJ333" s="11">
        <f t="shared" si="199"/>
        <v>931302513.17999995</v>
      </c>
      <c r="AK333" s="8">
        <f t="shared" si="200"/>
        <v>132146</v>
      </c>
      <c r="AL333" s="11">
        <f t="shared" si="201"/>
        <v>19718035.309999999</v>
      </c>
      <c r="AM333" s="8">
        <f t="shared" si="202"/>
        <v>330048</v>
      </c>
      <c r="AN333" s="11">
        <f t="shared" si="203"/>
        <v>48859078.570000008</v>
      </c>
      <c r="AO333" s="8">
        <f t="shared" si="204"/>
        <v>1805</v>
      </c>
      <c r="AP333" s="11">
        <f t="shared" si="205"/>
        <v>341237.2</v>
      </c>
      <c r="AQ333" s="11">
        <f t="shared" si="206"/>
        <v>24578</v>
      </c>
      <c r="AR333" s="11">
        <f t="shared" si="207"/>
        <v>1367162.65</v>
      </c>
      <c r="AS333" s="8">
        <f t="shared" si="212"/>
        <v>14430317</v>
      </c>
      <c r="AT333" s="11">
        <f t="shared" si="208"/>
        <v>1222345767.6000001</v>
      </c>
      <c r="AU333" s="2" t="s">
        <v>70</v>
      </c>
      <c r="AV333" s="37">
        <f t="shared" si="209"/>
        <v>0</v>
      </c>
      <c r="AW333" s="37">
        <f t="shared" si="210"/>
        <v>0</v>
      </c>
      <c r="AX333" s="13"/>
      <c r="AY333" s="40"/>
      <c r="AZ333" s="40"/>
      <c r="BA333" s="13"/>
      <c r="BB333" s="40"/>
      <c r="BC333" s="40"/>
      <c r="BD333" s="13"/>
      <c r="BE333" s="40"/>
      <c r="BF333" s="40"/>
    </row>
    <row r="334" spans="1:61" x14ac:dyDescent="0.25">
      <c r="B334" s="2" t="s">
        <v>31</v>
      </c>
      <c r="C334" s="2">
        <v>2023</v>
      </c>
      <c r="D334" s="1">
        <f t="shared" ref="D334:S334" si="224">+D124+D103+D82+D61+D40+D19+D145+D166+D187+D208+D229+D250+D271+D292+D313</f>
        <v>1855729</v>
      </c>
      <c r="E334" s="1">
        <f t="shared" si="224"/>
        <v>112579073.38</v>
      </c>
      <c r="F334" s="1">
        <f t="shared" si="224"/>
        <v>1143222</v>
      </c>
      <c r="G334" s="1">
        <f t="shared" si="224"/>
        <v>71245185.129999995</v>
      </c>
      <c r="H334" s="1">
        <f t="shared" si="224"/>
        <v>262520</v>
      </c>
      <c r="I334" s="1">
        <f t="shared" si="224"/>
        <v>38239021.269999996</v>
      </c>
      <c r="J334" s="1">
        <f t="shared" si="224"/>
        <v>10203614</v>
      </c>
      <c r="K334" s="1">
        <f t="shared" si="224"/>
        <v>913371550.88000011</v>
      </c>
      <c r="L334" s="1">
        <f t="shared" si="224"/>
        <v>130709</v>
      </c>
      <c r="M334" s="1">
        <f t="shared" si="224"/>
        <v>20353414</v>
      </c>
      <c r="N334" s="1">
        <f t="shared" si="224"/>
        <v>326604</v>
      </c>
      <c r="O334" s="1">
        <f t="shared" si="224"/>
        <v>49072885.510000005</v>
      </c>
      <c r="P334" s="1">
        <f t="shared" si="224"/>
        <v>1896</v>
      </c>
      <c r="Q334" s="1">
        <f t="shared" si="224"/>
        <v>314162.18</v>
      </c>
      <c r="R334" s="1">
        <f t="shared" si="224"/>
        <v>29194</v>
      </c>
      <c r="S334" s="1">
        <f t="shared" si="224"/>
        <v>1677358.17</v>
      </c>
      <c r="T334" s="53">
        <f t="shared" si="190"/>
        <v>13953488</v>
      </c>
      <c r="U334" s="54">
        <f t="shared" si="191"/>
        <v>1206852650.52</v>
      </c>
      <c r="W334" s="66"/>
      <c r="X334" s="66"/>
      <c r="Z334" s="30"/>
      <c r="AA334" s="30"/>
      <c r="AB334" s="31"/>
      <c r="AC334" s="32"/>
      <c r="AE334" s="2" t="s">
        <v>31</v>
      </c>
      <c r="AF334" s="2">
        <v>2023</v>
      </c>
      <c r="AG334" s="1">
        <f t="shared" si="196"/>
        <v>3261471</v>
      </c>
      <c r="AH334" s="11">
        <f t="shared" si="197"/>
        <v>222063279.77999997</v>
      </c>
      <c r="AI334" s="1">
        <f t="shared" si="198"/>
        <v>10203614</v>
      </c>
      <c r="AJ334" s="11">
        <f t="shared" si="199"/>
        <v>913371550.88000011</v>
      </c>
      <c r="AK334" s="8">
        <f t="shared" si="200"/>
        <v>130709</v>
      </c>
      <c r="AL334" s="11">
        <f t="shared" si="201"/>
        <v>20353414</v>
      </c>
      <c r="AM334" s="8">
        <f t="shared" si="202"/>
        <v>326604</v>
      </c>
      <c r="AN334" s="11">
        <f t="shared" si="203"/>
        <v>49072885.510000005</v>
      </c>
      <c r="AO334" s="8">
        <f t="shared" si="204"/>
        <v>1896</v>
      </c>
      <c r="AP334" s="11">
        <f t="shared" si="205"/>
        <v>314162.18</v>
      </c>
      <c r="AQ334" s="11">
        <f t="shared" si="206"/>
        <v>29194</v>
      </c>
      <c r="AR334" s="11">
        <f t="shared" si="207"/>
        <v>1677358.17</v>
      </c>
      <c r="AS334" s="8">
        <f t="shared" si="212"/>
        <v>13953488</v>
      </c>
      <c r="AT334" s="11">
        <f t="shared" si="208"/>
        <v>1206852650.5200002</v>
      </c>
      <c r="AU334" s="2" t="s">
        <v>70</v>
      </c>
      <c r="AV334" s="37">
        <f t="shared" si="209"/>
        <v>0</v>
      </c>
      <c r="AW334" s="37">
        <f t="shared" si="210"/>
        <v>0</v>
      </c>
      <c r="AX334" s="13"/>
      <c r="AY334" s="40"/>
      <c r="AZ334" s="40"/>
      <c r="BA334" s="13"/>
      <c r="BB334" s="40"/>
      <c r="BC334" s="40"/>
      <c r="BD334" s="13"/>
      <c r="BE334" s="40"/>
      <c r="BF334" s="40"/>
    </row>
    <row r="335" spans="1:61" x14ac:dyDescent="0.25">
      <c r="AH335" s="9"/>
      <c r="AJ335" s="9"/>
      <c r="AL335" s="9"/>
      <c r="AN335" s="9"/>
      <c r="AO335" s="9"/>
      <c r="AP335" s="9"/>
      <c r="AQ335" s="9"/>
      <c r="AR335" s="9"/>
      <c r="AT335" s="9"/>
    </row>
    <row r="336" spans="1:61" x14ac:dyDescent="0.25">
      <c r="B336" s="3" t="s">
        <v>12</v>
      </c>
      <c r="C336" s="3"/>
      <c r="D336" s="4">
        <f t="shared" ref="D336:O336" si="225">SUM(D323:D335)</f>
        <v>22395849</v>
      </c>
      <c r="E336" s="12">
        <f t="shared" si="225"/>
        <v>1325029905.6500001</v>
      </c>
      <c r="F336" s="4">
        <f t="shared" si="225"/>
        <v>12871487</v>
      </c>
      <c r="G336" s="12">
        <f t="shared" si="225"/>
        <v>774158890.63999999</v>
      </c>
      <c r="H336" s="4">
        <f t="shared" si="225"/>
        <v>2789391</v>
      </c>
      <c r="I336" s="12">
        <f t="shared" si="225"/>
        <v>404907559.29999995</v>
      </c>
      <c r="J336" s="4">
        <f t="shared" si="225"/>
        <v>120562012</v>
      </c>
      <c r="K336" s="12">
        <f t="shared" si="225"/>
        <v>10500181855.349998</v>
      </c>
      <c r="L336" s="4">
        <f t="shared" si="225"/>
        <v>1602749</v>
      </c>
      <c r="M336" s="12">
        <f t="shared" si="225"/>
        <v>241511432.16999999</v>
      </c>
      <c r="N336" s="4">
        <f t="shared" si="225"/>
        <v>3695128</v>
      </c>
      <c r="O336" s="12">
        <f t="shared" si="225"/>
        <v>532445388.22999996</v>
      </c>
      <c r="P336" s="4">
        <f t="shared" ref="P336:U336" si="226">SUM(P323:P335)</f>
        <v>13176</v>
      </c>
      <c r="Q336" s="12">
        <f t="shared" si="226"/>
        <v>2223146.0500000003</v>
      </c>
      <c r="R336" s="4">
        <f t="shared" si="226"/>
        <v>152655</v>
      </c>
      <c r="S336" s="12">
        <f t="shared" si="226"/>
        <v>9108546.8100000005</v>
      </c>
      <c r="T336" s="4">
        <f t="shared" si="226"/>
        <v>164082447</v>
      </c>
      <c r="U336" s="12">
        <f t="shared" si="226"/>
        <v>13789566724.199999</v>
      </c>
      <c r="Z336" s="12">
        <f>AVERAGE(Z323:Z335)</f>
        <v>1610018.84</v>
      </c>
      <c r="AA336" s="12">
        <f t="shared" ref="AA336:AC336" si="227">AVERAGE(AA323:AA335)</f>
        <v>0.16785960871253058</v>
      </c>
      <c r="AB336" s="12">
        <f t="shared" si="227"/>
        <v>2263951.5991666666</v>
      </c>
      <c r="AC336" s="16">
        <f t="shared" si="227"/>
        <v>2.7336704268301625E-3</v>
      </c>
      <c r="AE336" s="3" t="s">
        <v>12</v>
      </c>
      <c r="AF336" s="3"/>
      <c r="AG336" s="4">
        <f t="shared" ref="AG336:AT336" si="228">SUM(AG323:AG335)</f>
        <v>38056727</v>
      </c>
      <c r="AH336" s="12">
        <f t="shared" si="228"/>
        <v>2504096355.5900002</v>
      </c>
      <c r="AI336" s="4">
        <f t="shared" si="228"/>
        <v>120562012</v>
      </c>
      <c r="AJ336" s="12">
        <f t="shared" si="228"/>
        <v>10500181855.349998</v>
      </c>
      <c r="AK336" s="4">
        <f t="shared" si="228"/>
        <v>1602749</v>
      </c>
      <c r="AL336" s="12">
        <f t="shared" si="228"/>
        <v>241511432.16999999</v>
      </c>
      <c r="AM336" s="4">
        <f t="shared" si="228"/>
        <v>3695128</v>
      </c>
      <c r="AN336" s="12">
        <f t="shared" si="228"/>
        <v>532445388.22999996</v>
      </c>
      <c r="AO336" s="4">
        <f t="shared" si="228"/>
        <v>13176</v>
      </c>
      <c r="AP336" s="12">
        <f t="shared" si="228"/>
        <v>2223146.0500000003</v>
      </c>
      <c r="AQ336" s="4">
        <f t="shared" si="228"/>
        <v>152655</v>
      </c>
      <c r="AR336" s="12">
        <f t="shared" si="228"/>
        <v>9108546.8100000005</v>
      </c>
      <c r="AS336" s="4">
        <f t="shared" si="228"/>
        <v>164082447</v>
      </c>
      <c r="AT336" s="12">
        <f t="shared" si="228"/>
        <v>13789566724.199999</v>
      </c>
    </row>
    <row r="337" spans="1:55" x14ac:dyDescent="0.25">
      <c r="D337" s="39"/>
      <c r="E337" s="9">
        <f>E329+G329+I329</f>
        <v>206484929.63999999</v>
      </c>
      <c r="H337" s="68"/>
      <c r="J337" s="46" t="str">
        <f>+$A$318</f>
        <v>Aforo e Ingreso - ACUMULADO</v>
      </c>
      <c r="K337" s="9" t="s">
        <v>84</v>
      </c>
      <c r="L337" s="15">
        <f>AVERAGE(L323:L334)</f>
        <v>133562.41666666666</v>
      </c>
      <c r="M337" s="28">
        <f>AVERAGE(M323:M334)</f>
        <v>20125952.680833332</v>
      </c>
      <c r="S337" s="73" t="s">
        <v>99</v>
      </c>
      <c r="T337" s="74">
        <f>T336/365</f>
        <v>449540.95068493148</v>
      </c>
      <c r="U337" s="73">
        <f>U336/365</f>
        <v>37779634.860821918</v>
      </c>
    </row>
    <row r="338" spans="1:55" x14ac:dyDescent="0.25">
      <c r="A338" s="67" t="s">
        <v>14</v>
      </c>
      <c r="J338" s="46" t="str">
        <f>+$A$318</f>
        <v>Aforo e Ingreso - ACUMULADO</v>
      </c>
      <c r="K338" s="9" t="s">
        <v>85</v>
      </c>
      <c r="L338" s="26">
        <f>+L337/$L$337</f>
        <v>1</v>
      </c>
      <c r="M338" s="26">
        <f>+M337/$M$337</f>
        <v>1</v>
      </c>
    </row>
    <row r="339" spans="1:55" x14ac:dyDescent="0.25">
      <c r="A339" s="67" t="s">
        <v>47</v>
      </c>
      <c r="F339" s="9">
        <f>+D336+F336+H336</f>
        <v>38056727</v>
      </c>
      <c r="G339" s="9">
        <f>+E336+G336+I336</f>
        <v>2504096355.5900002</v>
      </c>
      <c r="J339" s="39">
        <f>+J336+L336+N336+P336+R336</f>
        <v>126025720</v>
      </c>
      <c r="K339" s="9">
        <f>+K336+M336+O336+Q336+S336</f>
        <v>11285470368.609997</v>
      </c>
    </row>
    <row r="340" spans="1:55" x14ac:dyDescent="0.25">
      <c r="B340" s="5"/>
      <c r="F340" s="39"/>
      <c r="G340" s="39"/>
      <c r="J340" s="9"/>
    </row>
    <row r="341" spans="1:55" ht="33" customHeight="1" x14ac:dyDescent="0.25">
      <c r="D341" s="89" t="s">
        <v>53</v>
      </c>
      <c r="E341" s="90"/>
      <c r="F341" s="89" t="s">
        <v>54</v>
      </c>
      <c r="G341" s="90"/>
      <c r="H341" s="89" t="s">
        <v>18</v>
      </c>
      <c r="I341" s="90"/>
      <c r="J341" s="89" t="s">
        <v>91</v>
      </c>
      <c r="K341" s="90"/>
      <c r="L341" s="89" t="s">
        <v>52</v>
      </c>
      <c r="M341" s="90"/>
      <c r="N341" s="89" t="s">
        <v>13</v>
      </c>
      <c r="O341" s="90"/>
      <c r="P341" s="89" t="s">
        <v>34</v>
      </c>
      <c r="Q341" s="90"/>
      <c r="R341" s="89" t="s">
        <v>87</v>
      </c>
      <c r="S341" s="90"/>
      <c r="T341" s="89" t="s">
        <v>43</v>
      </c>
      <c r="U341" s="93"/>
      <c r="AD341" s="25"/>
    </row>
    <row r="342" spans="1:55" x14ac:dyDescent="0.25">
      <c r="A342" s="6"/>
      <c r="B342" s="7" t="s">
        <v>0</v>
      </c>
      <c r="C342" s="7" t="s">
        <v>1</v>
      </c>
      <c r="D342" s="7" t="s">
        <v>2</v>
      </c>
      <c r="E342" s="10" t="s">
        <v>3</v>
      </c>
      <c r="F342" s="7" t="s">
        <v>2</v>
      </c>
      <c r="G342" s="10" t="s">
        <v>3</v>
      </c>
      <c r="H342" s="7" t="s">
        <v>2</v>
      </c>
      <c r="I342" s="10" t="s">
        <v>3</v>
      </c>
      <c r="J342" s="7" t="s">
        <v>2</v>
      </c>
      <c r="K342" s="10" t="s">
        <v>3</v>
      </c>
      <c r="L342" s="7" t="s">
        <v>2</v>
      </c>
      <c r="M342" s="10" t="s">
        <v>3</v>
      </c>
      <c r="N342" s="7" t="s">
        <v>2</v>
      </c>
      <c r="O342" s="10" t="s">
        <v>3</v>
      </c>
      <c r="P342" s="7" t="s">
        <v>2</v>
      </c>
      <c r="Q342" s="10" t="s">
        <v>3</v>
      </c>
      <c r="R342" s="7" t="s">
        <v>2</v>
      </c>
      <c r="S342" s="10" t="s">
        <v>3</v>
      </c>
      <c r="T342" s="7" t="s">
        <v>2</v>
      </c>
      <c r="U342" s="10" t="s">
        <v>3</v>
      </c>
      <c r="AD342" s="25"/>
    </row>
    <row r="343" spans="1:55" x14ac:dyDescent="0.25">
      <c r="F343"/>
      <c r="J343" s="9"/>
      <c r="P343"/>
      <c r="R343"/>
      <c r="AD343" s="25"/>
    </row>
    <row r="344" spans="1:55" x14ac:dyDescent="0.25">
      <c r="B344" s="2" t="s">
        <v>5</v>
      </c>
      <c r="C344" s="2">
        <v>2023</v>
      </c>
      <c r="D344" s="1">
        <v>390251</v>
      </c>
      <c r="E344" s="11">
        <v>14761747.469999999</v>
      </c>
      <c r="F344" s="1">
        <v>1238998</v>
      </c>
      <c r="G344" s="11">
        <v>236928650</v>
      </c>
      <c r="H344" s="1">
        <v>110186</v>
      </c>
      <c r="I344" s="11">
        <v>5634867</v>
      </c>
      <c r="J344" s="1">
        <v>155700</v>
      </c>
      <c r="K344" s="11">
        <v>6760408</v>
      </c>
      <c r="L344" s="1">
        <v>1431740</v>
      </c>
      <c r="M344" s="11">
        <v>215693688</v>
      </c>
      <c r="N344" s="8">
        <v>454449</v>
      </c>
      <c r="O344" s="11">
        <v>44340023</v>
      </c>
      <c r="P344" s="8">
        <v>19020</v>
      </c>
      <c r="Q344" s="11">
        <v>2051900</v>
      </c>
      <c r="R344" s="8">
        <v>445257</v>
      </c>
      <c r="S344" s="11">
        <v>31296531</v>
      </c>
      <c r="T344" s="8">
        <f>+N344+H344+F344+D344+P344+L344+R344+J344</f>
        <v>4245601</v>
      </c>
      <c r="U344" s="11">
        <f t="shared" ref="U344:U355" si="229">+O344+I344+G344+E344+Q344+M344+S344+K344</f>
        <v>557467814.47000003</v>
      </c>
      <c r="AX344" s="13"/>
      <c r="AY344" s="40"/>
      <c r="AZ344" s="40"/>
      <c r="BA344" s="13"/>
      <c r="BB344" s="41"/>
      <c r="BC344" s="42"/>
    </row>
    <row r="345" spans="1:55" x14ac:dyDescent="0.25">
      <c r="B345" s="2" t="s">
        <v>6</v>
      </c>
      <c r="C345" s="2">
        <v>2023</v>
      </c>
      <c r="D345" s="1">
        <v>391845</v>
      </c>
      <c r="E345" s="11">
        <v>15241312.560000001</v>
      </c>
      <c r="F345" s="1">
        <v>1167782</v>
      </c>
      <c r="G345" s="11">
        <v>229711543</v>
      </c>
      <c r="H345" s="1">
        <v>97236</v>
      </c>
      <c r="I345" s="11">
        <v>5007560</v>
      </c>
      <c r="J345" s="1">
        <v>147808</v>
      </c>
      <c r="K345" s="11">
        <v>6481250</v>
      </c>
      <c r="L345" s="1">
        <v>1286717</v>
      </c>
      <c r="M345" s="11">
        <v>194734183</v>
      </c>
      <c r="N345" s="8">
        <v>428652</v>
      </c>
      <c r="O345" s="11">
        <v>43214127</v>
      </c>
      <c r="P345" s="8">
        <v>17344</v>
      </c>
      <c r="Q345" s="11">
        <v>1960031</v>
      </c>
      <c r="R345" s="8">
        <v>415380</v>
      </c>
      <c r="S345" s="11">
        <v>29262136</v>
      </c>
      <c r="T345" s="8">
        <f t="shared" ref="T345:T355" si="230">+N345+H345+F345+D345+P345+L345+R345+J345</f>
        <v>3952764</v>
      </c>
      <c r="U345" s="11">
        <f t="shared" si="229"/>
        <v>525612142.56</v>
      </c>
      <c r="AX345" s="13"/>
      <c r="AY345" s="40"/>
      <c r="AZ345" s="40"/>
      <c r="BA345" s="13"/>
      <c r="BB345" s="41"/>
      <c r="BC345" s="42"/>
    </row>
    <row r="346" spans="1:55" x14ac:dyDescent="0.25">
      <c r="B346" s="2" t="s">
        <v>7</v>
      </c>
      <c r="C346" s="2">
        <v>2023</v>
      </c>
      <c r="D346" s="1">
        <v>442456</v>
      </c>
      <c r="E346" s="11">
        <v>17799832</v>
      </c>
      <c r="F346" s="1">
        <v>1341782</v>
      </c>
      <c r="G346" s="11">
        <v>271493021</v>
      </c>
      <c r="H346" s="1">
        <v>112437</v>
      </c>
      <c r="I346" s="11">
        <v>5869176</v>
      </c>
      <c r="J346" s="1">
        <v>164357</v>
      </c>
      <c r="K346" s="11">
        <v>7560764</v>
      </c>
      <c r="L346" s="1">
        <v>1476058</v>
      </c>
      <c r="M346" s="11">
        <v>240003467</v>
      </c>
      <c r="N346" s="8">
        <v>488059</v>
      </c>
      <c r="O346" s="11">
        <v>50217185</v>
      </c>
      <c r="P346" s="8">
        <v>20572</v>
      </c>
      <c r="Q346" s="11">
        <v>2506874</v>
      </c>
      <c r="R346" s="8">
        <v>472582</v>
      </c>
      <c r="S346" s="11">
        <v>35153480</v>
      </c>
      <c r="T346" s="8">
        <f t="shared" si="230"/>
        <v>4518303</v>
      </c>
      <c r="U346" s="11">
        <f t="shared" si="229"/>
        <v>630603799</v>
      </c>
      <c r="Z346" s="37">
        <f>SUM(T344:T346)</f>
        <v>12716668</v>
      </c>
      <c r="AA346" s="9">
        <f>SUM(U344:U346)</f>
        <v>1713683756.03</v>
      </c>
      <c r="AX346" s="13"/>
      <c r="AY346" s="40"/>
      <c r="AZ346" s="40"/>
      <c r="BA346" s="13"/>
      <c r="BB346" s="41"/>
      <c r="BC346" s="42"/>
    </row>
    <row r="347" spans="1:55" x14ac:dyDescent="0.25">
      <c r="B347" s="2" t="s">
        <v>8</v>
      </c>
      <c r="C347" s="2">
        <v>2023</v>
      </c>
      <c r="D347" s="1">
        <v>383009</v>
      </c>
      <c r="E347" s="11">
        <v>17756944.270000003</v>
      </c>
      <c r="F347" s="1">
        <v>1312374</v>
      </c>
      <c r="G347" s="11">
        <v>261003244</v>
      </c>
      <c r="H347" s="1">
        <v>116402</v>
      </c>
      <c r="I347" s="11">
        <v>6323482</v>
      </c>
      <c r="J347" s="1">
        <v>146186</v>
      </c>
      <c r="K347" s="11">
        <v>6664076</v>
      </c>
      <c r="L347" s="1">
        <v>1587275</v>
      </c>
      <c r="M347" s="11">
        <v>253397101</v>
      </c>
      <c r="N347" s="8">
        <v>473939</v>
      </c>
      <c r="O347" s="11">
        <v>50631334</v>
      </c>
      <c r="P347" s="8">
        <v>28130</v>
      </c>
      <c r="Q347" s="11">
        <v>5497770</v>
      </c>
      <c r="R347" s="8">
        <v>457777</v>
      </c>
      <c r="S347" s="11">
        <v>34389881</v>
      </c>
      <c r="T347" s="8">
        <f t="shared" si="230"/>
        <v>4505092</v>
      </c>
      <c r="U347" s="11">
        <f t="shared" si="229"/>
        <v>635663832.26999998</v>
      </c>
      <c r="AX347" s="13"/>
      <c r="AY347" s="40"/>
      <c r="AZ347" s="40"/>
      <c r="BA347" s="13"/>
      <c r="BB347" s="41"/>
      <c r="BC347" s="42"/>
    </row>
    <row r="348" spans="1:55" x14ac:dyDescent="0.25">
      <c r="B348" s="2" t="s">
        <v>9</v>
      </c>
      <c r="C348" s="2">
        <v>2023</v>
      </c>
      <c r="D348" s="1">
        <v>421280</v>
      </c>
      <c r="E348" s="11">
        <v>16639230.930000002</v>
      </c>
      <c r="F348" s="1">
        <v>1480726</v>
      </c>
      <c r="G348" s="11">
        <v>303804140</v>
      </c>
      <c r="H348" s="1">
        <v>115957</v>
      </c>
      <c r="I348" s="11">
        <v>6451500</v>
      </c>
      <c r="J348" s="1">
        <v>158294</v>
      </c>
      <c r="K348" s="11">
        <v>7482555</v>
      </c>
      <c r="L348" s="1">
        <v>1454135</v>
      </c>
      <c r="M348" s="11">
        <v>242541599</v>
      </c>
      <c r="N348" s="8">
        <v>488588</v>
      </c>
      <c r="O348" s="11">
        <v>52512399</v>
      </c>
      <c r="P348" s="8">
        <v>30005</v>
      </c>
      <c r="Q348" s="11">
        <v>6006686</v>
      </c>
      <c r="R348" s="8">
        <v>478312</v>
      </c>
      <c r="S348" s="11">
        <v>35197028</v>
      </c>
      <c r="T348" s="8">
        <f t="shared" si="230"/>
        <v>4627297</v>
      </c>
      <c r="U348" s="11">
        <f t="shared" si="229"/>
        <v>670635137.93000007</v>
      </c>
      <c r="AX348" s="13"/>
      <c r="AY348" s="40"/>
      <c r="AZ348" s="40"/>
      <c r="BA348" s="13"/>
      <c r="BB348" s="41"/>
      <c r="BC348" s="42"/>
    </row>
    <row r="349" spans="1:55" x14ac:dyDescent="0.25">
      <c r="B349" s="2" t="s">
        <v>10</v>
      </c>
      <c r="C349" s="2">
        <v>2023</v>
      </c>
      <c r="D349" s="1">
        <v>406251</v>
      </c>
      <c r="E349" s="11">
        <v>15403568.689999998</v>
      </c>
      <c r="F349" s="1">
        <v>1328216</v>
      </c>
      <c r="G349" s="11">
        <v>271827740</v>
      </c>
      <c r="H349" s="1">
        <v>115757</v>
      </c>
      <c r="I349" s="11">
        <v>6317068</v>
      </c>
      <c r="J349" s="1">
        <v>155008</v>
      </c>
      <c r="K349" s="11">
        <v>7318642</v>
      </c>
      <c r="L349" s="1">
        <v>1396423</v>
      </c>
      <c r="M349" s="11">
        <v>234533770</v>
      </c>
      <c r="N349" s="8">
        <v>469473</v>
      </c>
      <c r="O349" s="11">
        <v>51329100</v>
      </c>
      <c r="P349" s="8">
        <v>30512</v>
      </c>
      <c r="Q349" s="11">
        <v>6016450</v>
      </c>
      <c r="R349" s="8">
        <v>473757</v>
      </c>
      <c r="S349" s="11">
        <v>35230102</v>
      </c>
      <c r="T349" s="8">
        <f t="shared" si="230"/>
        <v>4375397</v>
      </c>
      <c r="U349" s="11">
        <f t="shared" si="229"/>
        <v>627976440.69000006</v>
      </c>
      <c r="AX349" s="13"/>
      <c r="AY349" s="40"/>
      <c r="AZ349" s="40"/>
      <c r="BA349" s="13"/>
      <c r="BB349" s="41"/>
      <c r="BC349" s="42"/>
    </row>
    <row r="350" spans="1:55" x14ac:dyDescent="0.25">
      <c r="B350" s="2" t="s">
        <v>11</v>
      </c>
      <c r="C350" s="2">
        <v>2023</v>
      </c>
      <c r="D350" s="1">
        <v>384715</v>
      </c>
      <c r="E350" s="11">
        <v>16440198.359999999</v>
      </c>
      <c r="F350" s="1">
        <v>1427691</v>
      </c>
      <c r="G350" s="11">
        <v>294028052</v>
      </c>
      <c r="H350" s="1">
        <v>126410</v>
      </c>
      <c r="I350" s="11">
        <v>7173263</v>
      </c>
      <c r="J350" s="1">
        <v>134739</v>
      </c>
      <c r="K350" s="11">
        <v>6506356</v>
      </c>
      <c r="L350" s="1">
        <v>1538219</v>
      </c>
      <c r="M350" s="11">
        <v>253675034</v>
      </c>
      <c r="N350" s="8">
        <v>479025</v>
      </c>
      <c r="O350" s="11">
        <v>52834821</v>
      </c>
      <c r="P350" s="8">
        <v>30674</v>
      </c>
      <c r="Q350" s="11">
        <v>5944195</v>
      </c>
      <c r="R350" s="8">
        <v>493587</v>
      </c>
      <c r="S350" s="11">
        <v>37198355</v>
      </c>
      <c r="T350" s="8">
        <f t="shared" si="230"/>
        <v>4615060</v>
      </c>
      <c r="U350" s="11">
        <f t="shared" si="229"/>
        <v>673800274.36000001</v>
      </c>
      <c r="AX350" s="13"/>
      <c r="AY350" s="40"/>
      <c r="AZ350" s="40"/>
      <c r="BA350" s="13"/>
      <c r="BB350" s="41"/>
      <c r="BC350" s="42"/>
    </row>
    <row r="351" spans="1:55" x14ac:dyDescent="0.25">
      <c r="B351" s="2" t="s">
        <v>4</v>
      </c>
      <c r="C351" s="2">
        <v>2023</v>
      </c>
      <c r="D351" s="1">
        <v>417611</v>
      </c>
      <c r="E351" s="11">
        <v>16389265.090000002</v>
      </c>
      <c r="F351" s="1">
        <v>1502808</v>
      </c>
      <c r="G351" s="11">
        <v>312250969</v>
      </c>
      <c r="H351" s="1">
        <v>143839</v>
      </c>
      <c r="I351" s="11">
        <v>8015928</v>
      </c>
      <c r="J351" s="1">
        <v>159980</v>
      </c>
      <c r="K351" s="11">
        <v>7814293</v>
      </c>
      <c r="L351" s="1">
        <v>1542893</v>
      </c>
      <c r="M351" s="11">
        <v>259589023</v>
      </c>
      <c r="N351" s="8">
        <v>504930</v>
      </c>
      <c r="O351" s="11">
        <v>55314273</v>
      </c>
      <c r="P351" s="8">
        <v>32425</v>
      </c>
      <c r="Q351" s="11">
        <v>6169859</v>
      </c>
      <c r="R351" s="8">
        <v>481704</v>
      </c>
      <c r="S351" s="11">
        <v>36570165</v>
      </c>
      <c r="T351" s="8">
        <f t="shared" si="230"/>
        <v>4786190</v>
      </c>
      <c r="U351" s="11">
        <f t="shared" si="229"/>
        <v>702113775.08999991</v>
      </c>
      <c r="AX351" s="13"/>
      <c r="AY351" s="40"/>
      <c r="AZ351" s="40"/>
      <c r="BA351" s="13"/>
      <c r="BB351" s="41"/>
      <c r="BC351" s="42"/>
    </row>
    <row r="352" spans="1:55" x14ac:dyDescent="0.25">
      <c r="B352" s="2" t="s">
        <v>28</v>
      </c>
      <c r="C352" s="2">
        <v>2023</v>
      </c>
      <c r="D352" s="1">
        <v>414036</v>
      </c>
      <c r="E352" s="11">
        <v>15675237.049999999</v>
      </c>
      <c r="F352" s="1">
        <v>1394322</v>
      </c>
      <c r="G352" s="11">
        <v>292110231</v>
      </c>
      <c r="H352" s="1">
        <v>132166</v>
      </c>
      <c r="I352" s="11">
        <v>7315187</v>
      </c>
      <c r="J352" s="1">
        <v>167708</v>
      </c>
      <c r="K352" s="11">
        <v>7882461</v>
      </c>
      <c r="L352" s="1">
        <v>1399913</v>
      </c>
      <c r="M352" s="11">
        <v>235132831</v>
      </c>
      <c r="N352" s="8">
        <v>483641</v>
      </c>
      <c r="O352" s="11">
        <v>52116399</v>
      </c>
      <c r="P352" s="8">
        <v>30896</v>
      </c>
      <c r="Q352" s="11">
        <v>5946670</v>
      </c>
      <c r="R352" s="8">
        <v>483274</v>
      </c>
      <c r="S352" s="11">
        <v>35923435</v>
      </c>
      <c r="T352" s="8">
        <f t="shared" si="230"/>
        <v>4505956</v>
      </c>
      <c r="U352" s="11">
        <f t="shared" si="229"/>
        <v>652102451.04999995</v>
      </c>
      <c r="AX352" s="13"/>
      <c r="AY352" s="40"/>
      <c r="AZ352" s="40"/>
      <c r="BA352" s="13"/>
      <c r="BB352" s="41"/>
      <c r="BC352" s="42"/>
    </row>
    <row r="353" spans="2:55" x14ac:dyDescent="0.25">
      <c r="B353" s="2" t="s">
        <v>29</v>
      </c>
      <c r="C353" s="2">
        <v>2023</v>
      </c>
      <c r="D353" s="1">
        <v>434386</v>
      </c>
      <c r="E353" s="11">
        <v>16227988.189999994</v>
      </c>
      <c r="F353" s="1">
        <v>1428932</v>
      </c>
      <c r="G353" s="11">
        <v>300697810</v>
      </c>
      <c r="H353" s="1">
        <v>139761</v>
      </c>
      <c r="I353" s="11">
        <v>7992163</v>
      </c>
      <c r="J353" s="1">
        <v>174245</v>
      </c>
      <c r="K353" s="11">
        <v>8219383</v>
      </c>
      <c r="L353" s="1">
        <v>1435714</v>
      </c>
      <c r="M353" s="11">
        <v>239717133</v>
      </c>
      <c r="N353" s="8">
        <v>520188</v>
      </c>
      <c r="O353" s="11">
        <v>56153705</v>
      </c>
      <c r="P353" s="8">
        <v>33348</v>
      </c>
      <c r="Q353" s="11">
        <v>6547091</v>
      </c>
      <c r="R353" s="8">
        <v>495705</v>
      </c>
      <c r="S353" s="11">
        <v>37418037</v>
      </c>
      <c r="T353" s="8">
        <f t="shared" si="230"/>
        <v>4662279</v>
      </c>
      <c r="U353" s="11">
        <f t="shared" si="229"/>
        <v>672973310.19000006</v>
      </c>
      <c r="AX353" s="13"/>
      <c r="AY353" s="40"/>
      <c r="AZ353" s="40"/>
      <c r="BA353" s="13"/>
      <c r="BB353" s="40"/>
      <c r="BC353" s="40"/>
    </row>
    <row r="354" spans="2:55" x14ac:dyDescent="0.25">
      <c r="B354" s="2" t="s">
        <v>30</v>
      </c>
      <c r="C354" s="2">
        <v>2023</v>
      </c>
      <c r="D354" s="1">
        <v>401936</v>
      </c>
      <c r="E354" s="11">
        <v>15440541.59</v>
      </c>
      <c r="F354" s="1">
        <v>1361016</v>
      </c>
      <c r="G354" s="11">
        <v>286214196</v>
      </c>
      <c r="H354" s="1">
        <v>131714</v>
      </c>
      <c r="I354" s="11">
        <v>7257146</v>
      </c>
      <c r="J354" s="1">
        <v>163316</v>
      </c>
      <c r="K354" s="11">
        <v>7909518</v>
      </c>
      <c r="L354" s="1">
        <v>1339126</v>
      </c>
      <c r="M354" s="11">
        <v>222153346</v>
      </c>
      <c r="N354" s="8">
        <v>491158</v>
      </c>
      <c r="O354" s="11">
        <v>53945023</v>
      </c>
      <c r="P354" s="8">
        <v>35403</v>
      </c>
      <c r="Q354" s="11">
        <v>7092067</v>
      </c>
      <c r="R354" s="8">
        <v>482938</v>
      </c>
      <c r="S354" s="11">
        <v>36866324</v>
      </c>
      <c r="T354" s="8">
        <f t="shared" si="230"/>
        <v>4406607</v>
      </c>
      <c r="U354" s="11">
        <f t="shared" si="229"/>
        <v>636878161.58999991</v>
      </c>
      <c r="AX354" s="13"/>
      <c r="AY354" s="40"/>
      <c r="AZ354" s="40"/>
      <c r="BA354" s="13"/>
      <c r="BB354" s="40"/>
      <c r="BC354" s="40"/>
    </row>
    <row r="355" spans="2:55" x14ac:dyDescent="0.25">
      <c r="B355" s="2" t="s">
        <v>31</v>
      </c>
      <c r="C355" s="2">
        <v>2023</v>
      </c>
      <c r="D355" s="1">
        <v>418018</v>
      </c>
      <c r="E355" s="11">
        <v>16925955.660000004</v>
      </c>
      <c r="F355" s="1">
        <v>1411563</v>
      </c>
      <c r="G355" s="11">
        <v>298173450</v>
      </c>
      <c r="H355" s="1">
        <v>152239</v>
      </c>
      <c r="I355" s="11">
        <v>8136007</v>
      </c>
      <c r="J355" s="1">
        <v>161944</v>
      </c>
      <c r="K355" s="11">
        <v>7631895</v>
      </c>
      <c r="L355" s="1">
        <v>1506511</v>
      </c>
      <c r="M355" s="11">
        <v>245349787</v>
      </c>
      <c r="N355" s="8">
        <v>526038</v>
      </c>
      <c r="O355" s="11">
        <v>57499196.950000003</v>
      </c>
      <c r="P355" s="8">
        <v>37383</v>
      </c>
      <c r="Q355" s="11">
        <v>7372289</v>
      </c>
      <c r="R355" s="8">
        <v>546333</v>
      </c>
      <c r="S355" s="11">
        <v>40555727</v>
      </c>
      <c r="T355" s="8">
        <f t="shared" si="230"/>
        <v>4760029</v>
      </c>
      <c r="U355" s="11">
        <f t="shared" si="229"/>
        <v>681644307.61000001</v>
      </c>
      <c r="AX355" s="13"/>
      <c r="AY355" s="40"/>
      <c r="AZ355" s="40"/>
      <c r="BA355" s="13"/>
      <c r="BB355" s="40"/>
      <c r="BC355" s="40"/>
    </row>
    <row r="356" spans="2:55" x14ac:dyDescent="0.25">
      <c r="F356" s="39"/>
      <c r="J356" s="9"/>
      <c r="P356"/>
      <c r="R356"/>
      <c r="X356" s="9"/>
    </row>
    <row r="357" spans="2:55" x14ac:dyDescent="0.25">
      <c r="B357" s="3" t="s">
        <v>12</v>
      </c>
      <c r="C357" s="3"/>
      <c r="D357" s="4">
        <f>SUM(D344:D356)</f>
        <v>4905794</v>
      </c>
      <c r="E357" s="12">
        <f t="shared" ref="E357:S357" si="231">SUM(E344:E356)</f>
        <v>194701821.86000001</v>
      </c>
      <c r="F357" s="4">
        <f t="shared" si="231"/>
        <v>16396210</v>
      </c>
      <c r="G357" s="12">
        <f t="shared" si="231"/>
        <v>3358243046</v>
      </c>
      <c r="H357" s="4">
        <f t="shared" si="231"/>
        <v>1494104</v>
      </c>
      <c r="I357" s="12">
        <f t="shared" si="231"/>
        <v>81493347</v>
      </c>
      <c r="J357" s="4">
        <f t="shared" si="231"/>
        <v>1889285</v>
      </c>
      <c r="K357" s="12">
        <f t="shared" si="231"/>
        <v>88231601</v>
      </c>
      <c r="L357" s="4">
        <f>SUM(L344:L356)</f>
        <v>17394724</v>
      </c>
      <c r="M357" s="12">
        <f>SUM(M344:M356)</f>
        <v>2836520962</v>
      </c>
      <c r="N357" s="4">
        <f t="shared" si="231"/>
        <v>5808140</v>
      </c>
      <c r="O357" s="12">
        <f t="shared" si="231"/>
        <v>620107585.95000005</v>
      </c>
      <c r="P357" s="4">
        <f t="shared" si="231"/>
        <v>345712</v>
      </c>
      <c r="Q357" s="12">
        <f t="shared" si="231"/>
        <v>63111882</v>
      </c>
      <c r="R357" s="4">
        <f t="shared" si="231"/>
        <v>5726606</v>
      </c>
      <c r="S357" s="12">
        <f t="shared" si="231"/>
        <v>425061201</v>
      </c>
      <c r="T357" s="4">
        <f>SUM(T344:T356)</f>
        <v>53960575</v>
      </c>
      <c r="U357" s="12">
        <f>SUM(U344:U356)</f>
        <v>7667471446.8100004</v>
      </c>
    </row>
    <row r="358" spans="2:55" x14ac:dyDescent="0.25">
      <c r="F358" s="39">
        <f>+D348+F348</f>
        <v>1902006</v>
      </c>
      <c r="G358" s="9">
        <f>+E348+G348</f>
        <v>320443370.93000001</v>
      </c>
      <c r="H358" s="39"/>
      <c r="J358" s="9"/>
      <c r="L358" s="39"/>
      <c r="N358" s="39"/>
      <c r="P358" s="39"/>
      <c r="T358" s="9"/>
    </row>
    <row r="359" spans="2:55" x14ac:dyDescent="0.25">
      <c r="F359"/>
      <c r="J359" s="9"/>
      <c r="T359" s="29"/>
      <c r="U359" s="29"/>
    </row>
    <row r="360" spans="2:55" hidden="1" outlineLevel="1" x14ac:dyDescent="0.25">
      <c r="B360" s="5" t="s">
        <v>14</v>
      </c>
      <c r="F360"/>
      <c r="N360" s="9"/>
      <c r="P360"/>
      <c r="T360" s="13"/>
      <c r="U360"/>
    </row>
    <row r="361" spans="2:55" hidden="1" outlineLevel="1" x14ac:dyDescent="0.25">
      <c r="B361" s="5" t="s">
        <v>74</v>
      </c>
      <c r="F361"/>
      <c r="N361" s="9"/>
      <c r="P361"/>
      <c r="U361"/>
    </row>
    <row r="362" spans="2:55" hidden="1" outlineLevel="1" x14ac:dyDescent="0.25">
      <c r="F362"/>
      <c r="N362" s="9"/>
      <c r="P362"/>
      <c r="Q362"/>
      <c r="R362"/>
      <c r="S362"/>
      <c r="U362"/>
    </row>
    <row r="363" spans="2:55" hidden="1" outlineLevel="1" x14ac:dyDescent="0.25">
      <c r="D363" s="89" t="s">
        <v>15</v>
      </c>
      <c r="E363" s="90"/>
      <c r="F363" s="89" t="s">
        <v>72</v>
      </c>
      <c r="G363" s="90"/>
      <c r="H363" s="89" t="s">
        <v>16</v>
      </c>
      <c r="I363" s="90"/>
      <c r="J363" s="89" t="s">
        <v>73</v>
      </c>
      <c r="K363" s="90"/>
      <c r="L363" s="89" t="s">
        <v>70</v>
      </c>
      <c r="M363" s="90"/>
      <c r="N363" s="9"/>
      <c r="P363"/>
      <c r="Q363"/>
      <c r="R363"/>
      <c r="S363"/>
      <c r="U363"/>
    </row>
    <row r="364" spans="2:55" hidden="1" outlineLevel="1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  <c r="P364"/>
      <c r="Q364"/>
      <c r="R364"/>
      <c r="S364"/>
      <c r="U364"/>
    </row>
    <row r="365" spans="2:55" hidden="1" outlineLevel="1" x14ac:dyDescent="0.25">
      <c r="N365" s="9"/>
      <c r="P365" s="13"/>
      <c r="Q365" s="13"/>
      <c r="R365" s="13"/>
      <c r="S365" s="13"/>
      <c r="U365"/>
    </row>
    <row r="366" spans="2:55" hidden="1" outlineLevel="1" x14ac:dyDescent="0.25">
      <c r="B366" s="2" t="s">
        <v>5</v>
      </c>
      <c r="C366" s="2">
        <v>2023</v>
      </c>
      <c r="D366" s="1">
        <v>255011</v>
      </c>
      <c r="E366" s="11">
        <v>10399373.559999999</v>
      </c>
      <c r="F366" s="1">
        <v>130097</v>
      </c>
      <c r="G366" s="11">
        <v>4206099.6500000004</v>
      </c>
      <c r="H366" s="1">
        <v>5141</v>
      </c>
      <c r="I366" s="11">
        <v>156087.09</v>
      </c>
      <c r="J366" s="45">
        <v>2</v>
      </c>
      <c r="K366" s="11">
        <v>187.17</v>
      </c>
      <c r="L366" s="1">
        <f>+D366+F366+H366+J366</f>
        <v>390251</v>
      </c>
      <c r="M366" s="11">
        <f>+E366+G366+I366+K366</f>
        <v>14761747.469999999</v>
      </c>
      <c r="N366" s="39">
        <f>+L366-D344</f>
        <v>0</v>
      </c>
      <c r="O366" s="13">
        <f>+M366-E344</f>
        <v>0</v>
      </c>
      <c r="P366" s="13"/>
      <c r="Q366" s="13"/>
      <c r="R366" s="13"/>
      <c r="S366" s="13"/>
    </row>
    <row r="367" spans="2:55" hidden="1" outlineLevel="1" x14ac:dyDescent="0.25">
      <c r="B367" s="2" t="s">
        <v>6</v>
      </c>
      <c r="C367" s="2">
        <v>2023</v>
      </c>
      <c r="D367" s="1">
        <v>252309</v>
      </c>
      <c r="E367" s="11">
        <v>10615060.089999998</v>
      </c>
      <c r="F367" s="1">
        <v>133815</v>
      </c>
      <c r="G367" s="11">
        <v>4443200.32</v>
      </c>
      <c r="H367" s="1">
        <v>5721</v>
      </c>
      <c r="I367" s="11">
        <v>183052.14999999994</v>
      </c>
      <c r="J367" s="45">
        <v>0</v>
      </c>
      <c r="K367" s="11">
        <v>0</v>
      </c>
      <c r="L367" s="1">
        <f t="shared" ref="L367:M377" si="232">+D367+F367+H367+J367</f>
        <v>391845</v>
      </c>
      <c r="M367" s="11">
        <f t="shared" si="232"/>
        <v>15241312.559999999</v>
      </c>
      <c r="N367" s="39">
        <f>+L367-D345</f>
        <v>0</v>
      </c>
      <c r="O367" s="13">
        <f t="shared" ref="O367" si="233">+M367-E345</f>
        <v>0</v>
      </c>
      <c r="P367" s="13"/>
      <c r="Q367" s="13"/>
      <c r="R367" s="13"/>
      <c r="S367" s="13"/>
    </row>
    <row r="368" spans="2:55" hidden="1" outlineLevel="1" x14ac:dyDescent="0.25">
      <c r="B368" s="2" t="s">
        <v>7</v>
      </c>
      <c r="C368" s="2">
        <v>2023</v>
      </c>
      <c r="D368" s="1">
        <v>281971</v>
      </c>
      <c r="E368" s="11">
        <v>12339863.639999999</v>
      </c>
      <c r="F368" s="1">
        <v>153689</v>
      </c>
      <c r="G368" s="11">
        <v>5232976.2000000011</v>
      </c>
      <c r="H368" s="1">
        <v>6796</v>
      </c>
      <c r="I368" s="11">
        <v>226992.16</v>
      </c>
      <c r="J368" s="45">
        <v>0</v>
      </c>
      <c r="K368" s="11">
        <v>0</v>
      </c>
      <c r="L368" s="1">
        <f t="shared" si="232"/>
        <v>442456</v>
      </c>
      <c r="M368" s="11">
        <f t="shared" si="232"/>
        <v>17799832</v>
      </c>
      <c r="N368" s="39">
        <f t="shared" ref="N368:O376" si="234">+L368-D346</f>
        <v>0</v>
      </c>
      <c r="O368" s="13">
        <f t="shared" si="234"/>
        <v>0</v>
      </c>
      <c r="P368"/>
      <c r="Q368"/>
      <c r="R368"/>
      <c r="S368"/>
    </row>
    <row r="369" spans="2:19" hidden="1" outlineLevel="1" x14ac:dyDescent="0.25">
      <c r="B369" s="2" t="s">
        <v>8</v>
      </c>
      <c r="C369" s="2">
        <v>2023</v>
      </c>
      <c r="D369" s="1">
        <v>248331</v>
      </c>
      <c r="E369" s="11">
        <v>12583943.419999998</v>
      </c>
      <c r="F369" s="1">
        <v>129427</v>
      </c>
      <c r="G369" s="11">
        <v>4986111.959999999</v>
      </c>
      <c r="H369" s="1">
        <v>5251</v>
      </c>
      <c r="I369" s="11">
        <v>186888.88999999998</v>
      </c>
      <c r="J369" s="45">
        <v>0</v>
      </c>
      <c r="K369" s="11">
        <v>0</v>
      </c>
      <c r="L369" s="1">
        <f t="shared" si="232"/>
        <v>383009</v>
      </c>
      <c r="M369" s="11">
        <f t="shared" si="232"/>
        <v>17756944.269999996</v>
      </c>
      <c r="N369" s="39">
        <f t="shared" si="234"/>
        <v>0</v>
      </c>
      <c r="O369" s="13">
        <f t="shared" si="234"/>
        <v>0</v>
      </c>
      <c r="P369"/>
      <c r="Q369"/>
      <c r="R369"/>
      <c r="S369"/>
    </row>
    <row r="370" spans="2:19" hidden="1" outlineLevel="1" x14ac:dyDescent="0.25">
      <c r="B370" s="2" t="s">
        <v>9</v>
      </c>
      <c r="C370" s="2">
        <v>2023</v>
      </c>
      <c r="D370" s="1">
        <v>267606</v>
      </c>
      <c r="E370" s="11">
        <v>11475081.410000002</v>
      </c>
      <c r="F370" s="1">
        <v>147083</v>
      </c>
      <c r="G370" s="11">
        <v>4935834.92</v>
      </c>
      <c r="H370" s="1">
        <v>6591</v>
      </c>
      <c r="I370" s="11">
        <v>228314.6</v>
      </c>
      <c r="J370" s="45">
        <v>0</v>
      </c>
      <c r="K370" s="11">
        <v>0</v>
      </c>
      <c r="L370" s="1">
        <f t="shared" si="232"/>
        <v>421280</v>
      </c>
      <c r="M370" s="11">
        <f t="shared" si="232"/>
        <v>16639230.930000002</v>
      </c>
      <c r="N370" s="39">
        <f t="shared" si="234"/>
        <v>0</v>
      </c>
      <c r="O370" s="13">
        <f t="shared" si="234"/>
        <v>0</v>
      </c>
      <c r="P370"/>
      <c r="Q370"/>
      <c r="R370"/>
      <c r="S370"/>
    </row>
    <row r="371" spans="2:19" hidden="1" outlineLevel="1" x14ac:dyDescent="0.25">
      <c r="B371" s="2" t="s">
        <v>10</v>
      </c>
      <c r="C371" s="2">
        <v>2023</v>
      </c>
      <c r="D371" s="1">
        <v>256511</v>
      </c>
      <c r="E371" s="11">
        <v>10610788.369999999</v>
      </c>
      <c r="F371" s="1">
        <v>142948</v>
      </c>
      <c r="G371" s="11">
        <v>4579899.2400000012</v>
      </c>
      <c r="H371" s="1">
        <v>6792</v>
      </c>
      <c r="I371" s="11">
        <v>212881.08000000005</v>
      </c>
      <c r="J371" s="45">
        <v>0</v>
      </c>
      <c r="K371" s="11">
        <v>0</v>
      </c>
      <c r="L371" s="1">
        <f t="shared" si="232"/>
        <v>406251</v>
      </c>
      <c r="M371" s="11">
        <f t="shared" si="232"/>
        <v>15403568.689999999</v>
      </c>
      <c r="N371" s="39">
        <f t="shared" si="234"/>
        <v>0</v>
      </c>
      <c r="O371" s="13">
        <f t="shared" si="234"/>
        <v>0</v>
      </c>
      <c r="P371"/>
      <c r="Q371"/>
      <c r="R371"/>
      <c r="S371"/>
    </row>
    <row r="372" spans="2:19" hidden="1" outlineLevel="1" x14ac:dyDescent="0.25">
      <c r="B372" s="2" t="s">
        <v>11</v>
      </c>
      <c r="C372" s="2">
        <v>2023</v>
      </c>
      <c r="D372" s="1">
        <v>246530</v>
      </c>
      <c r="E372" s="11">
        <v>11486184.709999995</v>
      </c>
      <c r="F372" s="1">
        <v>132054</v>
      </c>
      <c r="G372" s="11">
        <v>4734870.7600000007</v>
      </c>
      <c r="H372" s="1">
        <v>6131</v>
      </c>
      <c r="I372" s="11">
        <v>219142.88999999998</v>
      </c>
      <c r="J372" s="45">
        <v>0</v>
      </c>
      <c r="K372" s="11">
        <v>0</v>
      </c>
      <c r="L372" s="1">
        <f t="shared" si="232"/>
        <v>384715</v>
      </c>
      <c r="M372" s="11">
        <f t="shared" si="232"/>
        <v>16440198.359999996</v>
      </c>
      <c r="N372" s="39">
        <f t="shared" si="234"/>
        <v>0</v>
      </c>
      <c r="O372" s="13">
        <f t="shared" si="234"/>
        <v>0</v>
      </c>
      <c r="P372"/>
      <c r="Q372"/>
      <c r="R372"/>
      <c r="S372"/>
    </row>
    <row r="373" spans="2:19" hidden="1" outlineLevel="1" x14ac:dyDescent="0.25">
      <c r="B373" s="2" t="s">
        <v>4</v>
      </c>
      <c r="C373" s="2">
        <v>2023</v>
      </c>
      <c r="D373" s="1">
        <v>265924</v>
      </c>
      <c r="E373" s="11">
        <v>11398275.270000001</v>
      </c>
      <c r="F373" s="1">
        <v>144767</v>
      </c>
      <c r="G373" s="11">
        <v>4762201.8499999996</v>
      </c>
      <c r="H373" s="1">
        <v>6920</v>
      </c>
      <c r="I373" s="11">
        <v>228787.96999999997</v>
      </c>
      <c r="J373" s="45">
        <v>0</v>
      </c>
      <c r="K373" s="11">
        <v>0</v>
      </c>
      <c r="L373" s="1">
        <f t="shared" si="232"/>
        <v>417611</v>
      </c>
      <c r="M373" s="11">
        <f t="shared" si="232"/>
        <v>16389265.090000002</v>
      </c>
      <c r="N373" s="39">
        <f t="shared" si="234"/>
        <v>0</v>
      </c>
      <c r="O373" s="13">
        <f t="shared" si="234"/>
        <v>0</v>
      </c>
      <c r="P373"/>
      <c r="Q373"/>
      <c r="R373"/>
      <c r="S373"/>
    </row>
    <row r="374" spans="2:19" hidden="1" outlineLevel="1" x14ac:dyDescent="0.25">
      <c r="B374" s="2" t="s">
        <v>28</v>
      </c>
      <c r="C374" s="2">
        <v>2023</v>
      </c>
      <c r="D374" s="1">
        <v>261977</v>
      </c>
      <c r="E374" s="11">
        <v>10789788.530000001</v>
      </c>
      <c r="F374" s="1">
        <v>144937</v>
      </c>
      <c r="G374" s="11">
        <v>4648947.330000001</v>
      </c>
      <c r="H374" s="1">
        <v>7122</v>
      </c>
      <c r="I374" s="11">
        <v>236501.18999999997</v>
      </c>
      <c r="J374" s="45">
        <v>0</v>
      </c>
      <c r="K374" s="11">
        <v>0</v>
      </c>
      <c r="L374" s="1">
        <f t="shared" si="232"/>
        <v>414036</v>
      </c>
      <c r="M374" s="11">
        <f t="shared" si="232"/>
        <v>15675237.050000003</v>
      </c>
      <c r="N374" s="39">
        <f t="shared" si="234"/>
        <v>0</v>
      </c>
      <c r="O374" s="13">
        <f t="shared" si="234"/>
        <v>0</v>
      </c>
      <c r="P374"/>
      <c r="Q374"/>
      <c r="R374"/>
      <c r="S374"/>
    </row>
    <row r="375" spans="2:19" hidden="1" outlineLevel="1" x14ac:dyDescent="0.25">
      <c r="B375" s="2" t="s">
        <v>29</v>
      </c>
      <c r="C375" s="2">
        <v>2023</v>
      </c>
      <c r="D375" s="1">
        <v>271619</v>
      </c>
      <c r="E375" s="11">
        <v>11079275.970000003</v>
      </c>
      <c r="F375" s="1">
        <v>154499</v>
      </c>
      <c r="G375" s="11">
        <v>4861143.919999999</v>
      </c>
      <c r="H375" s="1">
        <v>8268</v>
      </c>
      <c r="I375" s="11">
        <v>287568.29999999993</v>
      </c>
      <c r="J375" s="45">
        <v>0</v>
      </c>
      <c r="K375" s="11">
        <v>0</v>
      </c>
      <c r="L375" s="1">
        <f t="shared" si="232"/>
        <v>434386</v>
      </c>
      <c r="M375" s="11">
        <f t="shared" si="232"/>
        <v>16227988.190000001</v>
      </c>
      <c r="N375" s="39">
        <f t="shared" si="234"/>
        <v>0</v>
      </c>
      <c r="O375" s="13">
        <f t="shared" si="234"/>
        <v>0</v>
      </c>
      <c r="P375"/>
      <c r="Q375"/>
      <c r="R375"/>
      <c r="S375"/>
    </row>
    <row r="376" spans="2:19" hidden="1" outlineLevel="1" x14ac:dyDescent="0.25">
      <c r="B376" s="2" t="s">
        <v>30</v>
      </c>
      <c r="C376" s="2">
        <v>2023</v>
      </c>
      <c r="D376" s="1">
        <v>246814</v>
      </c>
      <c r="E376" s="11">
        <v>10377130.51</v>
      </c>
      <c r="F376" s="1">
        <v>146963</v>
      </c>
      <c r="G376" s="11">
        <v>4769043.7699999996</v>
      </c>
      <c r="H376" s="1">
        <v>8159</v>
      </c>
      <c r="I376" s="11">
        <v>294367.31</v>
      </c>
      <c r="J376" s="1"/>
      <c r="K376" s="11"/>
      <c r="L376" s="1">
        <f t="shared" si="232"/>
        <v>401936</v>
      </c>
      <c r="M376" s="11">
        <f t="shared" si="232"/>
        <v>15440541.59</v>
      </c>
      <c r="N376" s="39">
        <f t="shared" si="234"/>
        <v>0</v>
      </c>
      <c r="O376" s="13">
        <f t="shared" si="234"/>
        <v>0</v>
      </c>
      <c r="P376"/>
      <c r="Q376"/>
      <c r="R376"/>
      <c r="S376"/>
    </row>
    <row r="377" spans="2:19" hidden="1" outlineLevel="1" x14ac:dyDescent="0.25">
      <c r="B377" s="2" t="s">
        <v>31</v>
      </c>
      <c r="C377" s="2">
        <v>2023</v>
      </c>
      <c r="D377" s="1">
        <v>260320</v>
      </c>
      <c r="E377" s="11">
        <v>11677365.799999999</v>
      </c>
      <c r="F377" s="1">
        <v>150704</v>
      </c>
      <c r="G377" s="11">
        <v>5020436.88</v>
      </c>
      <c r="H377" s="1">
        <v>6994</v>
      </c>
      <c r="I377" s="11">
        <v>228152.97999999998</v>
      </c>
      <c r="J377" s="45">
        <v>0</v>
      </c>
      <c r="K377" s="11">
        <v>0</v>
      </c>
      <c r="L377" s="1">
        <f t="shared" si="232"/>
        <v>418018</v>
      </c>
      <c r="M377" s="11">
        <f t="shared" si="232"/>
        <v>16925955.66</v>
      </c>
      <c r="N377" s="39">
        <f>+L377-D355</f>
        <v>0</v>
      </c>
      <c r="O377" s="13">
        <f>+M377-E355</f>
        <v>0</v>
      </c>
      <c r="P377"/>
      <c r="Q377"/>
      <c r="R377"/>
      <c r="S377"/>
    </row>
    <row r="378" spans="2:19" hidden="1" outlineLevel="1" x14ac:dyDescent="0.25">
      <c r="P378"/>
      <c r="Q378"/>
      <c r="R378"/>
      <c r="S378"/>
    </row>
    <row r="379" spans="2:19" hidden="1" outlineLevel="1" x14ac:dyDescent="0.25">
      <c r="B379" s="88" t="s">
        <v>12</v>
      </c>
      <c r="C379" s="88"/>
      <c r="D379" s="4">
        <f>SUM(D366:D378)</f>
        <v>3114923</v>
      </c>
      <c r="E379" s="12">
        <f>SUM(E366:E378)</f>
        <v>134832131.28</v>
      </c>
      <c r="F379" s="4">
        <f t="shared" ref="F379:M379" si="235">SUM(F366:F378)</f>
        <v>1710983</v>
      </c>
      <c r="G379" s="12">
        <f t="shared" si="235"/>
        <v>57180766.800000004</v>
      </c>
      <c r="H379" s="4">
        <f t="shared" si="235"/>
        <v>79886</v>
      </c>
      <c r="I379" s="12">
        <f t="shared" si="235"/>
        <v>2688736.61</v>
      </c>
      <c r="J379" s="4">
        <f t="shared" si="235"/>
        <v>2</v>
      </c>
      <c r="K379" s="12">
        <f t="shared" si="235"/>
        <v>187.17</v>
      </c>
      <c r="L379" s="4">
        <f t="shared" si="235"/>
        <v>4905794</v>
      </c>
      <c r="M379" s="12">
        <f t="shared" si="235"/>
        <v>194701821.86000001</v>
      </c>
      <c r="P379"/>
      <c r="Q379"/>
      <c r="R379"/>
      <c r="S379"/>
    </row>
    <row r="380" spans="2:19" hidden="1" outlineLevel="1" x14ac:dyDescent="0.25"/>
    <row r="381" spans="2:19" hidden="1" outlineLevel="1" x14ac:dyDescent="0.25">
      <c r="B381" s="5" t="s">
        <v>14</v>
      </c>
    </row>
    <row r="382" spans="2:19" hidden="1" outlineLevel="1" x14ac:dyDescent="0.25">
      <c r="B382" s="5" t="s">
        <v>75</v>
      </c>
    </row>
    <row r="383" spans="2:19" hidden="1" outlineLevel="1" x14ac:dyDescent="0.25"/>
    <row r="384" spans="2:19" hidden="1" outlineLevel="1" x14ac:dyDescent="0.25">
      <c r="D384" s="89" t="s">
        <v>15</v>
      </c>
      <c r="E384" s="90"/>
      <c r="F384" s="89" t="s">
        <v>72</v>
      </c>
      <c r="G384" s="90"/>
      <c r="H384" s="89" t="s">
        <v>16</v>
      </c>
      <c r="I384" s="90"/>
      <c r="J384" s="89" t="s">
        <v>73</v>
      </c>
      <c r="K384" s="90"/>
      <c r="L384" s="89" t="s">
        <v>70</v>
      </c>
      <c r="M384" s="90"/>
      <c r="N384" s="9"/>
    </row>
    <row r="385" spans="2:15" hidden="1" outlineLevel="1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hidden="1" outlineLevel="1" x14ac:dyDescent="0.25">
      <c r="N386" s="9"/>
    </row>
    <row r="387" spans="2:15" hidden="1" outlineLevel="1" x14ac:dyDescent="0.25">
      <c r="B387" s="2" t="s">
        <v>5</v>
      </c>
      <c r="C387" s="2">
        <v>2023</v>
      </c>
      <c r="D387" s="1">
        <v>540866</v>
      </c>
      <c r="E387" s="11">
        <v>87624504</v>
      </c>
      <c r="F387" s="1">
        <v>261933</v>
      </c>
      <c r="G387" s="11">
        <v>44349085</v>
      </c>
      <c r="H387" s="1">
        <v>436199</v>
      </c>
      <c r="I387" s="11">
        <v>104955061</v>
      </c>
      <c r="J387" s="1">
        <v>0</v>
      </c>
      <c r="K387" s="11">
        <v>0</v>
      </c>
      <c r="L387" s="1">
        <f>+D387+F387+H387+J387</f>
        <v>1238998</v>
      </c>
      <c r="M387" s="11">
        <f>+E387+G387+I387+K387</f>
        <v>236928650</v>
      </c>
      <c r="N387" s="39">
        <f>+L387-F344</f>
        <v>0</v>
      </c>
      <c r="O387" s="13">
        <f>+M387-G344</f>
        <v>0</v>
      </c>
    </row>
    <row r="388" spans="2:15" hidden="1" outlineLevel="1" x14ac:dyDescent="0.25">
      <c r="B388" s="2" t="s">
        <v>6</v>
      </c>
      <c r="C388" s="2">
        <v>2023</v>
      </c>
      <c r="D388" s="1">
        <v>514042</v>
      </c>
      <c r="E388" s="11">
        <v>86672281</v>
      </c>
      <c r="F388" s="1">
        <v>260177</v>
      </c>
      <c r="G388" s="11">
        <v>45999576</v>
      </c>
      <c r="H388" s="1">
        <v>393563</v>
      </c>
      <c r="I388" s="11">
        <v>97039686</v>
      </c>
      <c r="J388" s="1">
        <v>0</v>
      </c>
      <c r="K388" s="11">
        <v>0</v>
      </c>
      <c r="L388" s="1">
        <f t="shared" ref="L388:M398" si="236">+D388+F388+H388+J388</f>
        <v>1167782</v>
      </c>
      <c r="M388" s="11">
        <f t="shared" si="236"/>
        <v>229711543</v>
      </c>
      <c r="N388" s="39">
        <f t="shared" ref="N388:O397" si="237">+L388-F345</f>
        <v>0</v>
      </c>
      <c r="O388" s="13">
        <f t="shared" si="237"/>
        <v>0</v>
      </c>
    </row>
    <row r="389" spans="2:15" hidden="1" outlineLevel="1" x14ac:dyDescent="0.25">
      <c r="B389" s="2" t="s">
        <v>7</v>
      </c>
      <c r="C389" s="2">
        <v>2023</v>
      </c>
      <c r="D389" s="1">
        <v>583283</v>
      </c>
      <c r="E389" s="11">
        <v>101110124</v>
      </c>
      <c r="F389" s="1">
        <v>298121</v>
      </c>
      <c r="G389" s="11">
        <v>54561600</v>
      </c>
      <c r="H389" s="1">
        <v>460378</v>
      </c>
      <c r="I389" s="11">
        <v>115821297</v>
      </c>
      <c r="J389" s="1">
        <v>0</v>
      </c>
      <c r="K389" s="11">
        <v>0</v>
      </c>
      <c r="L389" s="1">
        <f t="shared" si="236"/>
        <v>1341782</v>
      </c>
      <c r="M389" s="11">
        <f t="shared" si="236"/>
        <v>271493021</v>
      </c>
      <c r="N389" s="39">
        <f t="shared" si="237"/>
        <v>0</v>
      </c>
      <c r="O389" s="13">
        <f t="shared" si="237"/>
        <v>0</v>
      </c>
    </row>
    <row r="390" spans="2:15" hidden="1" outlineLevel="1" x14ac:dyDescent="0.25">
      <c r="B390" s="2" t="s">
        <v>8</v>
      </c>
      <c r="C390" s="2">
        <v>2023</v>
      </c>
      <c r="D390" s="1">
        <v>581953</v>
      </c>
      <c r="E390" s="11">
        <v>97344938</v>
      </c>
      <c r="F390" s="1">
        <v>265487</v>
      </c>
      <c r="G390" s="11">
        <v>47141221</v>
      </c>
      <c r="H390" s="1">
        <v>464934</v>
      </c>
      <c r="I390" s="11">
        <v>116517085</v>
      </c>
      <c r="J390" s="1">
        <v>0</v>
      </c>
      <c r="K390" s="11">
        <v>0</v>
      </c>
      <c r="L390" s="1">
        <f t="shared" si="236"/>
        <v>1312374</v>
      </c>
      <c r="M390" s="11">
        <f t="shared" si="236"/>
        <v>261003244</v>
      </c>
      <c r="N390" s="39">
        <f t="shared" si="237"/>
        <v>0</v>
      </c>
      <c r="O390" s="13">
        <f t="shared" si="237"/>
        <v>0</v>
      </c>
    </row>
    <row r="391" spans="2:15" hidden="1" outlineLevel="1" x14ac:dyDescent="0.25">
      <c r="B391" s="2" t="s">
        <v>9</v>
      </c>
      <c r="C391" s="2">
        <v>2023</v>
      </c>
      <c r="D391" s="1">
        <v>640539</v>
      </c>
      <c r="E391" s="11">
        <v>113609334</v>
      </c>
      <c r="F391" s="1">
        <v>317309</v>
      </c>
      <c r="G391" s="11">
        <v>59884227</v>
      </c>
      <c r="H391" s="1">
        <v>522878</v>
      </c>
      <c r="I391" s="11">
        <v>130310579</v>
      </c>
      <c r="J391" s="1">
        <v>0</v>
      </c>
      <c r="K391" s="11">
        <v>0</v>
      </c>
      <c r="L391" s="1">
        <f t="shared" si="236"/>
        <v>1480726</v>
      </c>
      <c r="M391" s="11">
        <f t="shared" si="236"/>
        <v>303804140</v>
      </c>
      <c r="N391" s="39">
        <f t="shared" si="237"/>
        <v>0</v>
      </c>
      <c r="O391" s="13">
        <f t="shared" si="237"/>
        <v>0</v>
      </c>
    </row>
    <row r="392" spans="2:15" hidden="1" outlineLevel="1" x14ac:dyDescent="0.25">
      <c r="B392" s="2" t="s">
        <v>10</v>
      </c>
      <c r="C392" s="2">
        <v>2023</v>
      </c>
      <c r="D392" s="1">
        <v>560723</v>
      </c>
      <c r="E392" s="11">
        <v>97262181</v>
      </c>
      <c r="F392" s="1">
        <v>306977</v>
      </c>
      <c r="G392" s="11">
        <v>58592719</v>
      </c>
      <c r="H392" s="1">
        <v>460516</v>
      </c>
      <c r="I392" s="11">
        <v>115972840</v>
      </c>
      <c r="J392" s="1">
        <v>0</v>
      </c>
      <c r="K392" s="11">
        <v>0</v>
      </c>
      <c r="L392" s="1">
        <f t="shared" si="236"/>
        <v>1328216</v>
      </c>
      <c r="M392" s="11">
        <f t="shared" si="236"/>
        <v>271827740</v>
      </c>
      <c r="N392" s="39">
        <f t="shared" si="237"/>
        <v>0</v>
      </c>
      <c r="O392" s="13">
        <f t="shared" si="237"/>
        <v>0</v>
      </c>
    </row>
    <row r="393" spans="2:15" hidden="1" outlineLevel="1" x14ac:dyDescent="0.25">
      <c r="B393" s="2" t="s">
        <v>11</v>
      </c>
      <c r="C393" s="2">
        <v>2023</v>
      </c>
      <c r="D393" s="1">
        <v>611181</v>
      </c>
      <c r="E393" s="11">
        <v>105064359</v>
      </c>
      <c r="F393" s="1">
        <v>316758</v>
      </c>
      <c r="G393" s="11">
        <v>60461593</v>
      </c>
      <c r="H393" s="1">
        <v>499752</v>
      </c>
      <c r="I393" s="11">
        <v>128502100</v>
      </c>
      <c r="J393" s="1">
        <v>0</v>
      </c>
      <c r="K393" s="11">
        <v>0</v>
      </c>
      <c r="L393" s="1">
        <f t="shared" si="236"/>
        <v>1427691</v>
      </c>
      <c r="M393" s="11">
        <f t="shared" si="236"/>
        <v>294028052</v>
      </c>
      <c r="N393" s="39">
        <f t="shared" si="237"/>
        <v>0</v>
      </c>
      <c r="O393" s="13">
        <f t="shared" si="237"/>
        <v>0</v>
      </c>
    </row>
    <row r="394" spans="2:15" hidden="1" outlineLevel="1" x14ac:dyDescent="0.25">
      <c r="B394" s="2" t="s">
        <v>4</v>
      </c>
      <c r="C394" s="2">
        <v>2023</v>
      </c>
      <c r="D394" s="1">
        <v>628308</v>
      </c>
      <c r="E394" s="11">
        <v>109700289</v>
      </c>
      <c r="F394" s="1">
        <v>330245</v>
      </c>
      <c r="G394" s="11">
        <v>64013796</v>
      </c>
      <c r="H394" s="1">
        <v>544255</v>
      </c>
      <c r="I394" s="11">
        <v>138536884</v>
      </c>
      <c r="J394" s="1">
        <v>0</v>
      </c>
      <c r="K394" s="11">
        <v>0</v>
      </c>
      <c r="L394" s="1">
        <f t="shared" si="236"/>
        <v>1502808</v>
      </c>
      <c r="M394" s="11">
        <f t="shared" si="236"/>
        <v>312250969</v>
      </c>
      <c r="N394" s="39">
        <f t="shared" si="237"/>
        <v>0</v>
      </c>
      <c r="O394" s="13">
        <f t="shared" si="237"/>
        <v>0</v>
      </c>
    </row>
    <row r="395" spans="2:15" hidden="1" outlineLevel="1" x14ac:dyDescent="0.25">
      <c r="B395" s="2" t="s">
        <v>28</v>
      </c>
      <c r="C395" s="2">
        <v>2023</v>
      </c>
      <c r="D395" s="1">
        <v>578903</v>
      </c>
      <c r="E395" s="11">
        <v>102909802</v>
      </c>
      <c r="F395" s="1">
        <v>324023</v>
      </c>
      <c r="G395" s="11">
        <v>62565094</v>
      </c>
      <c r="H395" s="1">
        <v>491396</v>
      </c>
      <c r="I395" s="11">
        <v>126635335</v>
      </c>
      <c r="J395" s="1">
        <v>0</v>
      </c>
      <c r="K395" s="11">
        <v>0</v>
      </c>
      <c r="L395" s="1">
        <f t="shared" si="236"/>
        <v>1394322</v>
      </c>
      <c r="M395" s="11">
        <f t="shared" si="236"/>
        <v>292110231</v>
      </c>
      <c r="N395" s="39">
        <f t="shared" si="237"/>
        <v>0</v>
      </c>
      <c r="O395" s="13">
        <f t="shared" si="237"/>
        <v>0</v>
      </c>
    </row>
    <row r="396" spans="2:15" hidden="1" outlineLevel="1" x14ac:dyDescent="0.25">
      <c r="B396" s="2" t="s">
        <v>29</v>
      </c>
      <c r="C396" s="2">
        <v>2023</v>
      </c>
      <c r="D396" s="1">
        <v>592175</v>
      </c>
      <c r="E396" s="11">
        <v>105413901</v>
      </c>
      <c r="F396" s="1">
        <v>341533</v>
      </c>
      <c r="G396" s="11">
        <v>66449614</v>
      </c>
      <c r="H396" s="1">
        <v>495224</v>
      </c>
      <c r="I396" s="11">
        <v>128834295</v>
      </c>
      <c r="J396" s="1">
        <v>0</v>
      </c>
      <c r="K396" s="11">
        <v>0</v>
      </c>
      <c r="L396" s="1">
        <f t="shared" si="236"/>
        <v>1428932</v>
      </c>
      <c r="M396" s="11">
        <f t="shared" si="236"/>
        <v>300697810</v>
      </c>
      <c r="N396" s="39">
        <f t="shared" si="237"/>
        <v>0</v>
      </c>
      <c r="O396" s="13">
        <f t="shared" si="237"/>
        <v>0</v>
      </c>
    </row>
    <row r="397" spans="2:15" hidden="1" outlineLevel="1" x14ac:dyDescent="0.25">
      <c r="B397" s="2" t="s">
        <v>30</v>
      </c>
      <c r="C397" s="2">
        <v>2023</v>
      </c>
      <c r="D397" s="1">
        <v>580571</v>
      </c>
      <c r="E397" s="11">
        <v>102776551</v>
      </c>
      <c r="F397" s="1">
        <v>326104</v>
      </c>
      <c r="G397" s="11">
        <v>64392675</v>
      </c>
      <c r="H397" s="1">
        <v>454341</v>
      </c>
      <c r="I397" s="11">
        <v>119044970</v>
      </c>
      <c r="J397" s="1"/>
      <c r="K397" s="11"/>
      <c r="L397" s="1">
        <f t="shared" si="236"/>
        <v>1361016</v>
      </c>
      <c r="M397" s="11">
        <f t="shared" si="236"/>
        <v>286214196</v>
      </c>
      <c r="N397" s="39">
        <f t="shared" si="237"/>
        <v>0</v>
      </c>
      <c r="O397" s="13">
        <f t="shared" si="237"/>
        <v>0</v>
      </c>
    </row>
    <row r="398" spans="2:15" hidden="1" outlineLevel="1" x14ac:dyDescent="0.25">
      <c r="B398" s="2" t="s">
        <v>31</v>
      </c>
      <c r="C398" s="2">
        <v>2023</v>
      </c>
      <c r="D398" s="1">
        <v>631788</v>
      </c>
      <c r="E398" s="11">
        <v>110868785</v>
      </c>
      <c r="F398" s="1">
        <v>313988</v>
      </c>
      <c r="G398" s="11">
        <v>64210454</v>
      </c>
      <c r="H398" s="1">
        <v>465787</v>
      </c>
      <c r="I398" s="11">
        <v>123094211</v>
      </c>
      <c r="J398" s="1">
        <v>0</v>
      </c>
      <c r="K398" s="11">
        <v>0</v>
      </c>
      <c r="L398" s="1">
        <f t="shared" si="236"/>
        <v>1411563</v>
      </c>
      <c r="M398" s="11">
        <f t="shared" si="236"/>
        <v>298173450</v>
      </c>
      <c r="N398" s="39">
        <f>+L398-F355</f>
        <v>0</v>
      </c>
      <c r="O398" s="13">
        <f>+M398-G355</f>
        <v>0</v>
      </c>
    </row>
    <row r="399" spans="2:15" hidden="1" outlineLevel="1" x14ac:dyDescent="0.25"/>
    <row r="400" spans="2:15" hidden="1" outlineLevel="1" x14ac:dyDescent="0.25">
      <c r="B400" s="88" t="s">
        <v>12</v>
      </c>
      <c r="C400" s="88"/>
      <c r="D400" s="4">
        <f>SUM(D387:D399)</f>
        <v>7044332</v>
      </c>
      <c r="E400" s="12">
        <f>SUM(E387:E399)</f>
        <v>1220357049</v>
      </c>
      <c r="F400" s="4">
        <f t="shared" ref="F400:M400" si="238">SUM(F387:F399)</f>
        <v>3662655</v>
      </c>
      <c r="G400" s="12">
        <f t="shared" si="238"/>
        <v>692621654</v>
      </c>
      <c r="H400" s="4">
        <f t="shared" si="238"/>
        <v>5689223</v>
      </c>
      <c r="I400" s="12">
        <f t="shared" si="238"/>
        <v>1445264343</v>
      </c>
      <c r="J400" s="4">
        <f t="shared" si="238"/>
        <v>0</v>
      </c>
      <c r="K400" s="12">
        <f t="shared" si="238"/>
        <v>0</v>
      </c>
      <c r="L400" s="4">
        <f t="shared" si="238"/>
        <v>16396210</v>
      </c>
      <c r="M400" s="12">
        <f t="shared" si="238"/>
        <v>3358243046</v>
      </c>
    </row>
    <row r="401" spans="2:15" hidden="1" outlineLevel="1" x14ac:dyDescent="0.25"/>
    <row r="402" spans="2:15" hidden="1" outlineLevel="1" x14ac:dyDescent="0.25">
      <c r="B402" s="5" t="s">
        <v>14</v>
      </c>
    </row>
    <row r="403" spans="2:15" hidden="1" outlineLevel="1" x14ac:dyDescent="0.25">
      <c r="B403" s="5" t="s">
        <v>76</v>
      </c>
    </row>
    <row r="404" spans="2:15" hidden="1" outlineLevel="1" x14ac:dyDescent="0.25"/>
    <row r="405" spans="2:15" hidden="1" outlineLevel="1" x14ac:dyDescent="0.25">
      <c r="D405" s="89" t="s">
        <v>15</v>
      </c>
      <c r="E405" s="90"/>
      <c r="F405" s="89" t="s">
        <v>72</v>
      </c>
      <c r="G405" s="90"/>
      <c r="H405" s="89" t="s">
        <v>16</v>
      </c>
      <c r="I405" s="90"/>
      <c r="J405" s="89" t="s">
        <v>73</v>
      </c>
      <c r="K405" s="90"/>
      <c r="L405" s="89" t="s">
        <v>70</v>
      </c>
      <c r="M405" s="90"/>
      <c r="N405" s="9"/>
    </row>
    <row r="406" spans="2:15" hidden="1" outlineLevel="1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hidden="1" outlineLevel="1" x14ac:dyDescent="0.25">
      <c r="N407" s="9"/>
    </row>
    <row r="408" spans="2:15" hidden="1" outlineLevel="1" x14ac:dyDescent="0.25">
      <c r="B408" s="2" t="s">
        <v>5</v>
      </c>
      <c r="C408" s="2">
        <v>2023</v>
      </c>
      <c r="D408" s="1">
        <v>32494</v>
      </c>
      <c r="E408" s="11">
        <v>1617977</v>
      </c>
      <c r="F408" s="1">
        <v>11457</v>
      </c>
      <c r="G408" s="11">
        <v>737294</v>
      </c>
      <c r="H408" s="1">
        <v>66235</v>
      </c>
      <c r="I408" s="11">
        <v>3279596</v>
      </c>
      <c r="J408" s="1">
        <v>0</v>
      </c>
      <c r="K408" s="11">
        <v>0</v>
      </c>
      <c r="L408" s="1">
        <f>+D408+F408+H408+J408</f>
        <v>110186</v>
      </c>
      <c r="M408" s="11">
        <f>+E408+G408+I408+K408</f>
        <v>5634867</v>
      </c>
      <c r="N408" s="39">
        <f>+L408-H344</f>
        <v>0</v>
      </c>
      <c r="O408" s="13">
        <f>+M408-I344</f>
        <v>0</v>
      </c>
    </row>
    <row r="409" spans="2:15" hidden="1" outlineLevel="1" x14ac:dyDescent="0.25">
      <c r="B409" s="2" t="s">
        <v>6</v>
      </c>
      <c r="C409" s="2">
        <v>2023</v>
      </c>
      <c r="D409" s="1">
        <v>28604</v>
      </c>
      <c r="E409" s="11">
        <v>1506474</v>
      </c>
      <c r="F409" s="1">
        <v>10573</v>
      </c>
      <c r="G409" s="11">
        <v>666509</v>
      </c>
      <c r="H409" s="1">
        <v>58059</v>
      </c>
      <c r="I409" s="11">
        <v>2834577</v>
      </c>
      <c r="J409" s="1">
        <v>0</v>
      </c>
      <c r="K409" s="11">
        <v>0</v>
      </c>
      <c r="L409" s="1">
        <f t="shared" ref="L409:M419" si="239">+D409+F409+H409+J409</f>
        <v>97236</v>
      </c>
      <c r="M409" s="11">
        <f t="shared" si="239"/>
        <v>5007560</v>
      </c>
      <c r="N409" s="39">
        <f t="shared" ref="N409:O419" si="240">+L409-H345</f>
        <v>0</v>
      </c>
      <c r="O409" s="13">
        <f t="shared" si="240"/>
        <v>0</v>
      </c>
    </row>
    <row r="410" spans="2:15" hidden="1" outlineLevel="1" x14ac:dyDescent="0.25">
      <c r="B410" s="2" t="s">
        <v>7</v>
      </c>
      <c r="C410" s="2">
        <v>2023</v>
      </c>
      <c r="D410" s="1">
        <v>33685</v>
      </c>
      <c r="E410" s="11">
        <v>1794794</v>
      </c>
      <c r="F410" s="1">
        <v>12818</v>
      </c>
      <c r="G410" s="11">
        <v>810201</v>
      </c>
      <c r="H410" s="1">
        <v>65934</v>
      </c>
      <c r="I410" s="11">
        <v>3264181</v>
      </c>
      <c r="J410" s="1">
        <v>0</v>
      </c>
      <c r="K410" s="11">
        <v>0</v>
      </c>
      <c r="L410" s="1">
        <f t="shared" si="239"/>
        <v>112437</v>
      </c>
      <c r="M410" s="11">
        <f t="shared" si="239"/>
        <v>5869176</v>
      </c>
      <c r="N410" s="39">
        <f t="shared" si="240"/>
        <v>0</v>
      </c>
      <c r="O410" s="13">
        <f t="shared" si="240"/>
        <v>0</v>
      </c>
    </row>
    <row r="411" spans="2:15" hidden="1" outlineLevel="1" x14ac:dyDescent="0.25">
      <c r="B411" s="2" t="s">
        <v>8</v>
      </c>
      <c r="C411" s="2">
        <v>2023</v>
      </c>
      <c r="D411" s="1">
        <v>37828</v>
      </c>
      <c r="E411" s="11">
        <v>1919209</v>
      </c>
      <c r="F411" s="1">
        <v>12234</v>
      </c>
      <c r="G411" s="11">
        <v>771579</v>
      </c>
      <c r="H411" s="1">
        <v>66340</v>
      </c>
      <c r="I411" s="11">
        <v>3632694</v>
      </c>
      <c r="J411" s="1">
        <v>0</v>
      </c>
      <c r="K411" s="11">
        <v>0</v>
      </c>
      <c r="L411" s="1">
        <f t="shared" si="239"/>
        <v>116402</v>
      </c>
      <c r="M411" s="11">
        <f t="shared" si="239"/>
        <v>6323482</v>
      </c>
      <c r="N411" s="39">
        <f t="shared" si="240"/>
        <v>0</v>
      </c>
      <c r="O411" s="13">
        <f t="shared" si="240"/>
        <v>0</v>
      </c>
    </row>
    <row r="412" spans="2:15" hidden="1" outlineLevel="1" x14ac:dyDescent="0.25">
      <c r="B412" s="2" t="s">
        <v>9</v>
      </c>
      <c r="C412" s="2">
        <v>2023</v>
      </c>
      <c r="D412" s="1">
        <v>36879</v>
      </c>
      <c r="E412" s="11">
        <v>2015792</v>
      </c>
      <c r="F412" s="1">
        <v>12439</v>
      </c>
      <c r="G412" s="11">
        <v>800846</v>
      </c>
      <c r="H412" s="1">
        <v>66639</v>
      </c>
      <c r="I412" s="11">
        <v>3634862</v>
      </c>
      <c r="J412" s="1">
        <v>0</v>
      </c>
      <c r="K412" s="11">
        <v>0</v>
      </c>
      <c r="L412" s="1">
        <f t="shared" si="239"/>
        <v>115957</v>
      </c>
      <c r="M412" s="11">
        <f t="shared" si="239"/>
        <v>6451500</v>
      </c>
      <c r="N412" s="39">
        <f t="shared" si="240"/>
        <v>0</v>
      </c>
      <c r="O412" s="13">
        <f t="shared" si="240"/>
        <v>0</v>
      </c>
    </row>
    <row r="413" spans="2:15" hidden="1" outlineLevel="1" x14ac:dyDescent="0.25">
      <c r="B413" s="2" t="s">
        <v>10</v>
      </c>
      <c r="C413" s="2">
        <v>2023</v>
      </c>
      <c r="D413" s="1">
        <v>35269</v>
      </c>
      <c r="E413" s="11">
        <v>1897374</v>
      </c>
      <c r="F413" s="1">
        <v>13430</v>
      </c>
      <c r="G413" s="11">
        <v>872605</v>
      </c>
      <c r="H413" s="1">
        <v>67058</v>
      </c>
      <c r="I413" s="11">
        <v>3547089</v>
      </c>
      <c r="J413" s="1">
        <v>0</v>
      </c>
      <c r="K413" s="11">
        <v>0</v>
      </c>
      <c r="L413" s="1">
        <f t="shared" si="239"/>
        <v>115757</v>
      </c>
      <c r="M413" s="11">
        <f t="shared" si="239"/>
        <v>6317068</v>
      </c>
      <c r="N413" s="39">
        <f t="shared" si="240"/>
        <v>0</v>
      </c>
      <c r="O413" s="13">
        <f t="shared" si="240"/>
        <v>0</v>
      </c>
    </row>
    <row r="414" spans="2:15" hidden="1" outlineLevel="1" x14ac:dyDescent="0.25">
      <c r="B414" s="2" t="s">
        <v>11</v>
      </c>
      <c r="C414" s="2">
        <v>2023</v>
      </c>
      <c r="D414" s="1">
        <v>42551</v>
      </c>
      <c r="E414" s="11">
        <v>2323324</v>
      </c>
      <c r="F414" s="1">
        <v>13984</v>
      </c>
      <c r="G414" s="11">
        <v>983047</v>
      </c>
      <c r="H414" s="1">
        <v>69875</v>
      </c>
      <c r="I414" s="11">
        <v>3866892</v>
      </c>
      <c r="J414" s="1">
        <v>0</v>
      </c>
      <c r="K414" s="11">
        <v>0</v>
      </c>
      <c r="L414" s="1">
        <f t="shared" si="239"/>
        <v>126410</v>
      </c>
      <c r="M414" s="11">
        <f t="shared" si="239"/>
        <v>7173263</v>
      </c>
      <c r="N414" s="39">
        <f t="shared" si="240"/>
        <v>0</v>
      </c>
      <c r="O414" s="13">
        <f t="shared" si="240"/>
        <v>0</v>
      </c>
    </row>
    <row r="415" spans="2:15" hidden="1" outlineLevel="1" x14ac:dyDescent="0.25">
      <c r="B415" s="2" t="s">
        <v>4</v>
      </c>
      <c r="C415" s="2">
        <v>2023</v>
      </c>
      <c r="D415" s="1">
        <v>57076</v>
      </c>
      <c r="E415" s="11">
        <v>2842219</v>
      </c>
      <c r="F415" s="1">
        <v>14872</v>
      </c>
      <c r="G415" s="11">
        <v>1053093</v>
      </c>
      <c r="H415" s="1">
        <v>71891</v>
      </c>
      <c r="I415" s="11">
        <v>4120616</v>
      </c>
      <c r="J415" s="1">
        <v>0</v>
      </c>
      <c r="K415" s="11">
        <v>0</v>
      </c>
      <c r="L415" s="1">
        <f t="shared" si="239"/>
        <v>143839</v>
      </c>
      <c r="M415" s="11">
        <f t="shared" si="239"/>
        <v>8015928</v>
      </c>
      <c r="N415" s="39">
        <f t="shared" si="240"/>
        <v>0</v>
      </c>
      <c r="O415" s="13">
        <f t="shared" si="240"/>
        <v>0</v>
      </c>
    </row>
    <row r="416" spans="2:15" hidden="1" outlineLevel="1" x14ac:dyDescent="0.25">
      <c r="B416" s="2" t="s">
        <v>28</v>
      </c>
      <c r="C416" s="2">
        <v>2023</v>
      </c>
      <c r="D416" s="1">
        <v>54016</v>
      </c>
      <c r="E416" s="11">
        <v>2742579</v>
      </c>
      <c r="F416" s="1">
        <v>13488</v>
      </c>
      <c r="G416" s="11">
        <v>969187</v>
      </c>
      <c r="H416" s="1">
        <v>64662</v>
      </c>
      <c r="I416" s="11">
        <v>3603421</v>
      </c>
      <c r="J416" s="1">
        <v>0</v>
      </c>
      <c r="K416" s="11">
        <v>0</v>
      </c>
      <c r="L416" s="1">
        <f t="shared" si="239"/>
        <v>132166</v>
      </c>
      <c r="M416" s="11">
        <f t="shared" si="239"/>
        <v>7315187</v>
      </c>
      <c r="N416" s="39">
        <f t="shared" si="240"/>
        <v>0</v>
      </c>
      <c r="O416" s="13">
        <f t="shared" si="240"/>
        <v>0</v>
      </c>
    </row>
    <row r="417" spans="2:15" hidden="1" outlineLevel="1" x14ac:dyDescent="0.25">
      <c r="B417" s="2" t="s">
        <v>29</v>
      </c>
      <c r="C417" s="2">
        <v>2023</v>
      </c>
      <c r="D417" s="1">
        <v>58775</v>
      </c>
      <c r="E417" s="11">
        <v>2996936</v>
      </c>
      <c r="F417" s="1">
        <v>15198</v>
      </c>
      <c r="G417" s="11">
        <v>1120466</v>
      </c>
      <c r="H417" s="1">
        <v>65788</v>
      </c>
      <c r="I417" s="11">
        <v>3874761</v>
      </c>
      <c r="J417" s="1">
        <v>0</v>
      </c>
      <c r="K417" s="11">
        <v>0</v>
      </c>
      <c r="L417" s="1">
        <f t="shared" si="239"/>
        <v>139761</v>
      </c>
      <c r="M417" s="11">
        <f t="shared" si="239"/>
        <v>7992163</v>
      </c>
      <c r="N417" s="39">
        <f t="shared" si="240"/>
        <v>0</v>
      </c>
      <c r="O417" s="13">
        <f t="shared" si="240"/>
        <v>0</v>
      </c>
    </row>
    <row r="418" spans="2:15" hidden="1" outlineLevel="1" x14ac:dyDescent="0.25">
      <c r="B418" s="2" t="s">
        <v>30</v>
      </c>
      <c r="C418" s="2">
        <v>2023</v>
      </c>
      <c r="D418" s="1">
        <v>56068</v>
      </c>
      <c r="E418" s="11">
        <v>2755269</v>
      </c>
      <c r="F418" s="1">
        <v>14343</v>
      </c>
      <c r="G418" s="11">
        <v>1068773</v>
      </c>
      <c r="H418" s="1">
        <v>61303</v>
      </c>
      <c r="I418" s="11">
        <v>3433104</v>
      </c>
      <c r="J418" s="1"/>
      <c r="K418" s="11"/>
      <c r="L418" s="1">
        <f t="shared" si="239"/>
        <v>131714</v>
      </c>
      <c r="M418" s="11">
        <f t="shared" si="239"/>
        <v>7257146</v>
      </c>
      <c r="N418" s="39">
        <f t="shared" si="240"/>
        <v>0</v>
      </c>
      <c r="O418" s="13">
        <f t="shared" si="240"/>
        <v>0</v>
      </c>
    </row>
    <row r="419" spans="2:15" hidden="1" outlineLevel="1" x14ac:dyDescent="0.25">
      <c r="B419" s="2" t="s">
        <v>31</v>
      </c>
      <c r="C419" s="2">
        <v>2023</v>
      </c>
      <c r="D419" s="1">
        <v>69067</v>
      </c>
      <c r="E419" s="11">
        <v>3326087</v>
      </c>
      <c r="F419" s="1">
        <v>15344</v>
      </c>
      <c r="G419" s="11">
        <v>1127883</v>
      </c>
      <c r="H419" s="1">
        <v>67828</v>
      </c>
      <c r="I419" s="11">
        <v>3682037</v>
      </c>
      <c r="J419" s="1">
        <v>0</v>
      </c>
      <c r="K419" s="11">
        <v>0</v>
      </c>
      <c r="L419" s="1">
        <f t="shared" si="239"/>
        <v>152239</v>
      </c>
      <c r="M419" s="11">
        <f t="shared" si="239"/>
        <v>8136007</v>
      </c>
      <c r="N419" s="39">
        <f t="shared" si="240"/>
        <v>0</v>
      </c>
      <c r="O419" s="13">
        <f t="shared" si="240"/>
        <v>0</v>
      </c>
    </row>
    <row r="420" spans="2:15" hidden="1" outlineLevel="1" x14ac:dyDescent="0.25"/>
    <row r="421" spans="2:15" hidden="1" outlineLevel="1" x14ac:dyDescent="0.25">
      <c r="B421" s="88" t="s">
        <v>12</v>
      </c>
      <c r="C421" s="88"/>
      <c r="D421" s="4">
        <f>SUM(D408:D420)</f>
        <v>542312</v>
      </c>
      <c r="E421" s="12">
        <f>SUM(E408:E420)</f>
        <v>27738034</v>
      </c>
      <c r="F421" s="4">
        <f t="shared" ref="F421:M421" si="241">SUM(F408:F420)</f>
        <v>160180</v>
      </c>
      <c r="G421" s="12">
        <f t="shared" si="241"/>
        <v>10981483</v>
      </c>
      <c r="H421" s="4">
        <f t="shared" si="241"/>
        <v>791612</v>
      </c>
      <c r="I421" s="12">
        <f t="shared" si="241"/>
        <v>42773830</v>
      </c>
      <c r="J421" s="4">
        <f t="shared" si="241"/>
        <v>0</v>
      </c>
      <c r="K421" s="12">
        <f t="shared" si="241"/>
        <v>0</v>
      </c>
      <c r="L421" s="4">
        <f t="shared" si="241"/>
        <v>1494104</v>
      </c>
      <c r="M421" s="12">
        <f t="shared" si="241"/>
        <v>81493347</v>
      </c>
    </row>
    <row r="422" spans="2:15" hidden="1" outlineLevel="1" x14ac:dyDescent="0.25"/>
    <row r="423" spans="2:15" hidden="1" outlineLevel="1" x14ac:dyDescent="0.25">
      <c r="B423" s="5" t="s">
        <v>14</v>
      </c>
    </row>
    <row r="424" spans="2:15" hidden="1" outlineLevel="1" x14ac:dyDescent="0.25">
      <c r="B424" s="5" t="s">
        <v>77</v>
      </c>
    </row>
    <row r="425" spans="2:15" hidden="1" outlineLevel="1" x14ac:dyDescent="0.25"/>
    <row r="426" spans="2:15" hidden="1" outlineLevel="1" x14ac:dyDescent="0.25">
      <c r="D426" s="89" t="s">
        <v>15</v>
      </c>
      <c r="E426" s="90"/>
      <c r="F426" s="89" t="s">
        <v>72</v>
      </c>
      <c r="G426" s="90"/>
      <c r="H426" s="89" t="s">
        <v>16</v>
      </c>
      <c r="I426" s="90"/>
      <c r="J426" s="89" t="s">
        <v>73</v>
      </c>
      <c r="K426" s="90"/>
      <c r="L426" s="89" t="s">
        <v>70</v>
      </c>
      <c r="M426" s="90"/>
      <c r="N426" s="9"/>
    </row>
    <row r="427" spans="2:15" hidden="1" outlineLevel="1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hidden="1" outlineLevel="1" x14ac:dyDescent="0.25">
      <c r="N428" s="9"/>
    </row>
    <row r="429" spans="2:15" hidden="1" outlineLevel="1" x14ac:dyDescent="0.25">
      <c r="B429" s="2" t="s">
        <v>5</v>
      </c>
      <c r="C429" s="2">
        <v>2023</v>
      </c>
      <c r="D429" s="1">
        <v>615901</v>
      </c>
      <c r="E429" s="11">
        <v>76486363</v>
      </c>
      <c r="F429" s="1">
        <v>268058</v>
      </c>
      <c r="G429" s="11">
        <v>42379910</v>
      </c>
      <c r="H429" s="1">
        <v>547781</v>
      </c>
      <c r="I429" s="11">
        <v>96827415</v>
      </c>
      <c r="J429" s="45">
        <v>0</v>
      </c>
      <c r="K429" s="11">
        <v>0</v>
      </c>
      <c r="L429" s="1">
        <f>+D429+F429+H429+J429</f>
        <v>1431740</v>
      </c>
      <c r="M429" s="11">
        <f>+E429+G429+I429+K429</f>
        <v>215693688</v>
      </c>
      <c r="N429" s="39">
        <f t="shared" ref="N429:O440" si="242">+L429-L344</f>
        <v>0</v>
      </c>
      <c r="O429" s="13">
        <f t="shared" si="242"/>
        <v>0</v>
      </c>
    </row>
    <row r="430" spans="2:15" hidden="1" outlineLevel="1" x14ac:dyDescent="0.25">
      <c r="B430" s="2" t="s">
        <v>6</v>
      </c>
      <c r="C430" s="2">
        <v>2023</v>
      </c>
      <c r="D430" s="1">
        <v>550665</v>
      </c>
      <c r="E430" s="11">
        <v>69575272</v>
      </c>
      <c r="F430" s="1">
        <v>250356</v>
      </c>
      <c r="G430" s="11">
        <v>39959277</v>
      </c>
      <c r="H430" s="1">
        <v>485696</v>
      </c>
      <c r="I430" s="11">
        <v>85199634</v>
      </c>
      <c r="J430" s="45">
        <v>0</v>
      </c>
      <c r="K430" s="11">
        <v>0</v>
      </c>
      <c r="L430" s="1">
        <f t="shared" ref="L430:M440" si="243">+D430+F430+H430+J430</f>
        <v>1286717</v>
      </c>
      <c r="M430" s="11">
        <f t="shared" si="243"/>
        <v>194734183</v>
      </c>
      <c r="N430" s="39">
        <f>+L430-L345</f>
        <v>0</v>
      </c>
      <c r="O430" s="13">
        <f t="shared" si="242"/>
        <v>0</v>
      </c>
    </row>
    <row r="431" spans="2:15" hidden="1" outlineLevel="1" x14ac:dyDescent="0.25">
      <c r="B431" s="2" t="s">
        <v>7</v>
      </c>
      <c r="C431" s="2">
        <v>2023</v>
      </c>
      <c r="D431" s="1">
        <v>627528</v>
      </c>
      <c r="E431" s="11">
        <v>85835543</v>
      </c>
      <c r="F431" s="1">
        <v>289788</v>
      </c>
      <c r="G431" s="11">
        <v>49881812</v>
      </c>
      <c r="H431" s="1">
        <v>558742</v>
      </c>
      <c r="I431" s="11">
        <v>104286112</v>
      </c>
      <c r="J431" s="45">
        <v>0</v>
      </c>
      <c r="K431" s="11">
        <v>0</v>
      </c>
      <c r="L431" s="1">
        <f t="shared" si="243"/>
        <v>1476058</v>
      </c>
      <c r="M431" s="11">
        <f t="shared" si="243"/>
        <v>240003467</v>
      </c>
      <c r="N431" s="39">
        <f t="shared" si="242"/>
        <v>0</v>
      </c>
      <c r="O431" s="13">
        <f t="shared" si="242"/>
        <v>0</v>
      </c>
    </row>
    <row r="432" spans="2:15" hidden="1" outlineLevel="1" x14ac:dyDescent="0.25">
      <c r="B432" s="2" t="s">
        <v>8</v>
      </c>
      <c r="C432" s="2">
        <v>2023</v>
      </c>
      <c r="D432" s="1">
        <v>701084</v>
      </c>
      <c r="E432" s="11">
        <v>93018316</v>
      </c>
      <c r="F432" s="1">
        <v>294818</v>
      </c>
      <c r="G432" s="11">
        <v>49212622</v>
      </c>
      <c r="H432" s="1">
        <v>591373</v>
      </c>
      <c r="I432" s="11">
        <v>111166163</v>
      </c>
      <c r="J432" s="45">
        <v>0</v>
      </c>
      <c r="K432" s="11">
        <v>0</v>
      </c>
      <c r="L432" s="1">
        <f t="shared" si="243"/>
        <v>1587275</v>
      </c>
      <c r="M432" s="11">
        <f t="shared" si="243"/>
        <v>253397101</v>
      </c>
      <c r="N432" s="39">
        <f t="shared" si="242"/>
        <v>0</v>
      </c>
      <c r="O432" s="13">
        <f t="shared" si="242"/>
        <v>0</v>
      </c>
    </row>
    <row r="433" spans="2:15" hidden="1" outlineLevel="1" x14ac:dyDescent="0.25">
      <c r="B433" s="2" t="s">
        <v>9</v>
      </c>
      <c r="C433" s="2">
        <v>2023</v>
      </c>
      <c r="D433" s="1">
        <v>621114</v>
      </c>
      <c r="E433" s="11">
        <v>87573401</v>
      </c>
      <c r="F433" s="1">
        <v>278908</v>
      </c>
      <c r="G433" s="11">
        <v>48528655</v>
      </c>
      <c r="H433" s="1">
        <v>554113</v>
      </c>
      <c r="I433" s="11">
        <v>106439543</v>
      </c>
      <c r="J433" s="45">
        <v>0</v>
      </c>
      <c r="K433" s="11">
        <v>0</v>
      </c>
      <c r="L433" s="1">
        <f t="shared" si="243"/>
        <v>1454135</v>
      </c>
      <c r="M433" s="11">
        <f t="shared" si="243"/>
        <v>242541599</v>
      </c>
      <c r="N433" s="39">
        <f t="shared" si="242"/>
        <v>0</v>
      </c>
      <c r="O433" s="13">
        <f t="shared" si="242"/>
        <v>0</v>
      </c>
    </row>
    <row r="434" spans="2:15" hidden="1" outlineLevel="1" x14ac:dyDescent="0.25">
      <c r="B434" s="2" t="s">
        <v>10</v>
      </c>
      <c r="C434" s="2">
        <v>2023</v>
      </c>
      <c r="D434" s="1">
        <v>587443</v>
      </c>
      <c r="E434" s="11">
        <v>81516703</v>
      </c>
      <c r="F434" s="1">
        <v>277749</v>
      </c>
      <c r="G434" s="11">
        <v>49721719</v>
      </c>
      <c r="H434" s="1">
        <v>531231</v>
      </c>
      <c r="I434" s="11">
        <v>103295348</v>
      </c>
      <c r="J434" s="45">
        <v>0</v>
      </c>
      <c r="K434" s="11">
        <v>0</v>
      </c>
      <c r="L434" s="1">
        <f t="shared" si="243"/>
        <v>1396423</v>
      </c>
      <c r="M434" s="11">
        <f t="shared" si="243"/>
        <v>234533770</v>
      </c>
      <c r="N434" s="39">
        <f t="shared" si="242"/>
        <v>0</v>
      </c>
      <c r="O434" s="13">
        <f t="shared" si="242"/>
        <v>0</v>
      </c>
    </row>
    <row r="435" spans="2:15" hidden="1" outlineLevel="1" x14ac:dyDescent="0.25">
      <c r="B435" s="2" t="s">
        <v>11</v>
      </c>
      <c r="C435" s="2">
        <v>2023</v>
      </c>
      <c r="D435" s="1">
        <v>665861</v>
      </c>
      <c r="E435" s="11">
        <v>89984943</v>
      </c>
      <c r="F435" s="1">
        <v>295381</v>
      </c>
      <c r="G435" s="11">
        <v>51038285</v>
      </c>
      <c r="H435" s="1">
        <v>576977</v>
      </c>
      <c r="I435" s="11">
        <v>112651806</v>
      </c>
      <c r="J435" s="45">
        <v>0</v>
      </c>
      <c r="K435" s="11">
        <v>0</v>
      </c>
      <c r="L435" s="1">
        <f t="shared" si="243"/>
        <v>1538219</v>
      </c>
      <c r="M435" s="11">
        <f t="shared" si="243"/>
        <v>253675034</v>
      </c>
      <c r="N435" s="39">
        <f t="shared" si="242"/>
        <v>0</v>
      </c>
      <c r="O435" s="13">
        <f t="shared" si="242"/>
        <v>0</v>
      </c>
    </row>
    <row r="436" spans="2:15" hidden="1" outlineLevel="1" x14ac:dyDescent="0.25">
      <c r="B436" s="2" t="s">
        <v>4</v>
      </c>
      <c r="C436" s="2">
        <v>2023</v>
      </c>
      <c r="D436" s="1">
        <v>658596</v>
      </c>
      <c r="E436" s="11">
        <v>91788088</v>
      </c>
      <c r="F436" s="1">
        <v>293247</v>
      </c>
      <c r="G436" s="11">
        <v>52258548</v>
      </c>
      <c r="H436" s="1">
        <v>591050</v>
      </c>
      <c r="I436" s="11">
        <v>115542387</v>
      </c>
      <c r="J436" s="45">
        <v>0</v>
      </c>
      <c r="K436" s="11">
        <v>0</v>
      </c>
      <c r="L436" s="1">
        <f t="shared" si="243"/>
        <v>1542893</v>
      </c>
      <c r="M436" s="11">
        <f t="shared" si="243"/>
        <v>259589023</v>
      </c>
      <c r="N436" s="39">
        <f t="shared" si="242"/>
        <v>0</v>
      </c>
      <c r="O436" s="13">
        <f t="shared" si="242"/>
        <v>0</v>
      </c>
    </row>
    <row r="437" spans="2:15" hidden="1" outlineLevel="1" x14ac:dyDescent="0.25">
      <c r="B437" s="2" t="s">
        <v>28</v>
      </c>
      <c r="C437" s="2">
        <v>2023</v>
      </c>
      <c r="D437" s="1">
        <v>589248</v>
      </c>
      <c r="E437" s="11">
        <v>83813077</v>
      </c>
      <c r="F437" s="1">
        <v>275508</v>
      </c>
      <c r="G437" s="11">
        <v>48428754</v>
      </c>
      <c r="H437" s="1">
        <v>535157</v>
      </c>
      <c r="I437" s="11">
        <v>102891000</v>
      </c>
      <c r="J437" s="45">
        <v>0</v>
      </c>
      <c r="K437" s="11">
        <v>0</v>
      </c>
      <c r="L437" s="1">
        <f t="shared" si="243"/>
        <v>1399913</v>
      </c>
      <c r="M437" s="11">
        <f t="shared" si="243"/>
        <v>235132831</v>
      </c>
      <c r="N437" s="39">
        <f t="shared" si="242"/>
        <v>0</v>
      </c>
      <c r="O437" s="13">
        <f t="shared" si="242"/>
        <v>0</v>
      </c>
    </row>
    <row r="438" spans="2:15" hidden="1" outlineLevel="1" x14ac:dyDescent="0.25">
      <c r="B438" s="2" t="s">
        <v>29</v>
      </c>
      <c r="C438" s="2">
        <v>2023</v>
      </c>
      <c r="D438" s="1">
        <v>602754</v>
      </c>
      <c r="E438" s="11">
        <v>84278692</v>
      </c>
      <c r="F438" s="1">
        <v>286955</v>
      </c>
      <c r="G438" s="11">
        <v>51316097</v>
      </c>
      <c r="H438" s="1">
        <v>546005</v>
      </c>
      <c r="I438" s="11">
        <v>104122344</v>
      </c>
      <c r="J438" s="45">
        <v>0</v>
      </c>
      <c r="K438" s="11">
        <v>0</v>
      </c>
      <c r="L438" s="1">
        <f t="shared" si="243"/>
        <v>1435714</v>
      </c>
      <c r="M438" s="11">
        <f t="shared" si="243"/>
        <v>239717133</v>
      </c>
      <c r="N438" s="39">
        <f t="shared" si="242"/>
        <v>0</v>
      </c>
      <c r="O438" s="13">
        <f t="shared" si="242"/>
        <v>0</v>
      </c>
    </row>
    <row r="439" spans="2:15" hidden="1" outlineLevel="1" x14ac:dyDescent="0.25">
      <c r="B439" s="2" t="s">
        <v>30</v>
      </c>
      <c r="C439" s="2">
        <v>2023</v>
      </c>
      <c r="D439" s="1">
        <v>584410</v>
      </c>
      <c r="E439" s="11">
        <v>81370928</v>
      </c>
      <c r="F439" s="1">
        <v>275190</v>
      </c>
      <c r="G439" s="11">
        <v>49793615</v>
      </c>
      <c r="H439" s="1">
        <v>479526</v>
      </c>
      <c r="I439" s="11">
        <v>90988803</v>
      </c>
      <c r="J439" s="1"/>
      <c r="K439" s="11"/>
      <c r="L439" s="1">
        <f t="shared" si="243"/>
        <v>1339126</v>
      </c>
      <c r="M439" s="11">
        <f t="shared" si="243"/>
        <v>222153346</v>
      </c>
      <c r="N439" s="39">
        <f t="shared" si="242"/>
        <v>0</v>
      </c>
      <c r="O439" s="13">
        <f t="shared" si="242"/>
        <v>0</v>
      </c>
    </row>
    <row r="440" spans="2:15" hidden="1" outlineLevel="1" x14ac:dyDescent="0.25">
      <c r="B440" s="2" t="s">
        <v>31</v>
      </c>
      <c r="C440" s="2">
        <v>2023</v>
      </c>
      <c r="D440" s="1">
        <v>686496</v>
      </c>
      <c r="E440" s="11">
        <v>91304632</v>
      </c>
      <c r="F440" s="1">
        <v>293469</v>
      </c>
      <c r="G440" s="11">
        <v>51958524</v>
      </c>
      <c r="H440" s="1">
        <v>526546</v>
      </c>
      <c r="I440" s="11">
        <v>102086631</v>
      </c>
      <c r="J440" s="45">
        <v>0</v>
      </c>
      <c r="K440" s="11">
        <v>0</v>
      </c>
      <c r="L440" s="1">
        <f t="shared" si="243"/>
        <v>1506511</v>
      </c>
      <c r="M440" s="11">
        <f t="shared" si="243"/>
        <v>245349787</v>
      </c>
      <c r="N440" s="39">
        <f t="shared" si="242"/>
        <v>0</v>
      </c>
      <c r="O440" s="13">
        <f t="shared" si="242"/>
        <v>0</v>
      </c>
    </row>
    <row r="441" spans="2:15" hidden="1" outlineLevel="1" x14ac:dyDescent="0.25"/>
    <row r="442" spans="2:15" hidden="1" outlineLevel="1" x14ac:dyDescent="0.25">
      <c r="B442" s="88" t="s">
        <v>12</v>
      </c>
      <c r="C442" s="88"/>
      <c r="D442" s="4">
        <f>SUM(D429:D441)</f>
        <v>7491100</v>
      </c>
      <c r="E442" s="12">
        <f>SUM(E429:E441)</f>
        <v>1016545958</v>
      </c>
      <c r="F442" s="4">
        <f t="shared" ref="F442:M442" si="244">SUM(F429:F441)</f>
        <v>3379427</v>
      </c>
      <c r="G442" s="12">
        <f t="shared" si="244"/>
        <v>584477818</v>
      </c>
      <c r="H442" s="4">
        <f t="shared" si="244"/>
        <v>6524197</v>
      </c>
      <c r="I442" s="12">
        <f t="shared" si="244"/>
        <v>1235497186</v>
      </c>
      <c r="J442" s="4">
        <f t="shared" si="244"/>
        <v>0</v>
      </c>
      <c r="K442" s="12">
        <f t="shared" si="244"/>
        <v>0</v>
      </c>
      <c r="L442" s="4">
        <f t="shared" si="244"/>
        <v>17394724</v>
      </c>
      <c r="M442" s="12">
        <f t="shared" si="244"/>
        <v>2836520962</v>
      </c>
    </row>
    <row r="443" spans="2:15" hidden="1" outlineLevel="1" x14ac:dyDescent="0.25"/>
    <row r="444" spans="2:15" hidden="1" outlineLevel="1" x14ac:dyDescent="0.25">
      <c r="B444" s="5" t="s">
        <v>14</v>
      </c>
    </row>
    <row r="445" spans="2:15" hidden="1" outlineLevel="1" x14ac:dyDescent="0.25">
      <c r="B445" s="5" t="s">
        <v>78</v>
      </c>
    </row>
    <row r="446" spans="2:15" hidden="1" outlineLevel="1" x14ac:dyDescent="0.25"/>
    <row r="447" spans="2:15" hidden="1" outlineLevel="1" x14ac:dyDescent="0.25">
      <c r="D447" s="89" t="s">
        <v>15</v>
      </c>
      <c r="E447" s="90"/>
      <c r="F447" s="89" t="s">
        <v>72</v>
      </c>
      <c r="G447" s="90"/>
      <c r="H447" s="89" t="s">
        <v>16</v>
      </c>
      <c r="I447" s="90"/>
      <c r="J447" s="89" t="s">
        <v>73</v>
      </c>
      <c r="K447" s="90"/>
      <c r="L447" s="89" t="s">
        <v>70</v>
      </c>
      <c r="M447" s="90"/>
      <c r="N447" s="9"/>
    </row>
    <row r="448" spans="2:15" hidden="1" outlineLevel="1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hidden="1" outlineLevel="1" x14ac:dyDescent="0.25">
      <c r="N449" s="9"/>
    </row>
    <row r="450" spans="2:15" hidden="1" outlineLevel="1" x14ac:dyDescent="0.25">
      <c r="B450" s="2" t="s">
        <v>5</v>
      </c>
      <c r="C450" s="2">
        <v>2023</v>
      </c>
      <c r="D450" s="1">
        <v>208695</v>
      </c>
      <c r="E450" s="11">
        <v>16615287</v>
      </c>
      <c r="F450" s="1">
        <v>132961</v>
      </c>
      <c r="G450" s="11">
        <v>10079155</v>
      </c>
      <c r="H450" s="1">
        <v>112793</v>
      </c>
      <c r="I450" s="11">
        <v>17645581</v>
      </c>
      <c r="J450" s="45">
        <v>0</v>
      </c>
      <c r="K450" s="11">
        <v>0</v>
      </c>
      <c r="L450" s="1">
        <f>+D450+F450+H450+J450</f>
        <v>454449</v>
      </c>
      <c r="M450" s="11">
        <f>+E450+G450+I450+K450</f>
        <v>44340023</v>
      </c>
      <c r="N450" s="39">
        <f t="shared" ref="N450:O461" si="245">+L450-N344</f>
        <v>0</v>
      </c>
      <c r="O450" s="13">
        <f t="shared" si="245"/>
        <v>0</v>
      </c>
    </row>
    <row r="451" spans="2:15" hidden="1" outlineLevel="1" x14ac:dyDescent="0.25">
      <c r="B451" s="2" t="s">
        <v>6</v>
      </c>
      <c r="C451" s="2">
        <v>2023</v>
      </c>
      <c r="D451" s="1">
        <v>196078</v>
      </c>
      <c r="E451" s="11">
        <v>16216717</v>
      </c>
      <c r="F451" s="1">
        <v>129025</v>
      </c>
      <c r="G451" s="11">
        <v>10141977</v>
      </c>
      <c r="H451" s="1">
        <v>103549</v>
      </c>
      <c r="I451" s="11">
        <v>16855433</v>
      </c>
      <c r="J451" s="45">
        <v>0</v>
      </c>
      <c r="K451" s="11">
        <v>0</v>
      </c>
      <c r="L451" s="1">
        <f t="shared" ref="L451:M461" si="246">+D451+F451+H451+J451</f>
        <v>428652</v>
      </c>
      <c r="M451" s="11">
        <f t="shared" si="246"/>
        <v>43214127</v>
      </c>
      <c r="N451" s="39">
        <f t="shared" si="245"/>
        <v>0</v>
      </c>
      <c r="O451" s="13">
        <f t="shared" si="245"/>
        <v>0</v>
      </c>
    </row>
    <row r="452" spans="2:15" hidden="1" outlineLevel="1" x14ac:dyDescent="0.25">
      <c r="B452" s="2" t="s">
        <v>7</v>
      </c>
      <c r="C452" s="2">
        <v>2023</v>
      </c>
      <c r="D452" s="1">
        <v>222103</v>
      </c>
      <c r="E452" s="11">
        <v>18773551</v>
      </c>
      <c r="F452" s="1">
        <v>147333</v>
      </c>
      <c r="G452" s="11">
        <v>12025090</v>
      </c>
      <c r="H452" s="1">
        <v>118623</v>
      </c>
      <c r="I452" s="11">
        <v>19418544</v>
      </c>
      <c r="J452" s="45">
        <v>0</v>
      </c>
      <c r="K452" s="11">
        <v>0</v>
      </c>
      <c r="L452" s="1">
        <f t="shared" si="246"/>
        <v>488059</v>
      </c>
      <c r="M452" s="11">
        <f t="shared" si="246"/>
        <v>50217185</v>
      </c>
      <c r="N452" s="39">
        <f t="shared" si="245"/>
        <v>0</v>
      </c>
      <c r="O452" s="13">
        <f t="shared" si="245"/>
        <v>0</v>
      </c>
    </row>
    <row r="453" spans="2:15" hidden="1" outlineLevel="1" x14ac:dyDescent="0.25">
      <c r="B453" s="2" t="s">
        <v>8</v>
      </c>
      <c r="C453" s="2">
        <v>2023</v>
      </c>
      <c r="D453" s="1">
        <v>219315</v>
      </c>
      <c r="E453" s="11">
        <v>18891376</v>
      </c>
      <c r="F453" s="1">
        <v>132812</v>
      </c>
      <c r="G453" s="11">
        <v>11356700</v>
      </c>
      <c r="H453" s="1">
        <v>121812</v>
      </c>
      <c r="I453" s="11">
        <v>20383258</v>
      </c>
      <c r="J453" s="45">
        <v>0</v>
      </c>
      <c r="K453" s="11">
        <v>0</v>
      </c>
      <c r="L453" s="1">
        <f t="shared" si="246"/>
        <v>473939</v>
      </c>
      <c r="M453" s="11">
        <f>+E453+G453+I453+K453</f>
        <v>50631334</v>
      </c>
      <c r="N453" s="39">
        <f t="shared" si="245"/>
        <v>0</v>
      </c>
      <c r="O453" s="13">
        <f t="shared" si="245"/>
        <v>0</v>
      </c>
    </row>
    <row r="454" spans="2:15" hidden="1" outlineLevel="1" x14ac:dyDescent="0.25">
      <c r="B454" s="2" t="s">
        <v>9</v>
      </c>
      <c r="C454" s="2">
        <v>2023</v>
      </c>
      <c r="D454" s="1">
        <v>223859</v>
      </c>
      <c r="E454" s="11">
        <v>19792797</v>
      </c>
      <c r="F454" s="1">
        <v>141891</v>
      </c>
      <c r="G454" s="11">
        <v>12021867</v>
      </c>
      <c r="H454" s="1">
        <v>122838</v>
      </c>
      <c r="I454" s="11">
        <v>20697735</v>
      </c>
      <c r="J454" s="45">
        <v>0</v>
      </c>
      <c r="K454" s="11">
        <v>0</v>
      </c>
      <c r="L454" s="1">
        <f t="shared" si="246"/>
        <v>488588</v>
      </c>
      <c r="M454" s="11">
        <f t="shared" si="246"/>
        <v>52512399</v>
      </c>
      <c r="N454" s="39">
        <f t="shared" si="245"/>
        <v>0</v>
      </c>
      <c r="O454" s="13">
        <f t="shared" si="245"/>
        <v>0</v>
      </c>
    </row>
    <row r="455" spans="2:15" hidden="1" outlineLevel="1" x14ac:dyDescent="0.25">
      <c r="B455" s="2" t="s">
        <v>10</v>
      </c>
      <c r="C455" s="2">
        <v>2023</v>
      </c>
      <c r="D455" s="1">
        <v>211775</v>
      </c>
      <c r="E455" s="11">
        <v>19028469</v>
      </c>
      <c r="F455" s="1">
        <v>136252</v>
      </c>
      <c r="G455" s="11">
        <v>11790345</v>
      </c>
      <c r="H455" s="1">
        <v>121446</v>
      </c>
      <c r="I455" s="11">
        <v>20510286</v>
      </c>
      <c r="J455" s="45">
        <v>0</v>
      </c>
      <c r="K455" s="11">
        <v>0</v>
      </c>
      <c r="L455" s="1">
        <f t="shared" si="246"/>
        <v>469473</v>
      </c>
      <c r="M455" s="11">
        <f t="shared" si="246"/>
        <v>51329100</v>
      </c>
      <c r="N455" s="39">
        <f t="shared" si="245"/>
        <v>0</v>
      </c>
      <c r="O455" s="13">
        <f t="shared" si="245"/>
        <v>0</v>
      </c>
    </row>
    <row r="456" spans="2:15" hidden="1" outlineLevel="1" x14ac:dyDescent="0.25">
      <c r="B456" s="2" t="s">
        <v>11</v>
      </c>
      <c r="C456" s="2">
        <v>2023</v>
      </c>
      <c r="D456" s="1">
        <v>216624</v>
      </c>
      <c r="E456" s="11">
        <v>19249435</v>
      </c>
      <c r="F456" s="1">
        <v>136365</v>
      </c>
      <c r="G456" s="11">
        <v>12042382</v>
      </c>
      <c r="H456" s="1">
        <v>126036</v>
      </c>
      <c r="I456" s="11">
        <v>21543004</v>
      </c>
      <c r="J456" s="45">
        <v>0</v>
      </c>
      <c r="K456" s="11">
        <v>0</v>
      </c>
      <c r="L456" s="1">
        <f t="shared" si="246"/>
        <v>479025</v>
      </c>
      <c r="M456" s="11">
        <f t="shared" si="246"/>
        <v>52834821</v>
      </c>
      <c r="N456" s="39">
        <f t="shared" si="245"/>
        <v>0</v>
      </c>
      <c r="O456" s="13">
        <f t="shared" si="245"/>
        <v>0</v>
      </c>
    </row>
    <row r="457" spans="2:15" hidden="1" outlineLevel="1" x14ac:dyDescent="0.25">
      <c r="B457" s="2" t="s">
        <v>4</v>
      </c>
      <c r="C457" s="2">
        <v>2023</v>
      </c>
      <c r="D457" s="1">
        <v>226073</v>
      </c>
      <c r="E457" s="11">
        <v>19798352</v>
      </c>
      <c r="F457" s="1">
        <v>146314</v>
      </c>
      <c r="G457" s="11">
        <v>13259156</v>
      </c>
      <c r="H457" s="1">
        <v>132543</v>
      </c>
      <c r="I457" s="11">
        <v>22256765</v>
      </c>
      <c r="J457" s="45">
        <v>0</v>
      </c>
      <c r="K457" s="11">
        <v>0</v>
      </c>
      <c r="L457" s="1">
        <f t="shared" si="246"/>
        <v>504930</v>
      </c>
      <c r="M457" s="11">
        <f t="shared" si="246"/>
        <v>55314273</v>
      </c>
      <c r="N457" s="39">
        <f t="shared" si="245"/>
        <v>0</v>
      </c>
      <c r="O457" s="13">
        <f t="shared" si="245"/>
        <v>0</v>
      </c>
    </row>
    <row r="458" spans="2:15" hidden="1" outlineLevel="1" x14ac:dyDescent="0.25">
      <c r="B458" s="2" t="s">
        <v>28</v>
      </c>
      <c r="C458" s="2">
        <v>2023</v>
      </c>
      <c r="D458" s="1">
        <v>215746</v>
      </c>
      <c r="E458" s="11">
        <v>18503822</v>
      </c>
      <c r="F458" s="1">
        <v>143366</v>
      </c>
      <c r="G458" s="11">
        <v>12881134</v>
      </c>
      <c r="H458" s="1">
        <v>124529</v>
      </c>
      <c r="I458" s="11">
        <v>20731443</v>
      </c>
      <c r="J458" s="45">
        <v>0</v>
      </c>
      <c r="K458" s="11">
        <v>0</v>
      </c>
      <c r="L458" s="1">
        <f t="shared" si="246"/>
        <v>483641</v>
      </c>
      <c r="M458" s="11">
        <f t="shared" si="246"/>
        <v>52116399</v>
      </c>
      <c r="N458" s="39">
        <f t="shared" si="245"/>
        <v>0</v>
      </c>
      <c r="O458" s="13">
        <f t="shared" si="245"/>
        <v>0</v>
      </c>
    </row>
    <row r="459" spans="2:15" hidden="1" outlineLevel="1" x14ac:dyDescent="0.25">
      <c r="B459" s="2" t="s">
        <v>29</v>
      </c>
      <c r="C459" s="2">
        <v>2023</v>
      </c>
      <c r="D459" s="1">
        <v>230866</v>
      </c>
      <c r="E459" s="11">
        <v>20055448</v>
      </c>
      <c r="F459" s="1">
        <v>159786</v>
      </c>
      <c r="G459" s="11">
        <v>14361293</v>
      </c>
      <c r="H459" s="1">
        <v>129536</v>
      </c>
      <c r="I459" s="11">
        <v>21736964</v>
      </c>
      <c r="J459" s="45">
        <v>0</v>
      </c>
      <c r="K459" s="11">
        <v>0</v>
      </c>
      <c r="L459" s="1">
        <f t="shared" si="246"/>
        <v>520188</v>
      </c>
      <c r="M459" s="11">
        <f t="shared" si="246"/>
        <v>56153705</v>
      </c>
      <c r="N459" s="39">
        <f t="shared" si="245"/>
        <v>0</v>
      </c>
      <c r="O459" s="13">
        <f t="shared" si="245"/>
        <v>0</v>
      </c>
    </row>
    <row r="460" spans="2:15" hidden="1" outlineLevel="1" x14ac:dyDescent="0.25">
      <c r="B460" s="2" t="s">
        <v>30</v>
      </c>
      <c r="C460" s="2">
        <v>2023</v>
      </c>
      <c r="D460" s="1">
        <v>218258</v>
      </c>
      <c r="E460" s="11">
        <v>19423693</v>
      </c>
      <c r="F460" s="1">
        <v>152039</v>
      </c>
      <c r="G460" s="11">
        <v>14042599</v>
      </c>
      <c r="H460" s="1">
        <v>120861</v>
      </c>
      <c r="I460" s="11">
        <v>20478731</v>
      </c>
      <c r="J460" s="45"/>
      <c r="K460" s="11"/>
      <c r="L460" s="1">
        <f t="shared" si="246"/>
        <v>491158</v>
      </c>
      <c r="M460" s="11">
        <f t="shared" si="246"/>
        <v>53945023</v>
      </c>
      <c r="N460" s="39">
        <f t="shared" si="245"/>
        <v>0</v>
      </c>
      <c r="O460" s="13">
        <f t="shared" si="245"/>
        <v>0</v>
      </c>
    </row>
    <row r="461" spans="2:15" hidden="1" outlineLevel="1" x14ac:dyDescent="0.25">
      <c r="B461" s="2" t="s">
        <v>31</v>
      </c>
      <c r="C461" s="2">
        <v>2023</v>
      </c>
      <c r="D461" s="1">
        <v>242324</v>
      </c>
      <c r="E461" s="11">
        <v>21116884.140000001</v>
      </c>
      <c r="F461" s="1">
        <v>156270</v>
      </c>
      <c r="G461" s="11">
        <v>14394438.25</v>
      </c>
      <c r="H461" s="1">
        <v>127444</v>
      </c>
      <c r="I461" s="11">
        <v>21987874.559999999</v>
      </c>
      <c r="J461" s="45">
        <v>0</v>
      </c>
      <c r="K461" s="11">
        <v>0</v>
      </c>
      <c r="L461" s="1">
        <f t="shared" si="246"/>
        <v>526038</v>
      </c>
      <c r="M461" s="11">
        <f t="shared" si="246"/>
        <v>57499196.950000003</v>
      </c>
      <c r="N461" s="39">
        <f t="shared" si="245"/>
        <v>0</v>
      </c>
      <c r="O461" s="13">
        <f t="shared" si="245"/>
        <v>0</v>
      </c>
    </row>
    <row r="462" spans="2:15" hidden="1" outlineLevel="1" x14ac:dyDescent="0.25"/>
    <row r="463" spans="2:15" hidden="1" outlineLevel="1" x14ac:dyDescent="0.25">
      <c r="B463" s="88" t="s">
        <v>12</v>
      </c>
      <c r="C463" s="88"/>
      <c r="D463" s="4">
        <f>SUM(D450:D462)</f>
        <v>2631716</v>
      </c>
      <c r="E463" s="12">
        <f>SUM(E450:E462)</f>
        <v>227465831.13999999</v>
      </c>
      <c r="F463" s="4">
        <f t="shared" ref="F463:M463" si="247">SUM(F450:F462)</f>
        <v>1714414</v>
      </c>
      <c r="G463" s="12">
        <f t="shared" si="247"/>
        <v>148396136.25</v>
      </c>
      <c r="H463" s="4">
        <f t="shared" si="247"/>
        <v>1462010</v>
      </c>
      <c r="I463" s="12">
        <f t="shared" si="247"/>
        <v>244245618.56</v>
      </c>
      <c r="J463" s="4">
        <f t="shared" si="247"/>
        <v>0</v>
      </c>
      <c r="K463" s="12">
        <f t="shared" si="247"/>
        <v>0</v>
      </c>
      <c r="L463" s="4">
        <f t="shared" si="247"/>
        <v>5808140</v>
      </c>
      <c r="M463" s="12">
        <f t="shared" si="247"/>
        <v>620107585.95000005</v>
      </c>
    </row>
    <row r="464" spans="2:15" hidden="1" outlineLevel="1" x14ac:dyDescent="0.25"/>
    <row r="465" spans="2:15" hidden="1" outlineLevel="1" x14ac:dyDescent="0.25">
      <c r="B465" s="5" t="s">
        <v>14</v>
      </c>
    </row>
    <row r="466" spans="2:15" hidden="1" outlineLevel="1" x14ac:dyDescent="0.25">
      <c r="B466" s="5" t="s">
        <v>79</v>
      </c>
    </row>
    <row r="467" spans="2:15" hidden="1" outlineLevel="1" x14ac:dyDescent="0.25"/>
    <row r="468" spans="2:15" hidden="1" outlineLevel="1" x14ac:dyDescent="0.25">
      <c r="D468" s="89" t="s">
        <v>15</v>
      </c>
      <c r="E468" s="90"/>
      <c r="F468" s="89" t="s">
        <v>72</v>
      </c>
      <c r="G468" s="90"/>
      <c r="H468" s="89" t="s">
        <v>16</v>
      </c>
      <c r="I468" s="90"/>
      <c r="J468" s="89" t="s">
        <v>73</v>
      </c>
      <c r="K468" s="90"/>
      <c r="L468" s="89" t="s">
        <v>70</v>
      </c>
      <c r="M468" s="90"/>
      <c r="N468" s="9"/>
    </row>
    <row r="469" spans="2:15" hidden="1" outlineLevel="1" x14ac:dyDescent="0.25">
      <c r="B469" s="7" t="s">
        <v>0</v>
      </c>
      <c r="C469" s="7" t="s">
        <v>1</v>
      </c>
      <c r="D469" s="7" t="s">
        <v>2</v>
      </c>
      <c r="E469" s="10" t="s">
        <v>3</v>
      </c>
      <c r="F469" s="7" t="s">
        <v>2</v>
      </c>
      <c r="G469" s="10" t="s">
        <v>3</v>
      </c>
      <c r="H469" s="7" t="s">
        <v>2</v>
      </c>
      <c r="I469" s="10" t="s">
        <v>3</v>
      </c>
      <c r="J469" s="7" t="s">
        <v>2</v>
      </c>
      <c r="K469" s="10" t="s">
        <v>3</v>
      </c>
      <c r="L469" s="7" t="s">
        <v>2</v>
      </c>
      <c r="M469" s="10" t="s">
        <v>3</v>
      </c>
      <c r="N469" s="9"/>
    </row>
    <row r="470" spans="2:15" hidden="1" outlineLevel="1" x14ac:dyDescent="0.25">
      <c r="N470" s="9"/>
    </row>
    <row r="471" spans="2:15" hidden="1" outlineLevel="1" x14ac:dyDescent="0.25">
      <c r="B471" s="2" t="s">
        <v>5</v>
      </c>
      <c r="C471" s="2">
        <v>2023</v>
      </c>
      <c r="D471" s="1">
        <v>7273</v>
      </c>
      <c r="E471" s="11">
        <v>841369</v>
      </c>
      <c r="F471" s="1">
        <v>5663</v>
      </c>
      <c r="G471" s="11">
        <v>773960</v>
      </c>
      <c r="H471" s="1">
        <v>6084</v>
      </c>
      <c r="I471" s="11">
        <v>436571</v>
      </c>
      <c r="J471" s="1">
        <v>0</v>
      </c>
      <c r="K471" s="11">
        <v>0</v>
      </c>
      <c r="L471" s="1">
        <f>+D471+F471+H471+J471</f>
        <v>19020</v>
      </c>
      <c r="M471" s="11">
        <f>+E471+G471+I471+K471</f>
        <v>2051900</v>
      </c>
      <c r="N471" s="39">
        <f t="shared" ref="N471:O482" si="248">+L471-P344</f>
        <v>0</v>
      </c>
      <c r="O471" s="13">
        <f t="shared" si="248"/>
        <v>0</v>
      </c>
    </row>
    <row r="472" spans="2:15" hidden="1" outlineLevel="1" x14ac:dyDescent="0.25">
      <c r="B472" s="2" t="s">
        <v>6</v>
      </c>
      <c r="C472" s="2">
        <v>2023</v>
      </c>
      <c r="D472" s="1">
        <v>6720</v>
      </c>
      <c r="E472" s="11">
        <v>815110</v>
      </c>
      <c r="F472" s="1">
        <v>5191</v>
      </c>
      <c r="G472" s="11">
        <v>725306</v>
      </c>
      <c r="H472" s="1">
        <v>5433</v>
      </c>
      <c r="I472" s="11">
        <v>419615</v>
      </c>
      <c r="J472" s="1">
        <v>0</v>
      </c>
      <c r="K472" s="11">
        <v>0</v>
      </c>
      <c r="L472" s="1">
        <f t="shared" ref="L472:M482" si="249">+D472+F472+H472+J472</f>
        <v>17344</v>
      </c>
      <c r="M472" s="11">
        <f t="shared" si="249"/>
        <v>1960031</v>
      </c>
      <c r="N472" s="39">
        <f t="shared" si="248"/>
        <v>0</v>
      </c>
      <c r="O472" s="13">
        <f t="shared" si="248"/>
        <v>0</v>
      </c>
    </row>
    <row r="473" spans="2:15" hidden="1" outlineLevel="1" x14ac:dyDescent="0.25">
      <c r="B473" s="2" t="s">
        <v>7</v>
      </c>
      <c r="C473" s="2">
        <v>2023</v>
      </c>
      <c r="D473" s="1">
        <v>7746</v>
      </c>
      <c r="E473" s="11">
        <v>995256</v>
      </c>
      <c r="F473" s="1">
        <v>5971</v>
      </c>
      <c r="G473" s="11">
        <v>878532</v>
      </c>
      <c r="H473" s="1">
        <v>6855</v>
      </c>
      <c r="I473" s="11">
        <v>633086</v>
      </c>
      <c r="J473" s="1">
        <v>0</v>
      </c>
      <c r="K473" s="11">
        <v>0</v>
      </c>
      <c r="L473" s="1">
        <f t="shared" si="249"/>
        <v>20572</v>
      </c>
      <c r="M473" s="11">
        <f t="shared" si="249"/>
        <v>2506874</v>
      </c>
      <c r="N473" s="39">
        <f t="shared" si="248"/>
        <v>0</v>
      </c>
      <c r="O473" s="13">
        <f t="shared" si="248"/>
        <v>0</v>
      </c>
    </row>
    <row r="474" spans="2:15" hidden="1" outlineLevel="1" x14ac:dyDescent="0.25">
      <c r="B474" s="2" t="s">
        <v>8</v>
      </c>
      <c r="C474" s="2">
        <v>2023</v>
      </c>
      <c r="D474" s="1">
        <v>9096</v>
      </c>
      <c r="E474" s="11">
        <v>1500251</v>
      </c>
      <c r="F474" s="1">
        <v>5782</v>
      </c>
      <c r="G474" s="11">
        <v>948002</v>
      </c>
      <c r="H474" s="1">
        <v>13252</v>
      </c>
      <c r="I474" s="11">
        <v>3049517</v>
      </c>
      <c r="J474" s="1">
        <v>0</v>
      </c>
      <c r="K474" s="11">
        <v>0</v>
      </c>
      <c r="L474" s="1">
        <f t="shared" si="249"/>
        <v>28130</v>
      </c>
      <c r="M474" s="11">
        <f t="shared" si="249"/>
        <v>5497770</v>
      </c>
      <c r="N474" s="39">
        <f t="shared" si="248"/>
        <v>0</v>
      </c>
      <c r="O474" s="13">
        <f t="shared" si="248"/>
        <v>0</v>
      </c>
    </row>
    <row r="475" spans="2:15" hidden="1" outlineLevel="1" x14ac:dyDescent="0.25">
      <c r="B475" s="2" t="s">
        <v>9</v>
      </c>
      <c r="C475" s="2">
        <v>2023</v>
      </c>
      <c r="D475" s="1">
        <v>9409</v>
      </c>
      <c r="E475" s="11">
        <v>1582306</v>
      </c>
      <c r="F475" s="1">
        <v>6079</v>
      </c>
      <c r="G475" s="11">
        <v>1007561</v>
      </c>
      <c r="H475" s="1">
        <v>14517</v>
      </c>
      <c r="I475" s="11">
        <v>3416819</v>
      </c>
      <c r="J475" s="1">
        <v>0</v>
      </c>
      <c r="K475" s="11">
        <v>0</v>
      </c>
      <c r="L475" s="1">
        <f t="shared" si="249"/>
        <v>30005</v>
      </c>
      <c r="M475" s="11">
        <f t="shared" si="249"/>
        <v>6006686</v>
      </c>
      <c r="N475" s="39">
        <f t="shared" si="248"/>
        <v>0</v>
      </c>
      <c r="O475" s="13">
        <f t="shared" si="248"/>
        <v>0</v>
      </c>
    </row>
    <row r="476" spans="2:15" hidden="1" outlineLevel="1" x14ac:dyDescent="0.25">
      <c r="B476" s="2" t="s">
        <v>10</v>
      </c>
      <c r="C476" s="2">
        <v>2023</v>
      </c>
      <c r="D476" s="1">
        <v>9282</v>
      </c>
      <c r="E476" s="11">
        <v>1508396</v>
      </c>
      <c r="F476" s="1">
        <v>6834</v>
      </c>
      <c r="G476" s="11">
        <v>1181394</v>
      </c>
      <c r="H476" s="1">
        <v>14396</v>
      </c>
      <c r="I476" s="11">
        <v>3326660</v>
      </c>
      <c r="J476" s="1">
        <v>0</v>
      </c>
      <c r="K476" s="11">
        <v>0</v>
      </c>
      <c r="L476" s="1">
        <f t="shared" si="249"/>
        <v>30512</v>
      </c>
      <c r="M476" s="11">
        <f t="shared" si="249"/>
        <v>6016450</v>
      </c>
      <c r="N476" s="39">
        <f t="shared" si="248"/>
        <v>0</v>
      </c>
      <c r="O476" s="13">
        <f t="shared" si="248"/>
        <v>0</v>
      </c>
    </row>
    <row r="477" spans="2:15" hidden="1" outlineLevel="1" x14ac:dyDescent="0.25">
      <c r="B477" s="2" t="s">
        <v>11</v>
      </c>
      <c r="C477" s="2">
        <v>2023</v>
      </c>
      <c r="D477" s="1">
        <v>10161</v>
      </c>
      <c r="E477" s="11">
        <v>1582019</v>
      </c>
      <c r="F477" s="1">
        <v>6404</v>
      </c>
      <c r="G477" s="11">
        <v>1127351</v>
      </c>
      <c r="H477" s="1">
        <v>14109</v>
      </c>
      <c r="I477" s="11">
        <v>3234825</v>
      </c>
      <c r="J477" s="1">
        <v>0</v>
      </c>
      <c r="K477" s="11">
        <v>0</v>
      </c>
      <c r="L477" s="1">
        <f t="shared" si="249"/>
        <v>30674</v>
      </c>
      <c r="M477" s="11">
        <f t="shared" si="249"/>
        <v>5944195</v>
      </c>
      <c r="N477" s="39">
        <f t="shared" si="248"/>
        <v>0</v>
      </c>
      <c r="O477" s="13">
        <f t="shared" si="248"/>
        <v>0</v>
      </c>
    </row>
    <row r="478" spans="2:15" hidden="1" outlineLevel="1" x14ac:dyDescent="0.25">
      <c r="B478" s="2" t="s">
        <v>4</v>
      </c>
      <c r="C478" s="2">
        <v>2023</v>
      </c>
      <c r="D478" s="1">
        <v>10592</v>
      </c>
      <c r="E478" s="11">
        <v>1624332</v>
      </c>
      <c r="F478" s="1">
        <v>7086</v>
      </c>
      <c r="G478" s="11">
        <v>1215695</v>
      </c>
      <c r="H478" s="1">
        <v>14747</v>
      </c>
      <c r="I478" s="11">
        <v>3329832</v>
      </c>
      <c r="J478" s="1">
        <v>0</v>
      </c>
      <c r="K478" s="11">
        <v>0</v>
      </c>
      <c r="L478" s="1">
        <f t="shared" si="249"/>
        <v>32425</v>
      </c>
      <c r="M478" s="11">
        <f t="shared" si="249"/>
        <v>6169859</v>
      </c>
      <c r="N478" s="39">
        <f t="shared" si="248"/>
        <v>0</v>
      </c>
      <c r="O478" s="13">
        <f t="shared" si="248"/>
        <v>0</v>
      </c>
    </row>
    <row r="479" spans="2:15" hidden="1" outlineLevel="1" x14ac:dyDescent="0.25">
      <c r="B479" s="2" t="s">
        <v>28</v>
      </c>
      <c r="C479" s="2">
        <v>2023</v>
      </c>
      <c r="D479" s="1">
        <v>10104</v>
      </c>
      <c r="E479" s="11">
        <v>1606747</v>
      </c>
      <c r="F479" s="1">
        <v>7000</v>
      </c>
      <c r="G479" s="11">
        <v>1192507</v>
      </c>
      <c r="H479" s="1">
        <v>13792</v>
      </c>
      <c r="I479" s="11">
        <v>3147416</v>
      </c>
      <c r="J479" s="1">
        <v>0</v>
      </c>
      <c r="K479" s="11">
        <v>0</v>
      </c>
      <c r="L479" s="1">
        <f t="shared" si="249"/>
        <v>30896</v>
      </c>
      <c r="M479" s="11">
        <f t="shared" si="249"/>
        <v>5946670</v>
      </c>
      <c r="N479" s="39">
        <f t="shared" si="248"/>
        <v>0</v>
      </c>
      <c r="O479" s="13">
        <f t="shared" si="248"/>
        <v>0</v>
      </c>
    </row>
    <row r="480" spans="2:15" hidden="1" outlineLevel="1" x14ac:dyDescent="0.25">
      <c r="B480" s="2" t="s">
        <v>29</v>
      </c>
      <c r="C480" s="2">
        <v>2023</v>
      </c>
      <c r="D480" s="1">
        <v>11098</v>
      </c>
      <c r="E480" s="11">
        <v>1769982</v>
      </c>
      <c r="F480" s="1">
        <v>7208</v>
      </c>
      <c r="G480" s="11">
        <v>1271177</v>
      </c>
      <c r="H480" s="1">
        <v>15042</v>
      </c>
      <c r="I480" s="11">
        <v>3505932</v>
      </c>
      <c r="J480" s="1">
        <v>0</v>
      </c>
      <c r="K480" s="11">
        <v>0</v>
      </c>
      <c r="L480" s="1">
        <f t="shared" si="249"/>
        <v>33348</v>
      </c>
      <c r="M480" s="11">
        <f t="shared" si="249"/>
        <v>6547091</v>
      </c>
      <c r="N480" s="39">
        <f t="shared" si="248"/>
        <v>0</v>
      </c>
      <c r="O480" s="13">
        <f t="shared" si="248"/>
        <v>0</v>
      </c>
    </row>
    <row r="481" spans="2:15" hidden="1" outlineLevel="1" x14ac:dyDescent="0.25">
      <c r="B481" s="2" t="s">
        <v>30</v>
      </c>
      <c r="C481" s="2">
        <v>2023</v>
      </c>
      <c r="D481" s="1">
        <v>11503</v>
      </c>
      <c r="E481" s="11">
        <v>1830525</v>
      </c>
      <c r="F481" s="1">
        <v>6993</v>
      </c>
      <c r="G481" s="11">
        <v>1309067</v>
      </c>
      <c r="H481" s="1">
        <v>16907</v>
      </c>
      <c r="I481" s="11">
        <v>3952475</v>
      </c>
      <c r="J481" s="1"/>
      <c r="K481" s="11"/>
      <c r="L481" s="1">
        <f t="shared" si="249"/>
        <v>35403</v>
      </c>
      <c r="M481" s="11">
        <f t="shared" si="249"/>
        <v>7092067</v>
      </c>
      <c r="N481" s="39">
        <f t="shared" si="248"/>
        <v>0</v>
      </c>
      <c r="O481" s="13">
        <f t="shared" si="248"/>
        <v>0</v>
      </c>
    </row>
    <row r="482" spans="2:15" hidden="1" outlineLevel="1" x14ac:dyDescent="0.25">
      <c r="B482" s="2" t="s">
        <v>31</v>
      </c>
      <c r="C482" s="2">
        <v>2023</v>
      </c>
      <c r="D482" s="1">
        <v>12407</v>
      </c>
      <c r="E482" s="11">
        <v>1868592</v>
      </c>
      <c r="F482" s="1">
        <v>7030</v>
      </c>
      <c r="G482" s="11">
        <v>1373930</v>
      </c>
      <c r="H482" s="1">
        <v>17946</v>
      </c>
      <c r="I482" s="11">
        <v>4129767</v>
      </c>
      <c r="J482" s="1">
        <v>0</v>
      </c>
      <c r="K482" s="11">
        <v>0</v>
      </c>
      <c r="L482" s="1">
        <f t="shared" si="249"/>
        <v>37383</v>
      </c>
      <c r="M482" s="11">
        <f t="shared" si="249"/>
        <v>7372289</v>
      </c>
      <c r="N482" s="39">
        <f t="shared" si="248"/>
        <v>0</v>
      </c>
      <c r="O482" s="13">
        <f t="shared" si="248"/>
        <v>0</v>
      </c>
    </row>
    <row r="483" spans="2:15" hidden="1" outlineLevel="1" x14ac:dyDescent="0.25"/>
    <row r="484" spans="2:15" hidden="1" outlineLevel="1" x14ac:dyDescent="0.25">
      <c r="B484" s="88" t="s">
        <v>12</v>
      </c>
      <c r="C484" s="88"/>
      <c r="D484" s="4">
        <f>SUM(D471:D483)</f>
        <v>115391</v>
      </c>
      <c r="E484" s="12">
        <f>SUM(E471:E483)</f>
        <v>17524885</v>
      </c>
      <c r="F484" s="4">
        <f t="shared" ref="F484:M484" si="250">SUM(F471:F483)</f>
        <v>77241</v>
      </c>
      <c r="G484" s="12">
        <f t="shared" si="250"/>
        <v>13004482</v>
      </c>
      <c r="H484" s="4">
        <f t="shared" si="250"/>
        <v>153080</v>
      </c>
      <c r="I484" s="12">
        <f t="shared" si="250"/>
        <v>32582515</v>
      </c>
      <c r="J484" s="4">
        <f t="shared" si="250"/>
        <v>0</v>
      </c>
      <c r="K484" s="12">
        <f t="shared" si="250"/>
        <v>0</v>
      </c>
      <c r="L484" s="4">
        <f t="shared" si="250"/>
        <v>345712</v>
      </c>
      <c r="M484" s="12">
        <f t="shared" si="250"/>
        <v>63111882</v>
      </c>
    </row>
    <row r="485" spans="2:15" hidden="1" outlineLevel="1" x14ac:dyDescent="0.25"/>
    <row r="486" spans="2:15" hidden="1" outlineLevel="1" x14ac:dyDescent="0.25">
      <c r="B486" s="5" t="s">
        <v>14</v>
      </c>
    </row>
    <row r="487" spans="2:15" hidden="1" outlineLevel="1" x14ac:dyDescent="0.25">
      <c r="B487" s="5" t="s">
        <v>88</v>
      </c>
    </row>
    <row r="488" spans="2:15" hidden="1" outlineLevel="1" x14ac:dyDescent="0.25"/>
    <row r="489" spans="2:15" hidden="1" outlineLevel="1" x14ac:dyDescent="0.25">
      <c r="D489" s="89" t="s">
        <v>15</v>
      </c>
      <c r="E489" s="90"/>
      <c r="F489" s="89" t="s">
        <v>72</v>
      </c>
      <c r="G489" s="90"/>
      <c r="H489" s="89" t="s">
        <v>16</v>
      </c>
      <c r="I489" s="90"/>
      <c r="J489" s="89" t="s">
        <v>73</v>
      </c>
      <c r="K489" s="90"/>
      <c r="L489" s="89" t="s">
        <v>70</v>
      </c>
      <c r="M489" s="90"/>
      <c r="N489" s="9"/>
    </row>
    <row r="490" spans="2:15" hidden="1" outlineLevel="1" x14ac:dyDescent="0.25">
      <c r="B490" s="7" t="s">
        <v>0</v>
      </c>
      <c r="C490" s="7" t="s">
        <v>1</v>
      </c>
      <c r="D490" s="7" t="s">
        <v>2</v>
      </c>
      <c r="E490" s="10" t="s">
        <v>3</v>
      </c>
      <c r="F490" s="7" t="s">
        <v>2</v>
      </c>
      <c r="G490" s="10" t="s">
        <v>3</v>
      </c>
      <c r="H490" s="7" t="s">
        <v>2</v>
      </c>
      <c r="I490" s="10" t="s">
        <v>3</v>
      </c>
      <c r="J490" s="7" t="s">
        <v>2</v>
      </c>
      <c r="K490" s="10" t="s">
        <v>3</v>
      </c>
      <c r="L490" s="7" t="s">
        <v>2</v>
      </c>
      <c r="M490" s="10" t="s">
        <v>3</v>
      </c>
      <c r="N490" s="9"/>
    </row>
    <row r="491" spans="2:15" hidden="1" outlineLevel="1" x14ac:dyDescent="0.25">
      <c r="N491" s="9"/>
    </row>
    <row r="492" spans="2:15" hidden="1" outlineLevel="1" x14ac:dyDescent="0.25">
      <c r="B492" s="2" t="s">
        <v>5</v>
      </c>
      <c r="C492" s="2">
        <v>2023</v>
      </c>
      <c r="D492" s="1">
        <v>196549</v>
      </c>
      <c r="E492" s="11">
        <v>11530680</v>
      </c>
      <c r="F492" s="1">
        <v>168221</v>
      </c>
      <c r="G492" s="11">
        <v>9613235</v>
      </c>
      <c r="H492" s="1">
        <v>80487</v>
      </c>
      <c r="I492" s="11">
        <v>10152616</v>
      </c>
      <c r="J492" s="1">
        <v>0</v>
      </c>
      <c r="K492" s="11">
        <v>0</v>
      </c>
      <c r="L492" s="1">
        <f>+D492+F492+H492+J492</f>
        <v>445257</v>
      </c>
      <c r="M492" s="11">
        <f>+E492+G492+I492+K492</f>
        <v>31296531</v>
      </c>
      <c r="N492" s="39">
        <f t="shared" ref="N492:O503" si="251">+L492-R344</f>
        <v>0</v>
      </c>
      <c r="O492" s="13">
        <f t="shared" si="251"/>
        <v>0</v>
      </c>
    </row>
    <row r="493" spans="2:15" hidden="1" outlineLevel="1" x14ac:dyDescent="0.25">
      <c r="B493" s="2" t="s">
        <v>6</v>
      </c>
      <c r="C493" s="2">
        <v>2023</v>
      </c>
      <c r="D493" s="1">
        <v>186243</v>
      </c>
      <c r="E493" s="11">
        <v>11306861</v>
      </c>
      <c r="F493" s="1">
        <v>157447</v>
      </c>
      <c r="G493" s="11">
        <v>9205981</v>
      </c>
      <c r="H493" s="1">
        <v>71690</v>
      </c>
      <c r="I493" s="11">
        <v>8749294</v>
      </c>
      <c r="J493" s="1">
        <v>0</v>
      </c>
      <c r="K493" s="11">
        <v>0</v>
      </c>
      <c r="L493" s="1">
        <f t="shared" ref="L493:M503" si="252">+D493+F493+H493+J493</f>
        <v>415380</v>
      </c>
      <c r="M493" s="11">
        <f t="shared" si="252"/>
        <v>29262136</v>
      </c>
      <c r="N493" s="39">
        <f t="shared" si="251"/>
        <v>0</v>
      </c>
      <c r="O493" s="13">
        <f t="shared" si="251"/>
        <v>0</v>
      </c>
    </row>
    <row r="494" spans="2:15" hidden="1" outlineLevel="1" x14ac:dyDescent="0.25">
      <c r="B494" s="2" t="s">
        <v>7</v>
      </c>
      <c r="C494" s="2">
        <v>2023</v>
      </c>
      <c r="D494" s="1">
        <v>213477</v>
      </c>
      <c r="E494" s="11">
        <v>14111508</v>
      </c>
      <c r="F494" s="1">
        <v>176414</v>
      </c>
      <c r="G494" s="11">
        <v>11027742</v>
      </c>
      <c r="H494" s="1">
        <v>82691</v>
      </c>
      <c r="I494" s="11">
        <v>10014230</v>
      </c>
      <c r="J494" s="1">
        <v>0</v>
      </c>
      <c r="K494" s="11">
        <v>0</v>
      </c>
      <c r="L494" s="1">
        <f t="shared" si="252"/>
        <v>472582</v>
      </c>
      <c r="M494" s="11">
        <f t="shared" si="252"/>
        <v>35153480</v>
      </c>
      <c r="N494" s="39">
        <f t="shared" si="251"/>
        <v>0</v>
      </c>
      <c r="O494" s="13">
        <f t="shared" si="251"/>
        <v>0</v>
      </c>
    </row>
    <row r="495" spans="2:15" hidden="1" outlineLevel="1" x14ac:dyDescent="0.25">
      <c r="B495" s="2" t="s">
        <v>8</v>
      </c>
      <c r="C495" s="2">
        <v>2023</v>
      </c>
      <c r="D495" s="1">
        <v>203614</v>
      </c>
      <c r="E495" s="11">
        <v>13389903</v>
      </c>
      <c r="F495" s="1">
        <v>169127</v>
      </c>
      <c r="G495" s="11">
        <v>10508498</v>
      </c>
      <c r="H495" s="1">
        <v>85036</v>
      </c>
      <c r="I495" s="11">
        <v>10491480</v>
      </c>
      <c r="J495" s="1">
        <v>0</v>
      </c>
      <c r="K495" s="11">
        <v>0</v>
      </c>
      <c r="L495" s="1">
        <f t="shared" si="252"/>
        <v>457777</v>
      </c>
      <c r="M495" s="11">
        <f t="shared" si="252"/>
        <v>34389881</v>
      </c>
      <c r="N495" s="39">
        <f t="shared" si="251"/>
        <v>0</v>
      </c>
      <c r="O495" s="13">
        <f t="shared" si="251"/>
        <v>0</v>
      </c>
    </row>
    <row r="496" spans="2:15" hidden="1" outlineLevel="1" x14ac:dyDescent="0.25">
      <c r="B496" s="2" t="s">
        <v>9</v>
      </c>
      <c r="C496" s="2">
        <v>2023</v>
      </c>
      <c r="D496" s="1">
        <v>206843</v>
      </c>
      <c r="E496" s="11">
        <v>13101388</v>
      </c>
      <c r="F496" s="1">
        <v>184622</v>
      </c>
      <c r="G496" s="11">
        <v>11490661</v>
      </c>
      <c r="H496" s="1">
        <v>86847</v>
      </c>
      <c r="I496" s="11">
        <v>10604979</v>
      </c>
      <c r="J496" s="1">
        <v>0</v>
      </c>
      <c r="K496" s="11">
        <v>0</v>
      </c>
      <c r="L496" s="1">
        <f t="shared" si="252"/>
        <v>478312</v>
      </c>
      <c r="M496" s="11">
        <f t="shared" si="252"/>
        <v>35197028</v>
      </c>
      <c r="N496" s="39">
        <f t="shared" si="251"/>
        <v>0</v>
      </c>
      <c r="O496" s="13">
        <f t="shared" si="251"/>
        <v>0</v>
      </c>
    </row>
    <row r="497" spans="2:21" hidden="1" outlineLevel="1" x14ac:dyDescent="0.25">
      <c r="B497" s="2" t="s">
        <v>10</v>
      </c>
      <c r="C497" s="2">
        <v>2023</v>
      </c>
      <c r="D497" s="1">
        <v>206135</v>
      </c>
      <c r="E497" s="11">
        <v>13315315</v>
      </c>
      <c r="F497" s="1">
        <v>182483</v>
      </c>
      <c r="G497" s="11">
        <v>11649575</v>
      </c>
      <c r="H497" s="1">
        <v>85139</v>
      </c>
      <c r="I497" s="11">
        <v>10265212</v>
      </c>
      <c r="J497" s="1">
        <v>0</v>
      </c>
      <c r="K497" s="11">
        <v>0</v>
      </c>
      <c r="L497" s="1">
        <f t="shared" si="252"/>
        <v>473757</v>
      </c>
      <c r="M497" s="11">
        <f t="shared" si="252"/>
        <v>35230102</v>
      </c>
      <c r="N497" s="39">
        <f t="shared" si="251"/>
        <v>0</v>
      </c>
      <c r="O497" s="13">
        <f t="shared" si="251"/>
        <v>0</v>
      </c>
    </row>
    <row r="498" spans="2:21" hidden="1" outlineLevel="1" x14ac:dyDescent="0.25">
      <c r="B498" s="2" t="s">
        <v>11</v>
      </c>
      <c r="C498" s="2">
        <v>2023</v>
      </c>
      <c r="D498" s="1">
        <v>216334</v>
      </c>
      <c r="E498" s="11">
        <v>14057004</v>
      </c>
      <c r="F498" s="1">
        <v>186869</v>
      </c>
      <c r="G498" s="11">
        <v>11919080</v>
      </c>
      <c r="H498" s="1">
        <v>90384</v>
      </c>
      <c r="I498" s="11">
        <v>11222271</v>
      </c>
      <c r="J498" s="1">
        <v>0</v>
      </c>
      <c r="K498" s="11">
        <v>0</v>
      </c>
      <c r="L498" s="1">
        <f t="shared" si="252"/>
        <v>493587</v>
      </c>
      <c r="M498" s="11">
        <f t="shared" si="252"/>
        <v>37198355</v>
      </c>
      <c r="N498" s="39">
        <f t="shared" si="251"/>
        <v>0</v>
      </c>
      <c r="O498" s="13">
        <f t="shared" si="251"/>
        <v>0</v>
      </c>
    </row>
    <row r="499" spans="2:21" hidden="1" outlineLevel="1" x14ac:dyDescent="0.25">
      <c r="B499" s="2" t="s">
        <v>4</v>
      </c>
      <c r="C499" s="2">
        <v>2023</v>
      </c>
      <c r="D499" s="1">
        <v>208378</v>
      </c>
      <c r="E499" s="11">
        <v>13454332</v>
      </c>
      <c r="F499" s="1">
        <v>182489</v>
      </c>
      <c r="G499" s="11">
        <v>11837567</v>
      </c>
      <c r="H499" s="1">
        <v>90837</v>
      </c>
      <c r="I499" s="11">
        <v>11278266</v>
      </c>
      <c r="J499" s="1">
        <v>0</v>
      </c>
      <c r="K499" s="11">
        <v>0</v>
      </c>
      <c r="L499" s="1">
        <f t="shared" si="252"/>
        <v>481704</v>
      </c>
      <c r="M499" s="11">
        <f t="shared" si="252"/>
        <v>36570165</v>
      </c>
      <c r="N499" s="39">
        <f t="shared" si="251"/>
        <v>0</v>
      </c>
      <c r="O499" s="13">
        <f t="shared" si="251"/>
        <v>0</v>
      </c>
    </row>
    <row r="500" spans="2:21" hidden="1" outlineLevel="1" x14ac:dyDescent="0.25">
      <c r="B500" s="2" t="s">
        <v>28</v>
      </c>
      <c r="C500" s="2">
        <v>2023</v>
      </c>
      <c r="D500" s="1">
        <v>211999</v>
      </c>
      <c r="E500" s="11">
        <v>13362403</v>
      </c>
      <c r="F500" s="1">
        <v>185088</v>
      </c>
      <c r="G500" s="11">
        <v>12001643</v>
      </c>
      <c r="H500" s="1">
        <v>86187</v>
      </c>
      <c r="I500" s="11">
        <v>10559389</v>
      </c>
      <c r="J500" s="1">
        <v>0</v>
      </c>
      <c r="K500" s="11">
        <v>0</v>
      </c>
      <c r="L500" s="1">
        <f t="shared" si="252"/>
        <v>483274</v>
      </c>
      <c r="M500" s="11">
        <f t="shared" si="252"/>
        <v>35923435</v>
      </c>
      <c r="N500" s="39">
        <f t="shared" si="251"/>
        <v>0</v>
      </c>
      <c r="O500" s="13">
        <f t="shared" si="251"/>
        <v>0</v>
      </c>
    </row>
    <row r="501" spans="2:21" hidden="1" outlineLevel="1" x14ac:dyDescent="0.25">
      <c r="B501" s="2" t="s">
        <v>29</v>
      </c>
      <c r="C501" s="2">
        <v>2023</v>
      </c>
      <c r="D501" s="1">
        <v>213588</v>
      </c>
      <c r="E501" s="11">
        <v>13664274</v>
      </c>
      <c r="F501" s="1">
        <v>193718</v>
      </c>
      <c r="G501" s="11">
        <v>12736685</v>
      </c>
      <c r="H501" s="1">
        <v>88399</v>
      </c>
      <c r="I501" s="11">
        <v>11017078</v>
      </c>
      <c r="J501" s="1">
        <v>0</v>
      </c>
      <c r="K501" s="11">
        <v>0</v>
      </c>
      <c r="L501" s="1">
        <f t="shared" si="252"/>
        <v>495705</v>
      </c>
      <c r="M501" s="11">
        <f t="shared" si="252"/>
        <v>37418037</v>
      </c>
      <c r="N501" s="39">
        <f t="shared" si="251"/>
        <v>0</v>
      </c>
      <c r="O501" s="13">
        <f t="shared" si="251"/>
        <v>0</v>
      </c>
    </row>
    <row r="502" spans="2:21" hidden="1" outlineLevel="1" x14ac:dyDescent="0.25">
      <c r="B502" s="2" t="s">
        <v>30</v>
      </c>
      <c r="C502" s="2">
        <v>2023</v>
      </c>
      <c r="D502" s="1">
        <v>208989</v>
      </c>
      <c r="E502" s="11">
        <v>13679554</v>
      </c>
      <c r="F502" s="1">
        <v>186545</v>
      </c>
      <c r="G502" s="11">
        <v>12046341</v>
      </c>
      <c r="H502" s="1">
        <v>87404</v>
      </c>
      <c r="I502" s="11">
        <v>11140429</v>
      </c>
      <c r="J502" s="1"/>
      <c r="K502" s="11"/>
      <c r="L502" s="1">
        <f t="shared" si="252"/>
        <v>482938</v>
      </c>
      <c r="M502" s="11">
        <f t="shared" si="252"/>
        <v>36866324</v>
      </c>
      <c r="N502" s="39">
        <f t="shared" si="251"/>
        <v>0</v>
      </c>
      <c r="O502" s="13">
        <f t="shared" si="251"/>
        <v>0</v>
      </c>
    </row>
    <row r="503" spans="2:21" hidden="1" outlineLevel="1" x14ac:dyDescent="0.25">
      <c r="B503" s="2" t="s">
        <v>31</v>
      </c>
      <c r="C503" s="2">
        <v>2023</v>
      </c>
      <c r="D503" s="1">
        <v>235164</v>
      </c>
      <c r="E503" s="11">
        <v>14959349</v>
      </c>
      <c r="F503" s="1">
        <v>215899</v>
      </c>
      <c r="G503" s="11">
        <v>13223322</v>
      </c>
      <c r="H503" s="1">
        <v>95270</v>
      </c>
      <c r="I503" s="11">
        <v>12373056</v>
      </c>
      <c r="J503" s="1">
        <v>0</v>
      </c>
      <c r="K503" s="11">
        <v>0</v>
      </c>
      <c r="L503" s="1">
        <f t="shared" si="252"/>
        <v>546333</v>
      </c>
      <c r="M503" s="11">
        <f t="shared" si="252"/>
        <v>40555727</v>
      </c>
      <c r="N503" s="39">
        <f t="shared" si="251"/>
        <v>0</v>
      </c>
      <c r="O503" s="13">
        <f t="shared" si="251"/>
        <v>0</v>
      </c>
    </row>
    <row r="504" spans="2:21" hidden="1" outlineLevel="1" x14ac:dyDescent="0.25"/>
    <row r="505" spans="2:21" hidden="1" outlineLevel="1" x14ac:dyDescent="0.25">
      <c r="B505" s="88" t="s">
        <v>12</v>
      </c>
      <c r="C505" s="88"/>
      <c r="D505" s="4">
        <f>SUM(D492:D504)</f>
        <v>2507313</v>
      </c>
      <c r="E505" s="12">
        <f>SUM(E492:E504)</f>
        <v>159932571</v>
      </c>
      <c r="F505" s="4">
        <f t="shared" ref="F505:M505" si="253">SUM(F492:F504)</f>
        <v>2188922</v>
      </c>
      <c r="G505" s="12">
        <f t="shared" si="253"/>
        <v>137260330</v>
      </c>
      <c r="H505" s="4">
        <f t="shared" si="253"/>
        <v>1030371</v>
      </c>
      <c r="I505" s="12">
        <f t="shared" si="253"/>
        <v>127868300</v>
      </c>
      <c r="J505" s="4">
        <f t="shared" si="253"/>
        <v>0</v>
      </c>
      <c r="K505" s="12">
        <f t="shared" si="253"/>
        <v>0</v>
      </c>
      <c r="L505" s="4">
        <f t="shared" si="253"/>
        <v>5726606</v>
      </c>
      <c r="M505" s="12">
        <f t="shared" si="253"/>
        <v>425061201</v>
      </c>
    </row>
    <row r="506" spans="2:21" hidden="1" outlineLevel="1" x14ac:dyDescent="0.25">
      <c r="P506"/>
      <c r="Q506"/>
      <c r="R506"/>
      <c r="S506"/>
      <c r="U506"/>
    </row>
    <row r="507" spans="2:21" hidden="1" outlineLevel="1" x14ac:dyDescent="0.25">
      <c r="B507" s="5" t="s">
        <v>14</v>
      </c>
      <c r="P507"/>
      <c r="Q507"/>
      <c r="R507"/>
      <c r="S507"/>
      <c r="U507"/>
    </row>
    <row r="508" spans="2:21" hidden="1" outlineLevel="1" x14ac:dyDescent="0.25">
      <c r="B508" s="5" t="s">
        <v>92</v>
      </c>
      <c r="P508"/>
      <c r="Q508"/>
      <c r="R508"/>
      <c r="S508"/>
      <c r="U508"/>
    </row>
    <row r="509" spans="2:21" hidden="1" outlineLevel="1" x14ac:dyDescent="0.25">
      <c r="P509"/>
      <c r="Q509"/>
      <c r="R509"/>
      <c r="S509"/>
      <c r="U509"/>
    </row>
    <row r="510" spans="2:21" hidden="1" outlineLevel="1" x14ac:dyDescent="0.25">
      <c r="D510" s="89" t="s">
        <v>15</v>
      </c>
      <c r="E510" s="90"/>
      <c r="F510" s="89" t="s">
        <v>72</v>
      </c>
      <c r="G510" s="90"/>
      <c r="H510" s="89" t="s">
        <v>16</v>
      </c>
      <c r="I510" s="90"/>
      <c r="J510" s="89" t="s">
        <v>73</v>
      </c>
      <c r="K510" s="90"/>
      <c r="L510" s="89" t="s">
        <v>70</v>
      </c>
      <c r="M510" s="90"/>
      <c r="N510" s="9"/>
      <c r="P510"/>
      <c r="Q510"/>
      <c r="R510"/>
      <c r="S510"/>
      <c r="U510"/>
    </row>
    <row r="511" spans="2:21" hidden="1" outlineLevel="1" x14ac:dyDescent="0.25">
      <c r="B511" s="7" t="s">
        <v>0</v>
      </c>
      <c r="C511" s="7" t="s">
        <v>1</v>
      </c>
      <c r="D511" s="7" t="s">
        <v>2</v>
      </c>
      <c r="E511" s="10" t="s">
        <v>3</v>
      </c>
      <c r="F511" s="7" t="s">
        <v>2</v>
      </c>
      <c r="G511" s="10" t="s">
        <v>3</v>
      </c>
      <c r="H511" s="7" t="s">
        <v>2</v>
      </c>
      <c r="I511" s="10" t="s">
        <v>3</v>
      </c>
      <c r="J511" s="7" t="s">
        <v>2</v>
      </c>
      <c r="K511" s="10" t="s">
        <v>3</v>
      </c>
      <c r="L511" s="7" t="s">
        <v>2</v>
      </c>
      <c r="M511" s="10" t="s">
        <v>3</v>
      </c>
      <c r="N511" s="9"/>
      <c r="P511"/>
      <c r="Q511"/>
      <c r="R511"/>
      <c r="S511"/>
      <c r="U511"/>
    </row>
    <row r="512" spans="2:21" hidden="1" outlineLevel="1" x14ac:dyDescent="0.25">
      <c r="N512" s="9"/>
      <c r="P512"/>
      <c r="Q512"/>
      <c r="R512"/>
      <c r="S512"/>
      <c r="U512"/>
    </row>
    <row r="513" spans="1:21" hidden="1" outlineLevel="1" x14ac:dyDescent="0.25">
      <c r="B513" s="2" t="s">
        <v>5</v>
      </c>
      <c r="C513" s="2">
        <v>2023</v>
      </c>
      <c r="D513" s="1">
        <v>89534</v>
      </c>
      <c r="E513" s="11">
        <v>3819079</v>
      </c>
      <c r="F513" s="1">
        <v>61235</v>
      </c>
      <c r="G513" s="11">
        <v>2605362</v>
      </c>
      <c r="H513" s="1">
        <v>4931</v>
      </c>
      <c r="I513" s="11">
        <v>335967</v>
      </c>
      <c r="J513" s="1">
        <v>0</v>
      </c>
      <c r="K513" s="11">
        <v>0</v>
      </c>
      <c r="L513" s="1">
        <f>+D513+F513+H513+J513</f>
        <v>155700</v>
      </c>
      <c r="M513" s="11">
        <f>+E513+G513+I513+K513</f>
        <v>6760408</v>
      </c>
      <c r="N513" s="39">
        <f>+L513-J344</f>
        <v>0</v>
      </c>
      <c r="O513" s="13">
        <f t="shared" ref="O513:O524" si="254">+M513-K344</f>
        <v>0</v>
      </c>
      <c r="P513"/>
      <c r="Q513"/>
      <c r="R513"/>
      <c r="S513"/>
      <c r="U513"/>
    </row>
    <row r="514" spans="1:21" hidden="1" outlineLevel="1" x14ac:dyDescent="0.25">
      <c r="B514" s="2" t="s">
        <v>6</v>
      </c>
      <c r="C514" s="2">
        <v>2023</v>
      </c>
      <c r="D514" s="1">
        <v>84684</v>
      </c>
      <c r="E514" s="11">
        <v>3607096</v>
      </c>
      <c r="F514" s="1">
        <v>58385</v>
      </c>
      <c r="G514" s="11">
        <v>2547953</v>
      </c>
      <c r="H514" s="1">
        <v>4739</v>
      </c>
      <c r="I514" s="11">
        <v>326201</v>
      </c>
      <c r="J514" s="1">
        <v>0</v>
      </c>
      <c r="K514" s="11">
        <v>0</v>
      </c>
      <c r="L514" s="1">
        <f t="shared" ref="L514:M524" si="255">+D514+F514+H514+J514</f>
        <v>147808</v>
      </c>
      <c r="M514" s="11">
        <f t="shared" si="255"/>
        <v>6481250</v>
      </c>
      <c r="N514" s="39">
        <f t="shared" ref="N514:N524" si="256">+L514-J345</f>
        <v>0</v>
      </c>
      <c r="O514" s="13">
        <f t="shared" si="254"/>
        <v>0</v>
      </c>
      <c r="P514"/>
      <c r="Q514"/>
      <c r="R514"/>
      <c r="S514"/>
      <c r="U514"/>
    </row>
    <row r="515" spans="1:21" hidden="1" outlineLevel="1" x14ac:dyDescent="0.25">
      <c r="B515" s="2" t="s">
        <v>7</v>
      </c>
      <c r="C515" s="2">
        <v>2023</v>
      </c>
      <c r="D515" s="1">
        <v>93572</v>
      </c>
      <c r="E515" s="11">
        <v>4199966</v>
      </c>
      <c r="F515" s="1">
        <v>65118</v>
      </c>
      <c r="G515" s="11">
        <v>2950004</v>
      </c>
      <c r="H515" s="1">
        <v>5667</v>
      </c>
      <c r="I515" s="11">
        <v>410794</v>
      </c>
      <c r="J515" s="1">
        <v>0</v>
      </c>
      <c r="K515" s="11">
        <v>0</v>
      </c>
      <c r="L515" s="1">
        <f t="shared" si="255"/>
        <v>164357</v>
      </c>
      <c r="M515" s="11">
        <f t="shared" si="255"/>
        <v>7560764</v>
      </c>
      <c r="N515" s="39">
        <f t="shared" si="256"/>
        <v>0</v>
      </c>
      <c r="O515" s="13">
        <f t="shared" si="254"/>
        <v>0</v>
      </c>
      <c r="P515"/>
      <c r="Q515"/>
      <c r="R515"/>
      <c r="S515"/>
      <c r="U515"/>
    </row>
    <row r="516" spans="1:21" hidden="1" outlineLevel="1" x14ac:dyDescent="0.25">
      <c r="B516" s="2" t="s">
        <v>8</v>
      </c>
      <c r="C516" s="2">
        <v>2023</v>
      </c>
      <c r="D516" s="1">
        <v>82327</v>
      </c>
      <c r="E516" s="11">
        <v>3688320</v>
      </c>
      <c r="F516" s="1">
        <v>59063</v>
      </c>
      <c r="G516" s="11">
        <v>2593231</v>
      </c>
      <c r="H516" s="1">
        <v>4796</v>
      </c>
      <c r="I516" s="11">
        <v>382525</v>
      </c>
      <c r="J516" s="1">
        <v>0</v>
      </c>
      <c r="K516" s="11">
        <v>0</v>
      </c>
      <c r="L516" s="1">
        <f t="shared" si="255"/>
        <v>146186</v>
      </c>
      <c r="M516" s="11">
        <f t="shared" si="255"/>
        <v>6664076</v>
      </c>
      <c r="N516" s="39">
        <f t="shared" si="256"/>
        <v>0</v>
      </c>
      <c r="O516" s="13">
        <f t="shared" si="254"/>
        <v>0</v>
      </c>
      <c r="P516"/>
      <c r="Q516"/>
      <c r="R516"/>
      <c r="S516"/>
      <c r="U516"/>
    </row>
    <row r="517" spans="1:21" hidden="1" outlineLevel="1" x14ac:dyDescent="0.25">
      <c r="B517" s="2" t="s">
        <v>9</v>
      </c>
      <c r="C517" s="2">
        <v>2023</v>
      </c>
      <c r="D517" s="1">
        <v>85966</v>
      </c>
      <c r="E517" s="11">
        <v>3958986</v>
      </c>
      <c r="F517" s="1">
        <v>66409</v>
      </c>
      <c r="G517" s="11">
        <v>3049922</v>
      </c>
      <c r="H517" s="1">
        <v>5919</v>
      </c>
      <c r="I517" s="11">
        <v>473647</v>
      </c>
      <c r="J517" s="1">
        <v>0</v>
      </c>
      <c r="K517" s="11">
        <v>0</v>
      </c>
      <c r="L517" s="1">
        <f t="shared" si="255"/>
        <v>158294</v>
      </c>
      <c r="M517" s="11">
        <f t="shared" si="255"/>
        <v>7482555</v>
      </c>
      <c r="N517" s="39">
        <f t="shared" si="256"/>
        <v>0</v>
      </c>
      <c r="O517" s="13">
        <f t="shared" si="254"/>
        <v>0</v>
      </c>
      <c r="P517"/>
      <c r="Q517"/>
      <c r="R517"/>
      <c r="S517"/>
      <c r="U517"/>
    </row>
    <row r="518" spans="1:21" hidden="1" outlineLevel="1" x14ac:dyDescent="0.25">
      <c r="B518" s="2" t="s">
        <v>10</v>
      </c>
      <c r="C518" s="2">
        <v>2023</v>
      </c>
      <c r="D518" s="1">
        <v>82550</v>
      </c>
      <c r="E518" s="11">
        <v>3814388</v>
      </c>
      <c r="F518" s="1">
        <v>66190</v>
      </c>
      <c r="G518" s="11">
        <v>3001839</v>
      </c>
      <c r="H518" s="1">
        <v>6268</v>
      </c>
      <c r="I518" s="11">
        <v>502415</v>
      </c>
      <c r="J518" s="1">
        <v>0</v>
      </c>
      <c r="K518" s="11">
        <v>0</v>
      </c>
      <c r="L518" s="1">
        <f t="shared" si="255"/>
        <v>155008</v>
      </c>
      <c r="M518" s="11">
        <f t="shared" si="255"/>
        <v>7318642</v>
      </c>
      <c r="N518" s="39">
        <f t="shared" si="256"/>
        <v>0</v>
      </c>
      <c r="O518" s="13">
        <f t="shared" si="254"/>
        <v>0</v>
      </c>
      <c r="P518"/>
      <c r="Q518"/>
      <c r="R518"/>
      <c r="S518"/>
      <c r="U518"/>
    </row>
    <row r="519" spans="1:21" hidden="1" outlineLevel="1" x14ac:dyDescent="0.25">
      <c r="B519" s="2" t="s">
        <v>11</v>
      </c>
      <c r="C519" s="2">
        <v>2023</v>
      </c>
      <c r="D519" s="1">
        <v>73013</v>
      </c>
      <c r="E519" s="11">
        <v>3576646</v>
      </c>
      <c r="F519" s="1">
        <v>57007</v>
      </c>
      <c r="G519" s="11">
        <v>2555816</v>
      </c>
      <c r="H519" s="1">
        <v>4719</v>
      </c>
      <c r="I519" s="11">
        <v>373894</v>
      </c>
      <c r="J519" s="1">
        <v>0</v>
      </c>
      <c r="K519" s="11">
        <v>0</v>
      </c>
      <c r="L519" s="1">
        <f t="shared" si="255"/>
        <v>134739</v>
      </c>
      <c r="M519" s="11">
        <f t="shared" si="255"/>
        <v>6506356</v>
      </c>
      <c r="N519" s="39">
        <f t="shared" si="256"/>
        <v>0</v>
      </c>
      <c r="O519" s="13">
        <f t="shared" si="254"/>
        <v>0</v>
      </c>
      <c r="P519"/>
      <c r="Q519"/>
      <c r="R519"/>
      <c r="S519"/>
      <c r="U519"/>
    </row>
    <row r="520" spans="1:21" hidden="1" outlineLevel="1" x14ac:dyDescent="0.25">
      <c r="B520" s="2" t="s">
        <v>4</v>
      </c>
      <c r="C520" s="2">
        <v>2023</v>
      </c>
      <c r="D520" s="1">
        <v>84140</v>
      </c>
      <c r="E520" s="11">
        <v>4060000</v>
      </c>
      <c r="F520" s="1">
        <v>69404</v>
      </c>
      <c r="G520" s="11">
        <v>3197101</v>
      </c>
      <c r="H520" s="1">
        <v>6436</v>
      </c>
      <c r="I520" s="11">
        <v>557192</v>
      </c>
      <c r="J520" s="1">
        <v>0</v>
      </c>
      <c r="K520" s="11">
        <v>0</v>
      </c>
      <c r="L520" s="1">
        <f t="shared" si="255"/>
        <v>159980</v>
      </c>
      <c r="M520" s="11">
        <f t="shared" si="255"/>
        <v>7814293</v>
      </c>
      <c r="N520" s="39">
        <f t="shared" si="256"/>
        <v>0</v>
      </c>
      <c r="O520" s="13">
        <f t="shared" si="254"/>
        <v>0</v>
      </c>
      <c r="P520"/>
      <c r="Q520"/>
      <c r="R520"/>
      <c r="S520"/>
      <c r="U520"/>
    </row>
    <row r="521" spans="1:21" hidden="1" outlineLevel="1" x14ac:dyDescent="0.25">
      <c r="B521" s="2" t="s">
        <v>28</v>
      </c>
      <c r="C521" s="2">
        <v>2023</v>
      </c>
      <c r="D521" s="1">
        <v>90822</v>
      </c>
      <c r="E521" s="11">
        <v>4171579</v>
      </c>
      <c r="F521" s="1">
        <v>70301</v>
      </c>
      <c r="G521" s="11">
        <v>3175541</v>
      </c>
      <c r="H521" s="1">
        <v>6585</v>
      </c>
      <c r="I521" s="11">
        <v>535341</v>
      </c>
      <c r="J521" s="1">
        <v>0</v>
      </c>
      <c r="K521" s="11">
        <v>0</v>
      </c>
      <c r="L521" s="1">
        <f t="shared" si="255"/>
        <v>167708</v>
      </c>
      <c r="M521" s="11">
        <f t="shared" si="255"/>
        <v>7882461</v>
      </c>
      <c r="N521" s="39">
        <f t="shared" si="256"/>
        <v>0</v>
      </c>
      <c r="O521" s="13">
        <f t="shared" si="254"/>
        <v>0</v>
      </c>
      <c r="P521"/>
      <c r="Q521"/>
      <c r="R521"/>
      <c r="S521"/>
      <c r="U521"/>
    </row>
    <row r="522" spans="1:21" hidden="1" outlineLevel="1" x14ac:dyDescent="0.25">
      <c r="B522" s="2" t="s">
        <v>29</v>
      </c>
      <c r="C522" s="2">
        <v>2023</v>
      </c>
      <c r="D522" s="1">
        <v>93958</v>
      </c>
      <c r="E522" s="11">
        <v>4280664</v>
      </c>
      <c r="F522" s="1">
        <v>73017</v>
      </c>
      <c r="G522" s="11">
        <v>3327541</v>
      </c>
      <c r="H522" s="1">
        <v>7270</v>
      </c>
      <c r="I522" s="11">
        <v>611178</v>
      </c>
      <c r="J522" s="1">
        <v>0</v>
      </c>
      <c r="K522" s="11">
        <v>0</v>
      </c>
      <c r="L522" s="1">
        <f t="shared" si="255"/>
        <v>174245</v>
      </c>
      <c r="M522" s="11">
        <f t="shared" si="255"/>
        <v>8219383</v>
      </c>
      <c r="N522" s="39">
        <f t="shared" si="256"/>
        <v>0</v>
      </c>
      <c r="O522" s="13">
        <f t="shared" si="254"/>
        <v>0</v>
      </c>
      <c r="P522"/>
      <c r="Q522"/>
      <c r="R522"/>
      <c r="S522"/>
      <c r="U522"/>
    </row>
    <row r="523" spans="1:21" hidden="1" outlineLevel="1" x14ac:dyDescent="0.25">
      <c r="B523" s="2" t="s">
        <v>30</v>
      </c>
      <c r="C523" s="2">
        <v>2023</v>
      </c>
      <c r="D523" s="1">
        <v>87692</v>
      </c>
      <c r="E523" s="11">
        <v>4093897</v>
      </c>
      <c r="F523" s="1">
        <v>68533</v>
      </c>
      <c r="G523" s="11">
        <v>3199562</v>
      </c>
      <c r="H523" s="1">
        <v>7091</v>
      </c>
      <c r="I523" s="11">
        <v>616059</v>
      </c>
      <c r="J523" s="1"/>
      <c r="K523" s="11"/>
      <c r="L523" s="1">
        <f t="shared" si="255"/>
        <v>163316</v>
      </c>
      <c r="M523" s="11">
        <f t="shared" si="255"/>
        <v>7909518</v>
      </c>
      <c r="N523" s="39">
        <f t="shared" si="256"/>
        <v>0</v>
      </c>
      <c r="O523" s="13">
        <f t="shared" si="254"/>
        <v>0</v>
      </c>
      <c r="P523"/>
      <c r="Q523"/>
      <c r="R523"/>
      <c r="S523"/>
      <c r="U523"/>
    </row>
    <row r="524" spans="1:21" hidden="1" outlineLevel="1" x14ac:dyDescent="0.25">
      <c r="B524" s="2" t="s">
        <v>31</v>
      </c>
      <c r="C524" s="2">
        <v>2023</v>
      </c>
      <c r="D524" s="1">
        <v>86562</v>
      </c>
      <c r="E524" s="11">
        <v>3968706</v>
      </c>
      <c r="F524" s="1">
        <v>69609</v>
      </c>
      <c r="G524" s="11">
        <v>3192147</v>
      </c>
      <c r="H524" s="1">
        <v>5773</v>
      </c>
      <c r="I524" s="11">
        <v>471042</v>
      </c>
      <c r="J524" s="1">
        <v>0</v>
      </c>
      <c r="K524" s="11">
        <v>0</v>
      </c>
      <c r="L524" s="1">
        <f t="shared" si="255"/>
        <v>161944</v>
      </c>
      <c r="M524" s="11">
        <f t="shared" si="255"/>
        <v>7631895</v>
      </c>
      <c r="N524" s="39">
        <f t="shared" si="256"/>
        <v>0</v>
      </c>
      <c r="O524" s="13">
        <f t="shared" si="254"/>
        <v>0</v>
      </c>
      <c r="P524"/>
      <c r="Q524"/>
      <c r="R524"/>
      <c r="S524"/>
      <c r="U524"/>
    </row>
    <row r="525" spans="1:21" hidden="1" outlineLevel="1" x14ac:dyDescent="0.25">
      <c r="P525"/>
      <c r="Q525"/>
      <c r="R525"/>
      <c r="S525"/>
      <c r="U525"/>
    </row>
    <row r="526" spans="1:21" hidden="1" outlineLevel="1" x14ac:dyDescent="0.25">
      <c r="B526" s="88" t="s">
        <v>12</v>
      </c>
      <c r="C526" s="88"/>
      <c r="D526" s="4">
        <f>SUM(D513:D525)</f>
        <v>1034820</v>
      </c>
      <c r="E526" s="12">
        <f>SUM(E513:E525)</f>
        <v>47239327</v>
      </c>
      <c r="F526" s="4">
        <f t="shared" ref="F526:M526" si="257">SUM(F513:F525)</f>
        <v>784271</v>
      </c>
      <c r="G526" s="12">
        <f t="shared" si="257"/>
        <v>35396019</v>
      </c>
      <c r="H526" s="4">
        <f t="shared" si="257"/>
        <v>70194</v>
      </c>
      <c r="I526" s="12">
        <f t="shared" si="257"/>
        <v>5596255</v>
      </c>
      <c r="J526" s="4">
        <f t="shared" si="257"/>
        <v>0</v>
      </c>
      <c r="K526" s="12">
        <f t="shared" si="257"/>
        <v>0</v>
      </c>
      <c r="L526" s="4">
        <f t="shared" si="257"/>
        <v>1889285</v>
      </c>
      <c r="M526" s="12">
        <f t="shared" si="257"/>
        <v>88231601</v>
      </c>
      <c r="P526"/>
      <c r="Q526"/>
      <c r="R526"/>
      <c r="S526"/>
      <c r="U526"/>
    </row>
    <row r="527" spans="1:21" collapsed="1" x14ac:dyDescent="0.25"/>
    <row r="528" spans="1:21" x14ac:dyDescent="0.25">
      <c r="A528" s="5" t="s">
        <v>14</v>
      </c>
    </row>
    <row r="529" spans="1:20" x14ac:dyDescent="0.25">
      <c r="A529" s="5" t="s">
        <v>115</v>
      </c>
    </row>
    <row r="531" spans="1:20" x14ac:dyDescent="0.25">
      <c r="D531" s="89" t="s">
        <v>108</v>
      </c>
      <c r="E531" s="90"/>
      <c r="F531" s="89" t="s">
        <v>109</v>
      </c>
      <c r="G531" s="90"/>
      <c r="H531" s="89" t="s">
        <v>112</v>
      </c>
      <c r="I531" s="90"/>
      <c r="J531" s="89" t="s">
        <v>100</v>
      </c>
      <c r="K531" s="90"/>
      <c r="L531" s="89" t="s">
        <v>110</v>
      </c>
      <c r="M531" s="90"/>
      <c r="O531"/>
      <c r="P531"/>
      <c r="T531" s="9"/>
    </row>
    <row r="532" spans="1:20" x14ac:dyDescent="0.25">
      <c r="B532" s="7" t="s">
        <v>0</v>
      </c>
      <c r="C532" s="7" t="s">
        <v>1</v>
      </c>
      <c r="D532" s="7" t="s">
        <v>2</v>
      </c>
      <c r="E532" s="10" t="s">
        <v>3</v>
      </c>
      <c r="F532" s="7" t="s">
        <v>2</v>
      </c>
      <c r="G532" s="10" t="s">
        <v>3</v>
      </c>
      <c r="H532" s="7" t="s">
        <v>2</v>
      </c>
      <c r="I532" s="10" t="s">
        <v>3</v>
      </c>
      <c r="J532" s="7" t="s">
        <v>2</v>
      </c>
      <c r="K532" s="10" t="s">
        <v>3</v>
      </c>
      <c r="L532" s="7" t="s">
        <v>2</v>
      </c>
      <c r="M532" s="10" t="s">
        <v>3</v>
      </c>
      <c r="O532"/>
      <c r="P532"/>
      <c r="T532" s="9"/>
    </row>
    <row r="533" spans="1:20" x14ac:dyDescent="0.25">
      <c r="E533"/>
      <c r="F533"/>
      <c r="G533"/>
      <c r="I533"/>
      <c r="K533"/>
      <c r="M533"/>
      <c r="O533"/>
      <c r="P533"/>
      <c r="T533" s="9"/>
    </row>
    <row r="534" spans="1:20" x14ac:dyDescent="0.25">
      <c r="B534" s="2" t="s">
        <v>5</v>
      </c>
      <c r="C534" s="2">
        <v>2023</v>
      </c>
      <c r="D534" s="1">
        <f t="shared" ref="D534:D545" si="258">+D323+F323+H323</f>
        <v>2518690</v>
      </c>
      <c r="E534" s="11">
        <f t="shared" ref="E534:E545" si="259">+E323+G323+I323</f>
        <v>177410469.63</v>
      </c>
      <c r="F534" s="1">
        <f>+T344</f>
        <v>4245601</v>
      </c>
      <c r="G534" s="11">
        <f t="shared" ref="G534:G545" si="260">+U344</f>
        <v>557467814.47000003</v>
      </c>
      <c r="H534" s="1">
        <f>+D534+F534</f>
        <v>6764291</v>
      </c>
      <c r="I534" s="11">
        <f t="shared" ref="I534:I545" si="261">+E534+G534</f>
        <v>734878284.10000002</v>
      </c>
      <c r="J534" s="1">
        <f t="shared" ref="J534:J545" si="262">+J323+L323+N323+P323+R323</f>
        <v>9651259</v>
      </c>
      <c r="K534" s="11">
        <f t="shared" ref="K534:K545" si="263">+K323+M323+O323+Q323+S323</f>
        <v>791085628.67999995</v>
      </c>
      <c r="L534" s="1">
        <f>H534+J534</f>
        <v>16415550</v>
      </c>
      <c r="M534" s="11">
        <f t="shared" ref="M534:M545" si="264">I534+K534</f>
        <v>1525963912.78</v>
      </c>
      <c r="N534" s="37">
        <f>+L534-T323-T344</f>
        <v>0</v>
      </c>
      <c r="O534" s="13">
        <f t="shared" ref="O534:O545" si="265">+M534-U323-U344</f>
        <v>0</v>
      </c>
      <c r="P534"/>
      <c r="T534" s="9"/>
    </row>
    <row r="535" spans="1:20" x14ac:dyDescent="0.25">
      <c r="B535" s="2" t="s">
        <v>6</v>
      </c>
      <c r="C535" s="2">
        <v>2023</v>
      </c>
      <c r="D535" s="1">
        <f t="shared" si="258"/>
        <v>2866621</v>
      </c>
      <c r="E535" s="11">
        <f t="shared" si="259"/>
        <v>181292435.57000002</v>
      </c>
      <c r="F535" s="1">
        <f t="shared" ref="F535:F545" si="266">+T345</f>
        <v>3952764</v>
      </c>
      <c r="G535" s="11">
        <f t="shared" si="260"/>
        <v>525612142.56</v>
      </c>
      <c r="H535" s="1">
        <f t="shared" ref="H535:H545" si="267">+D535+F535</f>
        <v>6819385</v>
      </c>
      <c r="I535" s="11">
        <f t="shared" si="261"/>
        <v>706904578.13</v>
      </c>
      <c r="J535" s="1">
        <f t="shared" si="262"/>
        <v>9352585</v>
      </c>
      <c r="K535" s="11">
        <f t="shared" si="263"/>
        <v>827089355.75999999</v>
      </c>
      <c r="L535" s="1">
        <f t="shared" ref="L535:L545" si="268">H535+J535</f>
        <v>16171970</v>
      </c>
      <c r="M535" s="11">
        <f t="shared" si="264"/>
        <v>1533993933.8899999</v>
      </c>
      <c r="N535" s="37">
        <f t="shared" ref="N535:N545" si="269">+L535-T324-T345</f>
        <v>0</v>
      </c>
      <c r="O535" s="13">
        <f t="shared" si="265"/>
        <v>0</v>
      </c>
      <c r="P535"/>
      <c r="T535" s="9"/>
    </row>
    <row r="536" spans="1:20" x14ac:dyDescent="0.25">
      <c r="B536" s="2" t="s">
        <v>7</v>
      </c>
      <c r="C536" s="2">
        <v>2023</v>
      </c>
      <c r="D536" s="1">
        <f t="shared" si="258"/>
        <v>3288371</v>
      </c>
      <c r="E536" s="11">
        <f t="shared" si="259"/>
        <v>212866853.68000001</v>
      </c>
      <c r="F536" s="1">
        <f t="shared" si="266"/>
        <v>4518303</v>
      </c>
      <c r="G536" s="11">
        <f t="shared" si="260"/>
        <v>630603799</v>
      </c>
      <c r="H536" s="1">
        <f t="shared" si="267"/>
        <v>7806674</v>
      </c>
      <c r="I536" s="11">
        <f t="shared" si="261"/>
        <v>843470652.68000007</v>
      </c>
      <c r="J536" s="1">
        <f t="shared" si="262"/>
        <v>10721468</v>
      </c>
      <c r="K536" s="11">
        <f t="shared" si="263"/>
        <v>967626294.88999999</v>
      </c>
      <c r="L536" s="1">
        <f t="shared" si="268"/>
        <v>18528142</v>
      </c>
      <c r="M536" s="11">
        <f t="shared" si="264"/>
        <v>1811096947.5700002</v>
      </c>
      <c r="N536" s="37">
        <f t="shared" si="269"/>
        <v>0</v>
      </c>
      <c r="O536" s="13">
        <f t="shared" si="265"/>
        <v>0</v>
      </c>
      <c r="P536"/>
      <c r="T536" s="9"/>
    </row>
    <row r="537" spans="1:20" x14ac:dyDescent="0.25">
      <c r="B537" s="2" t="s">
        <v>8</v>
      </c>
      <c r="C537" s="2">
        <v>2023</v>
      </c>
      <c r="D537" s="1">
        <f t="shared" si="258"/>
        <v>2902952</v>
      </c>
      <c r="E537" s="11">
        <f t="shared" si="259"/>
        <v>192235575.82999998</v>
      </c>
      <c r="F537" s="1">
        <f t="shared" si="266"/>
        <v>4505092</v>
      </c>
      <c r="G537" s="11">
        <f t="shared" si="260"/>
        <v>635663832.26999998</v>
      </c>
      <c r="H537" s="1">
        <f t="shared" si="267"/>
        <v>7408044</v>
      </c>
      <c r="I537" s="11">
        <f t="shared" si="261"/>
        <v>827899408.0999999</v>
      </c>
      <c r="J537" s="1">
        <f t="shared" si="262"/>
        <v>9554460</v>
      </c>
      <c r="K537" s="11">
        <f t="shared" si="263"/>
        <v>878353029.98000002</v>
      </c>
      <c r="L537" s="1">
        <f t="shared" si="268"/>
        <v>16962504</v>
      </c>
      <c r="M537" s="11">
        <f t="shared" si="264"/>
        <v>1706252438.0799999</v>
      </c>
      <c r="N537" s="37">
        <f t="shared" si="269"/>
        <v>0</v>
      </c>
      <c r="O537" s="13">
        <f t="shared" si="265"/>
        <v>0</v>
      </c>
      <c r="P537"/>
      <c r="T537" s="9"/>
    </row>
    <row r="538" spans="1:20" x14ac:dyDescent="0.25">
      <c r="B538" s="2" t="s">
        <v>9</v>
      </c>
      <c r="C538" s="2">
        <v>2023</v>
      </c>
      <c r="D538" s="1">
        <f t="shared" si="258"/>
        <v>3324331</v>
      </c>
      <c r="E538" s="11">
        <f t="shared" si="259"/>
        <v>215015435.5</v>
      </c>
      <c r="F538" s="1">
        <f t="shared" si="266"/>
        <v>4627297</v>
      </c>
      <c r="G538" s="11">
        <f t="shared" si="260"/>
        <v>670635137.93000007</v>
      </c>
      <c r="H538" s="1">
        <f t="shared" si="267"/>
        <v>7951628</v>
      </c>
      <c r="I538" s="11">
        <f t="shared" si="261"/>
        <v>885650573.43000007</v>
      </c>
      <c r="J538" s="1">
        <f t="shared" si="262"/>
        <v>10825032</v>
      </c>
      <c r="K538" s="11">
        <f t="shared" si="263"/>
        <v>967192399.75999999</v>
      </c>
      <c r="L538" s="1">
        <f t="shared" si="268"/>
        <v>18776660</v>
      </c>
      <c r="M538" s="11">
        <f t="shared" si="264"/>
        <v>1852842973.1900001</v>
      </c>
      <c r="N538" s="37">
        <f t="shared" si="269"/>
        <v>0</v>
      </c>
      <c r="O538" s="13">
        <f t="shared" si="265"/>
        <v>0</v>
      </c>
      <c r="P538"/>
      <c r="T538" s="9"/>
    </row>
    <row r="539" spans="1:20" x14ac:dyDescent="0.25">
      <c r="B539" s="2" t="s">
        <v>10</v>
      </c>
      <c r="C539" s="2">
        <v>2023</v>
      </c>
      <c r="D539" s="1">
        <f t="shared" si="258"/>
        <v>3266235</v>
      </c>
      <c r="E539" s="11">
        <f t="shared" si="259"/>
        <v>210753451.10999998</v>
      </c>
      <c r="F539" s="1">
        <f t="shared" si="266"/>
        <v>4375397</v>
      </c>
      <c r="G539" s="11">
        <f t="shared" si="260"/>
        <v>627976440.69000006</v>
      </c>
      <c r="H539" s="1">
        <f t="shared" si="267"/>
        <v>7641632</v>
      </c>
      <c r="I539" s="11">
        <f t="shared" si="261"/>
        <v>838729891.80000007</v>
      </c>
      <c r="J539" s="1">
        <f t="shared" si="262"/>
        <v>10650613</v>
      </c>
      <c r="K539" s="11">
        <f t="shared" si="263"/>
        <v>950909791.93000007</v>
      </c>
      <c r="L539" s="1">
        <f t="shared" si="268"/>
        <v>18292245</v>
      </c>
      <c r="M539" s="11">
        <f t="shared" si="264"/>
        <v>1789639683.73</v>
      </c>
      <c r="N539" s="37">
        <f t="shared" si="269"/>
        <v>0</v>
      </c>
      <c r="O539" s="13">
        <f t="shared" si="265"/>
        <v>0</v>
      </c>
      <c r="P539"/>
      <c r="T539" s="9"/>
    </row>
    <row r="540" spans="1:20" x14ac:dyDescent="0.25">
      <c r="B540" s="2" t="s">
        <v>11</v>
      </c>
      <c r="C540" s="2">
        <v>2023</v>
      </c>
      <c r="D540" s="1">
        <f t="shared" si="258"/>
        <v>3126752</v>
      </c>
      <c r="E540" s="11">
        <f t="shared" si="259"/>
        <v>206484929.63999999</v>
      </c>
      <c r="F540" s="1">
        <f t="shared" si="266"/>
        <v>4615060</v>
      </c>
      <c r="G540" s="11">
        <f t="shared" si="260"/>
        <v>673800274.36000001</v>
      </c>
      <c r="H540" s="1">
        <f t="shared" si="267"/>
        <v>7741812</v>
      </c>
      <c r="I540" s="11">
        <f t="shared" si="261"/>
        <v>880285204</v>
      </c>
      <c r="J540" s="1">
        <f t="shared" si="262"/>
        <v>10214217</v>
      </c>
      <c r="K540" s="11">
        <f t="shared" si="263"/>
        <v>937914421.8599999</v>
      </c>
      <c r="L540" s="1">
        <f t="shared" si="268"/>
        <v>17956029</v>
      </c>
      <c r="M540" s="11">
        <f t="shared" si="264"/>
        <v>1818199625.8599999</v>
      </c>
      <c r="N540" s="37">
        <f t="shared" si="269"/>
        <v>0</v>
      </c>
      <c r="O540" s="13">
        <f t="shared" si="265"/>
        <v>0</v>
      </c>
      <c r="P540"/>
      <c r="T540" s="9"/>
    </row>
    <row r="541" spans="1:20" x14ac:dyDescent="0.25">
      <c r="B541" s="2" t="s">
        <v>4</v>
      </c>
      <c r="C541" s="2">
        <v>2023</v>
      </c>
      <c r="D541" s="1">
        <f t="shared" si="258"/>
        <v>3391392</v>
      </c>
      <c r="E541" s="11">
        <f t="shared" si="259"/>
        <v>223090407.72</v>
      </c>
      <c r="F541" s="1">
        <f t="shared" si="266"/>
        <v>4786190</v>
      </c>
      <c r="G541" s="11">
        <f t="shared" si="260"/>
        <v>702113775.08999991</v>
      </c>
      <c r="H541" s="1">
        <f t="shared" si="267"/>
        <v>8177582</v>
      </c>
      <c r="I541" s="11">
        <f t="shared" si="261"/>
        <v>925204182.80999994</v>
      </c>
      <c r="J541" s="1">
        <f t="shared" si="262"/>
        <v>11090109</v>
      </c>
      <c r="K541" s="11">
        <f t="shared" si="263"/>
        <v>1002634427.3599999</v>
      </c>
      <c r="L541" s="1">
        <f t="shared" si="268"/>
        <v>19267691</v>
      </c>
      <c r="M541" s="11">
        <f t="shared" si="264"/>
        <v>1927838610.1699998</v>
      </c>
      <c r="N541" s="37">
        <f t="shared" si="269"/>
        <v>0</v>
      </c>
      <c r="O541" s="13">
        <f t="shared" si="265"/>
        <v>0</v>
      </c>
      <c r="P541"/>
      <c r="T541" s="9"/>
    </row>
    <row r="542" spans="1:20" x14ac:dyDescent="0.25">
      <c r="B542" s="2" t="s">
        <v>28</v>
      </c>
      <c r="C542" s="2">
        <v>2023</v>
      </c>
      <c r="D542" s="1">
        <f t="shared" si="258"/>
        <v>3167859</v>
      </c>
      <c r="E542" s="11">
        <f t="shared" si="259"/>
        <v>208281644.45999998</v>
      </c>
      <c r="F542" s="1">
        <f t="shared" si="266"/>
        <v>4505956</v>
      </c>
      <c r="G542" s="11">
        <f t="shared" si="260"/>
        <v>652102451.04999995</v>
      </c>
      <c r="H542" s="1">
        <f t="shared" si="267"/>
        <v>7673815</v>
      </c>
      <c r="I542" s="11">
        <f t="shared" si="261"/>
        <v>860384095.50999999</v>
      </c>
      <c r="J542" s="1">
        <f t="shared" si="262"/>
        <v>10300474</v>
      </c>
      <c r="K542" s="11">
        <f t="shared" si="263"/>
        <v>926581549.26000011</v>
      </c>
      <c r="L542" s="1">
        <f t="shared" si="268"/>
        <v>17974289</v>
      </c>
      <c r="M542" s="11">
        <f t="shared" si="264"/>
        <v>1786965644.77</v>
      </c>
      <c r="N542" s="37">
        <f t="shared" si="269"/>
        <v>0</v>
      </c>
      <c r="O542" s="13">
        <f t="shared" si="265"/>
        <v>0</v>
      </c>
      <c r="P542"/>
      <c r="T542" s="9"/>
    </row>
    <row r="543" spans="1:20" x14ac:dyDescent="0.25">
      <c r="B543" s="2" t="s">
        <v>29</v>
      </c>
      <c r="C543" s="2">
        <v>2023</v>
      </c>
      <c r="D543" s="1">
        <f t="shared" si="258"/>
        <v>3619530</v>
      </c>
      <c r="E543" s="11">
        <f t="shared" si="259"/>
        <v>233844131.98000002</v>
      </c>
      <c r="F543" s="1">
        <f t="shared" si="266"/>
        <v>4662279</v>
      </c>
      <c r="G543" s="11">
        <f t="shared" si="260"/>
        <v>672973310.19000006</v>
      </c>
      <c r="H543" s="1">
        <f t="shared" si="267"/>
        <v>8281809</v>
      </c>
      <c r="I543" s="11">
        <f t="shared" si="261"/>
        <v>906817442.17000008</v>
      </c>
      <c r="J543" s="1">
        <f t="shared" si="262"/>
        <v>11865692</v>
      </c>
      <c r="K543" s="11">
        <f t="shared" si="263"/>
        <v>1049706071.4799999</v>
      </c>
      <c r="L543" s="1">
        <f t="shared" si="268"/>
        <v>20147501</v>
      </c>
      <c r="M543" s="11">
        <f t="shared" si="264"/>
        <v>1956523513.6500001</v>
      </c>
      <c r="N543" s="37">
        <f t="shared" si="269"/>
        <v>0</v>
      </c>
      <c r="O543" s="13">
        <f t="shared" si="265"/>
        <v>0</v>
      </c>
      <c r="P543"/>
      <c r="T543" s="9"/>
    </row>
    <row r="544" spans="1:20" x14ac:dyDescent="0.25">
      <c r="B544" s="2" t="s">
        <v>30</v>
      </c>
      <c r="C544" s="2">
        <v>2023</v>
      </c>
      <c r="D544" s="1">
        <f t="shared" si="258"/>
        <v>3322523</v>
      </c>
      <c r="E544" s="11">
        <f t="shared" si="259"/>
        <v>220757740.69</v>
      </c>
      <c r="F544" s="1">
        <f t="shared" si="266"/>
        <v>4406607</v>
      </c>
      <c r="G544" s="11">
        <f t="shared" si="260"/>
        <v>636878161.58999991</v>
      </c>
      <c r="H544" s="1">
        <f t="shared" si="267"/>
        <v>7729130</v>
      </c>
      <c r="I544" s="11">
        <f t="shared" si="261"/>
        <v>857635902.27999997</v>
      </c>
      <c r="J544" s="1">
        <f t="shared" si="262"/>
        <v>11107794</v>
      </c>
      <c r="K544" s="11">
        <f t="shared" si="263"/>
        <v>1001588026.91</v>
      </c>
      <c r="L544" s="1">
        <f t="shared" si="268"/>
        <v>18836924</v>
      </c>
      <c r="M544" s="11">
        <f t="shared" si="264"/>
        <v>1859223929.1900001</v>
      </c>
      <c r="N544" s="37">
        <f t="shared" si="269"/>
        <v>0</v>
      </c>
      <c r="O544" s="13">
        <f t="shared" si="265"/>
        <v>0</v>
      </c>
      <c r="P544"/>
      <c r="T544" s="9"/>
    </row>
    <row r="545" spans="2:22" x14ac:dyDescent="0.25">
      <c r="B545" s="2" t="s">
        <v>31</v>
      </c>
      <c r="C545" s="2">
        <v>2023</v>
      </c>
      <c r="D545" s="1">
        <f t="shared" si="258"/>
        <v>3261471</v>
      </c>
      <c r="E545" s="11">
        <f t="shared" si="259"/>
        <v>222063279.77999997</v>
      </c>
      <c r="F545" s="1">
        <f t="shared" si="266"/>
        <v>4760029</v>
      </c>
      <c r="G545" s="11">
        <f t="shared" si="260"/>
        <v>681644307.61000001</v>
      </c>
      <c r="H545" s="1">
        <f t="shared" si="267"/>
        <v>8021500</v>
      </c>
      <c r="I545" s="11">
        <f t="shared" si="261"/>
        <v>903707587.38999999</v>
      </c>
      <c r="J545" s="1">
        <f t="shared" si="262"/>
        <v>10692017</v>
      </c>
      <c r="K545" s="11">
        <f t="shared" si="263"/>
        <v>984789370.74000001</v>
      </c>
      <c r="L545" s="1">
        <f t="shared" si="268"/>
        <v>18713517</v>
      </c>
      <c r="M545" s="11">
        <f t="shared" si="264"/>
        <v>1888496958.1300001</v>
      </c>
      <c r="N545" s="37">
        <f t="shared" si="269"/>
        <v>0</v>
      </c>
      <c r="O545" s="13">
        <f t="shared" si="265"/>
        <v>0</v>
      </c>
      <c r="P545"/>
      <c r="T545" s="9"/>
    </row>
    <row r="546" spans="2:22" x14ac:dyDescent="0.25">
      <c r="E546"/>
      <c r="F546"/>
      <c r="G546"/>
      <c r="I546"/>
      <c r="K546"/>
      <c r="M546"/>
      <c r="N546" s="37"/>
      <c r="O546" s="13"/>
      <c r="P546"/>
      <c r="T546" s="9"/>
    </row>
    <row r="547" spans="2:22" x14ac:dyDescent="0.25">
      <c r="B547" s="88" t="s">
        <v>12</v>
      </c>
      <c r="C547" s="88"/>
      <c r="D547" s="4">
        <f>SUM(D534:D546)</f>
        <v>38056727</v>
      </c>
      <c r="E547" s="12">
        <f>SUM(E534:E546)</f>
        <v>2504096355.5900002</v>
      </c>
      <c r="F547" s="4">
        <f t="shared" ref="F547:M547" si="270">SUM(F534:F546)</f>
        <v>53960575</v>
      </c>
      <c r="G547" s="12">
        <f t="shared" si="270"/>
        <v>7667471446.8100004</v>
      </c>
      <c r="H547" s="4">
        <f t="shared" si="270"/>
        <v>92017302</v>
      </c>
      <c r="I547" s="12">
        <f t="shared" si="270"/>
        <v>10171567802.4</v>
      </c>
      <c r="J547" s="4">
        <f t="shared" si="270"/>
        <v>126025720</v>
      </c>
      <c r="K547" s="12">
        <f t="shared" si="270"/>
        <v>11285470368.609999</v>
      </c>
      <c r="L547" s="4">
        <f t="shared" si="270"/>
        <v>218043022</v>
      </c>
      <c r="M547" s="12">
        <f t="shared" si="270"/>
        <v>21457038171.010002</v>
      </c>
      <c r="O547"/>
      <c r="P547"/>
      <c r="T547" s="9"/>
    </row>
    <row r="548" spans="2:22" x14ac:dyDescent="0.25">
      <c r="H548" s="78"/>
      <c r="J548" s="9"/>
      <c r="P548"/>
      <c r="R548"/>
      <c r="T548" s="9"/>
      <c r="V548" s="9"/>
    </row>
    <row r="549" spans="2:22" x14ac:dyDescent="0.25">
      <c r="E549"/>
      <c r="F549" s="88" t="s">
        <v>111</v>
      </c>
      <c r="G549" s="88"/>
      <c r="H549" s="4">
        <f>AVERAGE(H534:H545)</f>
        <v>7668108.5</v>
      </c>
      <c r="I549" s="12">
        <f>AVERAGE(I534:I545)</f>
        <v>847630650.19999993</v>
      </c>
      <c r="J549" s="4">
        <f t="shared" ref="J549:M549" si="271">AVERAGE(J534:J545)</f>
        <v>10502143.333333334</v>
      </c>
      <c r="K549" s="12">
        <f t="shared" si="271"/>
        <v>940455864.05083323</v>
      </c>
      <c r="L549" s="4">
        <f t="shared" si="271"/>
        <v>18170251.833333332</v>
      </c>
      <c r="M549" s="12">
        <f t="shared" si="271"/>
        <v>1788086514.2508335</v>
      </c>
      <c r="O549"/>
      <c r="P549"/>
      <c r="T549" s="9"/>
    </row>
    <row r="550" spans="2:22" x14ac:dyDescent="0.25">
      <c r="E550"/>
      <c r="H550" s="9"/>
      <c r="P550"/>
      <c r="T550" s="9"/>
    </row>
    <row r="551" spans="2:22" x14ac:dyDescent="0.25">
      <c r="E551" s="63"/>
    </row>
    <row r="553" spans="2:22" x14ac:dyDescent="0.25">
      <c r="D553" s="39"/>
    </row>
    <row r="555" spans="2:22" x14ac:dyDescent="0.25">
      <c r="E555" s="63"/>
    </row>
  </sheetData>
  <autoFilter ref="A6:AW555" xr:uid="{025CF1B5-CE8E-41C9-8676-B577D26C40A8}"/>
  <mergeCells count="314">
    <mergeCell ref="AX321:AY321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D152:E152"/>
    <mergeCell ref="F152:G152"/>
    <mergeCell ref="H152:I152"/>
    <mergeCell ref="J152:K152"/>
    <mergeCell ref="L152:M152"/>
    <mergeCell ref="P131:Q131"/>
    <mergeCell ref="R131:S131"/>
    <mergeCell ref="T131:U131"/>
    <mergeCell ref="AG131:AH131"/>
    <mergeCell ref="AG152:AH152"/>
    <mergeCell ref="D131:E131"/>
    <mergeCell ref="F131:G131"/>
    <mergeCell ref="H131:I131"/>
    <mergeCell ref="J131:K131"/>
    <mergeCell ref="AM5:AN5"/>
    <mergeCell ref="AO5:AP5"/>
    <mergeCell ref="AQ5:AR5"/>
    <mergeCell ref="AS5:AT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G5:AH5"/>
    <mergeCell ref="AI5:AJ5"/>
    <mergeCell ref="AK5:AL5"/>
    <mergeCell ref="D5:E5"/>
    <mergeCell ref="F5:G5"/>
    <mergeCell ref="H5:I5"/>
    <mergeCell ref="J5:K5"/>
    <mergeCell ref="L5:M5"/>
    <mergeCell ref="N5:O5"/>
    <mergeCell ref="AM26:AN26"/>
    <mergeCell ref="AO26:AP26"/>
    <mergeCell ref="AQ26:AR26"/>
    <mergeCell ref="AS26:AT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G26:AH26"/>
    <mergeCell ref="AI26:AJ26"/>
    <mergeCell ref="AK26:AL26"/>
    <mergeCell ref="AM47:AN47"/>
    <mergeCell ref="AO47:AP47"/>
    <mergeCell ref="AQ47:AR47"/>
    <mergeCell ref="AS47:AT47"/>
    <mergeCell ref="AG47:AH47"/>
    <mergeCell ref="AI47:AJ47"/>
    <mergeCell ref="AK47:AL47"/>
    <mergeCell ref="F68:G68"/>
    <mergeCell ref="H68:I68"/>
    <mergeCell ref="J68:K68"/>
    <mergeCell ref="L68:M68"/>
    <mergeCell ref="N68:O68"/>
    <mergeCell ref="P47:Q47"/>
    <mergeCell ref="R47:S47"/>
    <mergeCell ref="T47:U47"/>
    <mergeCell ref="P110:Q110"/>
    <mergeCell ref="R110:S110"/>
    <mergeCell ref="T110:U110"/>
    <mergeCell ref="AM68:AN68"/>
    <mergeCell ref="AO68:AP68"/>
    <mergeCell ref="AQ68:AR68"/>
    <mergeCell ref="AS68:AT68"/>
    <mergeCell ref="D110:E110"/>
    <mergeCell ref="F110:G110"/>
    <mergeCell ref="H110:I110"/>
    <mergeCell ref="J110:K110"/>
    <mergeCell ref="L110:M110"/>
    <mergeCell ref="N110:O110"/>
    <mergeCell ref="P68:Q68"/>
    <mergeCell ref="R68:S68"/>
    <mergeCell ref="T68:U68"/>
    <mergeCell ref="AG68:AH68"/>
    <mergeCell ref="AI68:AJ68"/>
    <mergeCell ref="AK68:AL68"/>
    <mergeCell ref="AM110:AN110"/>
    <mergeCell ref="AO110:AP110"/>
    <mergeCell ref="AQ110:AR110"/>
    <mergeCell ref="AS110:AT110"/>
    <mergeCell ref="AG110:AH110"/>
    <mergeCell ref="AI110:AJ110"/>
    <mergeCell ref="AK110:AL110"/>
    <mergeCell ref="D68:E68"/>
    <mergeCell ref="L131:M131"/>
    <mergeCell ref="N131:O131"/>
    <mergeCell ref="N152:O152"/>
    <mergeCell ref="P152:Q152"/>
    <mergeCell ref="R152:S152"/>
    <mergeCell ref="T152:U152"/>
    <mergeCell ref="AK131:AL131"/>
    <mergeCell ref="AM131:AN131"/>
    <mergeCell ref="AO131:AP131"/>
    <mergeCell ref="AQ131:AR131"/>
    <mergeCell ref="AS131:AT131"/>
    <mergeCell ref="AI131:AJ131"/>
    <mergeCell ref="AK152:AL152"/>
    <mergeCell ref="AM152:AN152"/>
    <mergeCell ref="AO152:AP152"/>
    <mergeCell ref="AQ152:AR152"/>
    <mergeCell ref="AS152:AT152"/>
    <mergeCell ref="AI152:AJ152"/>
    <mergeCell ref="D194:E194"/>
    <mergeCell ref="F194:G194"/>
    <mergeCell ref="H194:I194"/>
    <mergeCell ref="J194:K194"/>
    <mergeCell ref="L194:M194"/>
    <mergeCell ref="N173:O173"/>
    <mergeCell ref="P173:Q173"/>
    <mergeCell ref="R173:S173"/>
    <mergeCell ref="T173:U173"/>
    <mergeCell ref="D173:E173"/>
    <mergeCell ref="F173:G173"/>
    <mergeCell ref="H173:I173"/>
    <mergeCell ref="J173:K173"/>
    <mergeCell ref="L173:M173"/>
    <mergeCell ref="N194:O194"/>
    <mergeCell ref="P194:Q194"/>
    <mergeCell ref="R194:S194"/>
    <mergeCell ref="T194:U194"/>
    <mergeCell ref="AK173:AL173"/>
    <mergeCell ref="AM173:AN173"/>
    <mergeCell ref="AO173:AP173"/>
    <mergeCell ref="AQ173:AR173"/>
    <mergeCell ref="AS173:AT173"/>
    <mergeCell ref="AG173:AH173"/>
    <mergeCell ref="AI173:AJ173"/>
    <mergeCell ref="AK194:AL194"/>
    <mergeCell ref="AM194:AN194"/>
    <mergeCell ref="AO194:AP194"/>
    <mergeCell ref="AQ194:AR194"/>
    <mergeCell ref="AS194:AT194"/>
    <mergeCell ref="AG194:AH194"/>
    <mergeCell ref="AI194:AJ194"/>
    <mergeCell ref="AM215:AN215"/>
    <mergeCell ref="AO215:AP215"/>
    <mergeCell ref="AQ215:AR215"/>
    <mergeCell ref="AS215:AT215"/>
    <mergeCell ref="D236:E236"/>
    <mergeCell ref="F236:G236"/>
    <mergeCell ref="H236:I236"/>
    <mergeCell ref="J236:K236"/>
    <mergeCell ref="L236:M236"/>
    <mergeCell ref="N215:O215"/>
    <mergeCell ref="P215:Q215"/>
    <mergeCell ref="R215:S215"/>
    <mergeCell ref="T215:U215"/>
    <mergeCell ref="AG215:AH215"/>
    <mergeCell ref="AI215:AJ215"/>
    <mergeCell ref="AK236:AL236"/>
    <mergeCell ref="AM236:AN236"/>
    <mergeCell ref="AO236:AP236"/>
    <mergeCell ref="AQ236:AR236"/>
    <mergeCell ref="AS236:AT236"/>
    <mergeCell ref="AG236:AH236"/>
    <mergeCell ref="AI236:AJ236"/>
    <mergeCell ref="D215:E215"/>
    <mergeCell ref="F215:G215"/>
    <mergeCell ref="H257:I257"/>
    <mergeCell ref="J257:K257"/>
    <mergeCell ref="L257:M257"/>
    <mergeCell ref="N236:O236"/>
    <mergeCell ref="P236:Q236"/>
    <mergeCell ref="R236:S236"/>
    <mergeCell ref="T236:U236"/>
    <mergeCell ref="AK215:AL215"/>
    <mergeCell ref="H215:I215"/>
    <mergeCell ref="J215:K215"/>
    <mergeCell ref="L215:M215"/>
    <mergeCell ref="AK257:AL257"/>
    <mergeCell ref="AM257:AN257"/>
    <mergeCell ref="AO257:AP257"/>
    <mergeCell ref="AQ257:AR257"/>
    <mergeCell ref="AS257:AT257"/>
    <mergeCell ref="D278:E278"/>
    <mergeCell ref="F278:G278"/>
    <mergeCell ref="H278:I278"/>
    <mergeCell ref="J278:K278"/>
    <mergeCell ref="L278:M278"/>
    <mergeCell ref="N257:O257"/>
    <mergeCell ref="P257:Q257"/>
    <mergeCell ref="R257:S257"/>
    <mergeCell ref="T257:U257"/>
    <mergeCell ref="AG257:AH257"/>
    <mergeCell ref="AI257:AJ257"/>
    <mergeCell ref="AK278:AL278"/>
    <mergeCell ref="AM278:AN278"/>
    <mergeCell ref="AO278:AP278"/>
    <mergeCell ref="AQ278:AR278"/>
    <mergeCell ref="AS278:AT278"/>
    <mergeCell ref="AG278:AH278"/>
    <mergeCell ref="AI278:AJ278"/>
    <mergeCell ref="D257:E257"/>
    <mergeCell ref="F257:G257"/>
    <mergeCell ref="D299:E299"/>
    <mergeCell ref="F299:G299"/>
    <mergeCell ref="H299:I299"/>
    <mergeCell ref="J299:K299"/>
    <mergeCell ref="L299:M299"/>
    <mergeCell ref="N278:O278"/>
    <mergeCell ref="P278:Q278"/>
    <mergeCell ref="R278:S278"/>
    <mergeCell ref="T278:U278"/>
    <mergeCell ref="AK299:AL299"/>
    <mergeCell ref="AM299:AN299"/>
    <mergeCell ref="AO299:AP299"/>
    <mergeCell ref="AQ299:AR299"/>
    <mergeCell ref="AS299:AT299"/>
    <mergeCell ref="D320:E320"/>
    <mergeCell ref="F320:G320"/>
    <mergeCell ref="H320:I320"/>
    <mergeCell ref="J320:K320"/>
    <mergeCell ref="L320:M320"/>
    <mergeCell ref="N299:O299"/>
    <mergeCell ref="P299:Q299"/>
    <mergeCell ref="R299:S299"/>
    <mergeCell ref="T299:U299"/>
    <mergeCell ref="AG299:AH299"/>
    <mergeCell ref="AI299:AJ299"/>
    <mergeCell ref="AG320:AH320"/>
    <mergeCell ref="AI320:AJ320"/>
    <mergeCell ref="AK320:AL320"/>
    <mergeCell ref="AM320:AN320"/>
    <mergeCell ref="AO320:AP320"/>
    <mergeCell ref="AQ320:AR320"/>
    <mergeCell ref="N320:O320"/>
    <mergeCell ref="P320:Q320"/>
    <mergeCell ref="R320:S320"/>
    <mergeCell ref="T320:U320"/>
    <mergeCell ref="AE320:AF320"/>
    <mergeCell ref="P341:Q341"/>
    <mergeCell ref="R341:S341"/>
    <mergeCell ref="T341:U341"/>
    <mergeCell ref="D363:E363"/>
    <mergeCell ref="F363:G363"/>
    <mergeCell ref="H363:I363"/>
    <mergeCell ref="J363:K363"/>
    <mergeCell ref="L363:M363"/>
    <mergeCell ref="D341:E341"/>
    <mergeCell ref="F341:G341"/>
    <mergeCell ref="H341:I341"/>
    <mergeCell ref="J341:K341"/>
    <mergeCell ref="L341:M341"/>
    <mergeCell ref="N341:O341"/>
    <mergeCell ref="B400:C400"/>
    <mergeCell ref="D405:E405"/>
    <mergeCell ref="F405:G405"/>
    <mergeCell ref="H405:I405"/>
    <mergeCell ref="J405:K405"/>
    <mergeCell ref="L405:M405"/>
    <mergeCell ref="B379:C379"/>
    <mergeCell ref="D384:E384"/>
    <mergeCell ref="F384:G384"/>
    <mergeCell ref="H384:I384"/>
    <mergeCell ref="J384:K384"/>
    <mergeCell ref="L384:M384"/>
    <mergeCell ref="B442:C442"/>
    <mergeCell ref="D447:E447"/>
    <mergeCell ref="F447:G447"/>
    <mergeCell ref="H447:I447"/>
    <mergeCell ref="J447:K447"/>
    <mergeCell ref="L447:M447"/>
    <mergeCell ref="B421:C421"/>
    <mergeCell ref="D426:E426"/>
    <mergeCell ref="F426:G426"/>
    <mergeCell ref="H426:I426"/>
    <mergeCell ref="J426:K426"/>
    <mergeCell ref="L426:M426"/>
    <mergeCell ref="B484:C484"/>
    <mergeCell ref="D489:E489"/>
    <mergeCell ref="F489:G489"/>
    <mergeCell ref="H489:I489"/>
    <mergeCell ref="J489:K489"/>
    <mergeCell ref="L489:M489"/>
    <mergeCell ref="B463:C463"/>
    <mergeCell ref="D468:E468"/>
    <mergeCell ref="F468:G468"/>
    <mergeCell ref="H468:I468"/>
    <mergeCell ref="J468:K468"/>
    <mergeCell ref="L468:M468"/>
    <mergeCell ref="D531:E531"/>
    <mergeCell ref="F531:G531"/>
    <mergeCell ref="H531:I531"/>
    <mergeCell ref="J531:K531"/>
    <mergeCell ref="L531:M531"/>
    <mergeCell ref="B547:C547"/>
    <mergeCell ref="F549:G549"/>
    <mergeCell ref="B526:C526"/>
    <mergeCell ref="B505:C505"/>
    <mergeCell ref="D510:E510"/>
    <mergeCell ref="F510:G510"/>
    <mergeCell ref="H510:I510"/>
    <mergeCell ref="J510:K510"/>
    <mergeCell ref="L510:M510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9476-218A-4E8D-872C-65E139005008}">
  <dimension ref="A2:BC610"/>
  <sheetViews>
    <sheetView showGridLines="0" zoomScale="60" zoomScaleNormal="60" workbookViewId="0">
      <pane ySplit="6" topLeftCell="A360" activePane="bottomLeft" state="frozen"/>
      <selection pane="bottomLeft" activeCell="N375" activeCellId="1" sqref="B375:C391 N375:O391"/>
    </sheetView>
  </sheetViews>
  <sheetFormatPr baseColWidth="10" defaultColWidth="11" defaultRowHeight="15" x14ac:dyDescent="0.25"/>
  <cols>
    <col min="1" max="1" width="12.85546875" customWidth="1"/>
    <col min="2" max="2" width="18.28515625" customWidth="1"/>
    <col min="3" max="3" width="19.7109375" customWidth="1"/>
    <col min="4" max="4" width="14.85546875" bestFit="1" customWidth="1"/>
    <col min="5" max="5" width="25.42578125" style="9" bestFit="1" customWidth="1"/>
    <col min="6" max="6" width="16.85546875" style="9" bestFit="1" customWidth="1"/>
    <col min="7" max="7" width="26.140625" style="9" bestFit="1" customWidth="1"/>
    <col min="8" max="8" width="15.42578125" bestFit="1" customWidth="1"/>
    <col min="9" max="9" width="27" style="9" bestFit="1" customWidth="1"/>
    <col min="10" max="10" width="15.85546875" bestFit="1" customWidth="1"/>
    <col min="11" max="11" width="27" style="9" bestFit="1" customWidth="1"/>
    <col min="12" max="12" width="16.28515625" bestFit="1" customWidth="1"/>
    <col min="13" max="13" width="27.5703125" style="9" bestFit="1" customWidth="1"/>
    <col min="14" max="14" width="13" bestFit="1" customWidth="1"/>
    <col min="15" max="15" width="23.28515625" style="9" bestFit="1" customWidth="1"/>
    <col min="16" max="16" width="11.28515625" style="9" bestFit="1" customWidth="1"/>
    <col min="17" max="17" width="23.5703125" style="9" customWidth="1"/>
    <col min="18" max="18" width="13.7109375" style="9" bestFit="1" customWidth="1"/>
    <col min="19" max="19" width="23.7109375" style="9" bestFit="1" customWidth="1"/>
    <col min="20" max="20" width="15.85546875" bestFit="1" customWidth="1"/>
    <col min="21" max="21" width="26.140625" style="9" bestFit="1" customWidth="1"/>
    <col min="22" max="22" width="18.85546875" customWidth="1"/>
    <col min="23" max="23" width="1.7109375" customWidth="1"/>
    <col min="24" max="24" width="17.42578125" customWidth="1"/>
    <col min="25" max="25" width="17.7109375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87</v>
      </c>
      <c r="S5" s="93"/>
      <c r="T5" s="89" t="s">
        <v>12</v>
      </c>
      <c r="U5" s="93"/>
      <c r="AA5" s="89" t="s">
        <v>69</v>
      </c>
      <c r="AB5" s="90"/>
      <c r="AC5" s="89" t="s">
        <v>17</v>
      </c>
      <c r="AD5" s="93"/>
      <c r="AE5" s="89" t="s">
        <v>18</v>
      </c>
      <c r="AF5" s="93"/>
      <c r="AG5" s="89" t="s">
        <v>13</v>
      </c>
      <c r="AH5" s="93"/>
      <c r="AI5" s="89" t="s">
        <v>34</v>
      </c>
      <c r="AJ5" s="93"/>
      <c r="AK5" s="89" t="s">
        <v>87</v>
      </c>
      <c r="AL5" s="93"/>
      <c r="AM5" s="89" t="s">
        <v>12</v>
      </c>
      <c r="AN5" s="93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2024</v>
      </c>
      <c r="D8" s="1">
        <v>428104</v>
      </c>
      <c r="E8" s="11">
        <v>22211105.069999918</v>
      </c>
      <c r="F8" s="1">
        <v>271859</v>
      </c>
      <c r="G8" s="11">
        <v>13918640.490000002</v>
      </c>
      <c r="H8" s="1">
        <v>14077</v>
      </c>
      <c r="I8" s="11">
        <v>740383.28999999992</v>
      </c>
      <c r="J8" s="1">
        <v>2105633</v>
      </c>
      <c r="K8" s="11">
        <v>108300214.93000016</v>
      </c>
      <c r="L8" s="1">
        <v>12273</v>
      </c>
      <c r="M8" s="11">
        <v>629177.84999999986</v>
      </c>
      <c r="N8" s="1">
        <v>17868</v>
      </c>
      <c r="O8" s="11">
        <v>827409.56</v>
      </c>
      <c r="P8" s="1">
        <v>62</v>
      </c>
      <c r="Q8" s="11">
        <v>2639.19</v>
      </c>
      <c r="R8" s="1">
        <v>4488</v>
      </c>
      <c r="S8" s="11">
        <v>242777.9</v>
      </c>
      <c r="T8" s="53">
        <f>N8+L8+J8+H8+D8+P8+F8+R8</f>
        <v>2854364</v>
      </c>
      <c r="U8" s="54">
        <f t="shared" ref="U8:U19" si="0">O8+M8+K8+I8+E8+Q8+G8+S8</f>
        <v>146872348.28000009</v>
      </c>
      <c r="V8" s="2" t="s">
        <v>56</v>
      </c>
      <c r="Y8" s="2" t="s">
        <v>5</v>
      </c>
      <c r="Z8" s="2">
        <v>2024</v>
      </c>
      <c r="AA8" s="1">
        <f t="shared" ref="AA8:AA19" si="1">D8+H8+F8</f>
        <v>714040</v>
      </c>
      <c r="AB8" s="11">
        <f t="shared" ref="AB8:AB19" si="2">E8+I8+G8</f>
        <v>36870128.84999992</v>
      </c>
      <c r="AC8" s="1">
        <f t="shared" ref="AC8:AC19" si="3">+J8</f>
        <v>2105633</v>
      </c>
      <c r="AD8" s="11">
        <f t="shared" ref="AD8:AD19" si="4">+K8</f>
        <v>108300214.93000016</v>
      </c>
      <c r="AE8" s="8">
        <f t="shared" ref="AE8:AE19" si="5">+L8</f>
        <v>12273</v>
      </c>
      <c r="AF8" s="11">
        <f t="shared" ref="AF8:AF19" si="6">+M8</f>
        <v>629177.84999999986</v>
      </c>
      <c r="AG8" s="8">
        <f t="shared" ref="AG8:AG19" si="7">+N8</f>
        <v>17868</v>
      </c>
      <c r="AH8" s="11">
        <f t="shared" ref="AH8:AH19" si="8">+O8</f>
        <v>827409.56</v>
      </c>
      <c r="AI8" s="8">
        <f t="shared" ref="AI8:AI19" si="9">+P8</f>
        <v>62</v>
      </c>
      <c r="AJ8" s="11">
        <f t="shared" ref="AJ8:AJ19" si="10">+Q8</f>
        <v>2639.19</v>
      </c>
      <c r="AK8" s="11">
        <f t="shared" ref="AK8:AK19" si="11">+R8</f>
        <v>4488</v>
      </c>
      <c r="AL8" s="11">
        <f t="shared" ref="AL8:AL19" si="12">+S8</f>
        <v>242777.9</v>
      </c>
      <c r="AM8" s="8">
        <f>AI8+AG8+AE8+AC8+AA8+AK8</f>
        <v>2854364</v>
      </c>
      <c r="AN8" s="11">
        <f t="shared" ref="AN8:AN19" si="13">AJ8+AH8+AF8+AD8+AB8+AL8</f>
        <v>146872348.28000006</v>
      </c>
      <c r="AO8" s="2" t="str">
        <f t="shared" ref="AO8:AO19" si="14">+V8</f>
        <v>AUNORTE</v>
      </c>
      <c r="AP8" s="37">
        <f t="shared" ref="AP8:AP19" si="15">+AM8-T8</f>
        <v>0</v>
      </c>
      <c r="AQ8" s="37">
        <f t="shared" ref="AQ8:AQ19" si="16">+AN8-U8</f>
        <v>0</v>
      </c>
    </row>
    <row r="9" spans="1:43" x14ac:dyDescent="0.25">
      <c r="B9" s="2" t="s">
        <v>6</v>
      </c>
      <c r="C9" s="2">
        <v>2024</v>
      </c>
      <c r="D9" s="1">
        <v>440371</v>
      </c>
      <c r="E9" s="11">
        <v>25180677.660000004</v>
      </c>
      <c r="F9" s="1">
        <v>298810</v>
      </c>
      <c r="G9" s="11">
        <v>16797256.539999999</v>
      </c>
      <c r="H9" s="1">
        <v>15173</v>
      </c>
      <c r="I9" s="11">
        <v>880393.34999999974</v>
      </c>
      <c r="J9" s="1">
        <v>2183359</v>
      </c>
      <c r="K9" s="11">
        <v>123551750.52999933</v>
      </c>
      <c r="L9" s="1">
        <v>12618</v>
      </c>
      <c r="M9" s="11">
        <v>704845.1</v>
      </c>
      <c r="N9" s="1">
        <v>18829</v>
      </c>
      <c r="O9" s="11">
        <v>948665.66999999993</v>
      </c>
      <c r="P9" s="1">
        <v>46</v>
      </c>
      <c r="Q9" s="11">
        <v>1891.2799999999997</v>
      </c>
      <c r="R9" s="1">
        <v>4989</v>
      </c>
      <c r="S9" s="11">
        <v>295723.22000000003</v>
      </c>
      <c r="T9" s="53">
        <f t="shared" ref="T9:T19" si="17">N9+L9+J9+H9+D9+P9+F9+R9</f>
        <v>2974195</v>
      </c>
      <c r="U9" s="54">
        <f t="shared" si="0"/>
        <v>168361203.34999931</v>
      </c>
      <c r="V9" s="2" t="s">
        <v>56</v>
      </c>
      <c r="Y9" s="2" t="s">
        <v>6</v>
      </c>
      <c r="Z9" s="2">
        <v>2024</v>
      </c>
      <c r="AA9" s="1">
        <f t="shared" si="1"/>
        <v>754354</v>
      </c>
      <c r="AB9" s="11">
        <f t="shared" si="2"/>
        <v>42858327.550000004</v>
      </c>
      <c r="AC9" s="1">
        <f t="shared" si="3"/>
        <v>2183359</v>
      </c>
      <c r="AD9" s="11">
        <f t="shared" si="4"/>
        <v>123551750.52999933</v>
      </c>
      <c r="AE9" s="8">
        <f t="shared" si="5"/>
        <v>12618</v>
      </c>
      <c r="AF9" s="11">
        <f t="shared" si="6"/>
        <v>704845.1</v>
      </c>
      <c r="AG9" s="8">
        <f t="shared" si="7"/>
        <v>18829</v>
      </c>
      <c r="AH9" s="11">
        <f t="shared" si="8"/>
        <v>948665.66999999993</v>
      </c>
      <c r="AI9" s="8">
        <f t="shared" si="9"/>
        <v>46</v>
      </c>
      <c r="AJ9" s="11">
        <f t="shared" si="10"/>
        <v>1891.2799999999997</v>
      </c>
      <c r="AK9" s="11">
        <f t="shared" si="11"/>
        <v>4989</v>
      </c>
      <c r="AL9" s="11">
        <f t="shared" si="12"/>
        <v>295723.22000000003</v>
      </c>
      <c r="AM9" s="8">
        <f t="shared" ref="AM9:AM19" si="18">AI9+AG9+AE9+AC9+AA9+AK9</f>
        <v>2974195</v>
      </c>
      <c r="AN9" s="11">
        <f t="shared" si="13"/>
        <v>168361203.34999934</v>
      </c>
      <c r="AO9" s="2" t="str">
        <f t="shared" si="14"/>
        <v>AUNORTE</v>
      </c>
      <c r="AP9" s="37">
        <f t="shared" si="15"/>
        <v>0</v>
      </c>
      <c r="AQ9" s="37">
        <f t="shared" si="16"/>
        <v>0</v>
      </c>
    </row>
    <row r="10" spans="1:43" x14ac:dyDescent="0.25">
      <c r="B10" s="2" t="s">
        <v>7</v>
      </c>
      <c r="C10" s="2">
        <v>2024</v>
      </c>
      <c r="D10" s="1">
        <v>411108</v>
      </c>
      <c r="E10" s="11">
        <v>23847952.310000006</v>
      </c>
      <c r="F10" s="1">
        <v>280542</v>
      </c>
      <c r="G10" s="11">
        <v>16011989.25</v>
      </c>
      <c r="H10" s="1">
        <v>14266</v>
      </c>
      <c r="I10" s="11">
        <v>836951.06999999972</v>
      </c>
      <c r="J10" s="1">
        <v>2048175</v>
      </c>
      <c r="K10" s="11">
        <v>117507875.51999943</v>
      </c>
      <c r="L10" s="1">
        <v>11754</v>
      </c>
      <c r="M10" s="11">
        <v>662122.51</v>
      </c>
      <c r="N10" s="1">
        <v>17461</v>
      </c>
      <c r="O10" s="11">
        <v>916115.21000000008</v>
      </c>
      <c r="P10" s="1">
        <v>24</v>
      </c>
      <c r="Q10" s="11">
        <v>832.1400000000001</v>
      </c>
      <c r="R10" s="1">
        <v>5338</v>
      </c>
      <c r="S10" s="11">
        <v>327312.7699999999</v>
      </c>
      <c r="T10" s="53">
        <f t="shared" si="17"/>
        <v>2788668</v>
      </c>
      <c r="U10" s="54">
        <f t="shared" si="0"/>
        <v>160111150.77999943</v>
      </c>
      <c r="V10" s="2" t="s">
        <v>56</v>
      </c>
      <c r="Y10" s="2" t="s">
        <v>7</v>
      </c>
      <c r="Z10" s="2">
        <v>2024</v>
      </c>
      <c r="AA10" s="1">
        <f t="shared" si="1"/>
        <v>705916</v>
      </c>
      <c r="AB10" s="11">
        <f t="shared" si="2"/>
        <v>40696892.63000001</v>
      </c>
      <c r="AC10" s="1">
        <f t="shared" si="3"/>
        <v>2048175</v>
      </c>
      <c r="AD10" s="11">
        <f t="shared" si="4"/>
        <v>117507875.51999943</v>
      </c>
      <c r="AE10" s="8">
        <f t="shared" si="5"/>
        <v>11754</v>
      </c>
      <c r="AF10" s="11">
        <f t="shared" si="6"/>
        <v>662122.51</v>
      </c>
      <c r="AG10" s="8">
        <f t="shared" si="7"/>
        <v>17461</v>
      </c>
      <c r="AH10" s="11">
        <f t="shared" si="8"/>
        <v>916115.21000000008</v>
      </c>
      <c r="AI10" s="8">
        <f t="shared" si="9"/>
        <v>24</v>
      </c>
      <c r="AJ10" s="11">
        <f t="shared" si="10"/>
        <v>832.1400000000001</v>
      </c>
      <c r="AK10" s="11">
        <f t="shared" si="11"/>
        <v>5338</v>
      </c>
      <c r="AL10" s="11">
        <f t="shared" si="12"/>
        <v>327312.7699999999</v>
      </c>
      <c r="AM10" s="8">
        <f t="shared" si="18"/>
        <v>2788668</v>
      </c>
      <c r="AN10" s="11">
        <f t="shared" si="13"/>
        <v>160111150.77999946</v>
      </c>
      <c r="AO10" s="2" t="str">
        <f t="shared" si="14"/>
        <v>AUNORTE</v>
      </c>
      <c r="AP10" s="37">
        <f t="shared" si="15"/>
        <v>0</v>
      </c>
      <c r="AQ10" s="37">
        <f t="shared" si="16"/>
        <v>0</v>
      </c>
    </row>
    <row r="11" spans="1:43" x14ac:dyDescent="0.25">
      <c r="B11" s="2" t="s">
        <v>8</v>
      </c>
      <c r="C11" s="2">
        <v>2024</v>
      </c>
      <c r="D11" s="1">
        <v>464149</v>
      </c>
      <c r="E11" s="11">
        <v>26605087.349999994</v>
      </c>
      <c r="F11" s="1">
        <v>315905</v>
      </c>
      <c r="G11" s="11">
        <v>17836377.829999998</v>
      </c>
      <c r="H11" s="1">
        <v>15900</v>
      </c>
      <c r="I11" s="11">
        <v>945718.46000000008</v>
      </c>
      <c r="J11" s="1">
        <v>2283786</v>
      </c>
      <c r="K11" s="11">
        <v>129639228.85999921</v>
      </c>
      <c r="L11" s="1">
        <v>12923</v>
      </c>
      <c r="M11" s="11">
        <v>750748.75000000012</v>
      </c>
      <c r="N11" s="1">
        <v>18854</v>
      </c>
      <c r="O11" s="11">
        <v>971466.47000000009</v>
      </c>
      <c r="P11" s="1">
        <v>27</v>
      </c>
      <c r="Q11" s="11">
        <v>924.72000000000014</v>
      </c>
      <c r="R11" s="1">
        <v>7279</v>
      </c>
      <c r="S11" s="11">
        <v>440461.76999999996</v>
      </c>
      <c r="T11" s="53">
        <f t="shared" si="17"/>
        <v>3118823</v>
      </c>
      <c r="U11" s="54">
        <f t="shared" si="0"/>
        <v>177190014.20999923</v>
      </c>
      <c r="V11" s="2" t="s">
        <v>56</v>
      </c>
      <c r="Y11" s="2" t="s">
        <v>8</v>
      </c>
      <c r="Z11" s="2">
        <v>2024</v>
      </c>
      <c r="AA11" s="1">
        <f t="shared" si="1"/>
        <v>795954</v>
      </c>
      <c r="AB11" s="11">
        <f t="shared" si="2"/>
        <v>45387183.639999993</v>
      </c>
      <c r="AC11" s="1">
        <f t="shared" si="3"/>
        <v>2283786</v>
      </c>
      <c r="AD11" s="11">
        <f t="shared" si="4"/>
        <v>129639228.85999921</v>
      </c>
      <c r="AE11" s="8">
        <f t="shared" si="5"/>
        <v>12923</v>
      </c>
      <c r="AF11" s="11">
        <f t="shared" si="6"/>
        <v>750748.75000000012</v>
      </c>
      <c r="AG11" s="8">
        <f t="shared" si="7"/>
        <v>18854</v>
      </c>
      <c r="AH11" s="11">
        <f t="shared" si="8"/>
        <v>971466.47000000009</v>
      </c>
      <c r="AI11" s="8">
        <f t="shared" si="9"/>
        <v>27</v>
      </c>
      <c r="AJ11" s="11">
        <f t="shared" si="10"/>
        <v>924.72000000000014</v>
      </c>
      <c r="AK11" s="11">
        <f t="shared" si="11"/>
        <v>7279</v>
      </c>
      <c r="AL11" s="11">
        <f t="shared" si="12"/>
        <v>440461.76999999996</v>
      </c>
      <c r="AM11" s="8">
        <f t="shared" si="18"/>
        <v>3118823</v>
      </c>
      <c r="AN11" s="11">
        <f t="shared" si="13"/>
        <v>177190014.2099992</v>
      </c>
      <c r="AO11" s="2" t="str">
        <f t="shared" si="14"/>
        <v>AUNORTE</v>
      </c>
      <c r="AP11" s="37">
        <f t="shared" si="15"/>
        <v>0</v>
      </c>
      <c r="AQ11" s="37">
        <f t="shared" si="16"/>
        <v>0</v>
      </c>
    </row>
    <row r="12" spans="1:43" x14ac:dyDescent="0.25">
      <c r="B12" s="2" t="s">
        <v>9</v>
      </c>
      <c r="C12" s="2">
        <v>2024</v>
      </c>
      <c r="D12" s="1">
        <v>451249</v>
      </c>
      <c r="E12" s="11">
        <v>25788236.999999996</v>
      </c>
      <c r="F12" s="1">
        <v>319341</v>
      </c>
      <c r="G12" s="11">
        <v>18078840.400000002</v>
      </c>
      <c r="H12" s="1">
        <v>16311</v>
      </c>
      <c r="I12" s="11">
        <v>960919.18999999983</v>
      </c>
      <c r="J12" s="1">
        <v>2260363</v>
      </c>
      <c r="K12" s="11">
        <v>128086083.51000002</v>
      </c>
      <c r="L12" s="1">
        <v>13005</v>
      </c>
      <c r="M12" s="11">
        <v>741388.99</v>
      </c>
      <c r="N12" s="1">
        <v>19587</v>
      </c>
      <c r="O12" s="11">
        <v>1004676.3099999999</v>
      </c>
      <c r="P12" s="1">
        <v>28</v>
      </c>
      <c r="Q12" s="11">
        <v>1021.65</v>
      </c>
      <c r="R12" s="1">
        <v>7228</v>
      </c>
      <c r="S12" s="11">
        <v>430046.51000000007</v>
      </c>
      <c r="T12" s="53">
        <f t="shared" si="17"/>
        <v>3087112</v>
      </c>
      <c r="U12" s="54">
        <f t="shared" si="0"/>
        <v>175091213.56</v>
      </c>
      <c r="V12" s="2" t="s">
        <v>56</v>
      </c>
      <c r="Y12" s="2" t="s">
        <v>9</v>
      </c>
      <c r="Z12" s="2">
        <v>2024</v>
      </c>
      <c r="AA12" s="1">
        <f t="shared" si="1"/>
        <v>786901</v>
      </c>
      <c r="AB12" s="11">
        <f t="shared" si="2"/>
        <v>44827996.590000004</v>
      </c>
      <c r="AC12" s="1">
        <f t="shared" si="3"/>
        <v>2260363</v>
      </c>
      <c r="AD12" s="11">
        <f t="shared" si="4"/>
        <v>128086083.51000002</v>
      </c>
      <c r="AE12" s="8">
        <f t="shared" si="5"/>
        <v>13005</v>
      </c>
      <c r="AF12" s="11">
        <f t="shared" si="6"/>
        <v>741388.99</v>
      </c>
      <c r="AG12" s="8">
        <f t="shared" si="7"/>
        <v>19587</v>
      </c>
      <c r="AH12" s="11">
        <f t="shared" si="8"/>
        <v>1004676.3099999999</v>
      </c>
      <c r="AI12" s="8">
        <f t="shared" si="9"/>
        <v>28</v>
      </c>
      <c r="AJ12" s="11">
        <f t="shared" si="10"/>
        <v>1021.65</v>
      </c>
      <c r="AK12" s="11">
        <f t="shared" si="11"/>
        <v>7228</v>
      </c>
      <c r="AL12" s="11">
        <f t="shared" si="12"/>
        <v>430046.51000000007</v>
      </c>
      <c r="AM12" s="8">
        <f t="shared" si="18"/>
        <v>3087112</v>
      </c>
      <c r="AN12" s="11">
        <f t="shared" si="13"/>
        <v>175091213.56</v>
      </c>
      <c r="AO12" s="2" t="str">
        <f t="shared" si="14"/>
        <v>AUNORTE</v>
      </c>
      <c r="AP12" s="37">
        <f t="shared" si="15"/>
        <v>0</v>
      </c>
      <c r="AQ12" s="37">
        <f t="shared" si="16"/>
        <v>0</v>
      </c>
    </row>
    <row r="13" spans="1:43" x14ac:dyDescent="0.25">
      <c r="B13" s="2" t="s">
        <v>10</v>
      </c>
      <c r="C13" s="2">
        <v>2024</v>
      </c>
      <c r="D13" s="1">
        <v>437932</v>
      </c>
      <c r="E13" s="11">
        <v>25111774.769999996</v>
      </c>
      <c r="F13" s="1">
        <v>301113</v>
      </c>
      <c r="G13" s="11">
        <v>17114538.210000001</v>
      </c>
      <c r="H13" s="1">
        <v>15571</v>
      </c>
      <c r="I13" s="11">
        <v>926373.02000000014</v>
      </c>
      <c r="J13" s="1">
        <v>2152384</v>
      </c>
      <c r="K13" s="11">
        <v>122297254.7299992</v>
      </c>
      <c r="L13" s="1">
        <v>11808</v>
      </c>
      <c r="M13" s="11">
        <v>669352.28</v>
      </c>
      <c r="N13" s="1">
        <v>18320</v>
      </c>
      <c r="O13" s="11">
        <v>955934.6100000001</v>
      </c>
      <c r="P13" s="1">
        <v>22</v>
      </c>
      <c r="Q13" s="11">
        <v>637.46</v>
      </c>
      <c r="R13" s="1">
        <v>7066</v>
      </c>
      <c r="S13" s="11">
        <v>422881.15000000014</v>
      </c>
      <c r="T13" s="53">
        <f t="shared" si="17"/>
        <v>2944216</v>
      </c>
      <c r="U13" s="54">
        <f t="shared" si="0"/>
        <v>167498746.22999921</v>
      </c>
      <c r="V13" s="2" t="s">
        <v>56</v>
      </c>
      <c r="Y13" s="2" t="s">
        <v>10</v>
      </c>
      <c r="Z13" s="2">
        <v>2024</v>
      </c>
      <c r="AA13" s="1">
        <f t="shared" si="1"/>
        <v>754616</v>
      </c>
      <c r="AB13" s="11">
        <f t="shared" si="2"/>
        <v>43152686</v>
      </c>
      <c r="AC13" s="1">
        <f t="shared" si="3"/>
        <v>2152384</v>
      </c>
      <c r="AD13" s="11">
        <f t="shared" si="4"/>
        <v>122297254.7299992</v>
      </c>
      <c r="AE13" s="8">
        <f t="shared" si="5"/>
        <v>11808</v>
      </c>
      <c r="AF13" s="11">
        <f t="shared" si="6"/>
        <v>669352.28</v>
      </c>
      <c r="AG13" s="8">
        <f t="shared" si="7"/>
        <v>18320</v>
      </c>
      <c r="AH13" s="11">
        <f t="shared" si="8"/>
        <v>955934.6100000001</v>
      </c>
      <c r="AI13" s="8">
        <f t="shared" si="9"/>
        <v>22</v>
      </c>
      <c r="AJ13" s="11">
        <f t="shared" si="10"/>
        <v>637.46</v>
      </c>
      <c r="AK13" s="11">
        <f t="shared" si="11"/>
        <v>7066</v>
      </c>
      <c r="AL13" s="11">
        <f t="shared" si="12"/>
        <v>422881.15000000014</v>
      </c>
      <c r="AM13" s="8">
        <f t="shared" si="18"/>
        <v>2944216</v>
      </c>
      <c r="AN13" s="11">
        <f t="shared" si="13"/>
        <v>167498746.22999921</v>
      </c>
      <c r="AO13" s="2" t="str">
        <f t="shared" si="14"/>
        <v>AUNORTE</v>
      </c>
      <c r="AP13" s="37">
        <f t="shared" si="15"/>
        <v>0</v>
      </c>
      <c r="AQ13" s="37">
        <f t="shared" si="16"/>
        <v>0</v>
      </c>
    </row>
    <row r="14" spans="1:43" x14ac:dyDescent="0.25">
      <c r="B14" s="2" t="s">
        <v>11</v>
      </c>
      <c r="C14" s="2">
        <v>2024</v>
      </c>
      <c r="D14" s="1">
        <v>453301</v>
      </c>
      <c r="E14" s="11">
        <v>25917590.120000005</v>
      </c>
      <c r="F14" s="1">
        <v>303335</v>
      </c>
      <c r="G14" s="11">
        <v>17133943.73</v>
      </c>
      <c r="H14" s="1">
        <v>17445</v>
      </c>
      <c r="I14" s="11">
        <v>1022461.7300000001</v>
      </c>
      <c r="J14" s="1">
        <v>2268935</v>
      </c>
      <c r="K14" s="11">
        <v>129033561.47999923</v>
      </c>
      <c r="L14" s="1">
        <v>12245</v>
      </c>
      <c r="M14" s="11">
        <v>692701.4800000001</v>
      </c>
      <c r="N14" s="1">
        <v>18132</v>
      </c>
      <c r="O14" s="11">
        <v>974265.94</v>
      </c>
      <c r="P14" s="1">
        <v>32</v>
      </c>
      <c r="Q14" s="11">
        <v>951.83000000000015</v>
      </c>
      <c r="R14" s="1">
        <v>7804</v>
      </c>
      <c r="S14" s="11">
        <v>470869.53</v>
      </c>
      <c r="T14" s="53">
        <f t="shared" si="17"/>
        <v>3081229</v>
      </c>
      <c r="U14" s="54">
        <f t="shared" si="0"/>
        <v>175246345.83999923</v>
      </c>
      <c r="V14" s="2" t="s">
        <v>56</v>
      </c>
      <c r="Y14" s="2" t="s">
        <v>11</v>
      </c>
      <c r="Z14" s="2">
        <v>2024</v>
      </c>
      <c r="AA14" s="1">
        <f t="shared" si="1"/>
        <v>774081</v>
      </c>
      <c r="AB14" s="11">
        <f t="shared" si="2"/>
        <v>44073995.580000006</v>
      </c>
      <c r="AC14" s="1">
        <f t="shared" si="3"/>
        <v>2268935</v>
      </c>
      <c r="AD14" s="11">
        <f t="shared" si="4"/>
        <v>129033561.47999923</v>
      </c>
      <c r="AE14" s="8">
        <f t="shared" si="5"/>
        <v>12245</v>
      </c>
      <c r="AF14" s="11">
        <f t="shared" si="6"/>
        <v>692701.4800000001</v>
      </c>
      <c r="AG14" s="8">
        <f t="shared" si="7"/>
        <v>18132</v>
      </c>
      <c r="AH14" s="11">
        <f t="shared" si="8"/>
        <v>974265.94</v>
      </c>
      <c r="AI14" s="8">
        <f t="shared" si="9"/>
        <v>32</v>
      </c>
      <c r="AJ14" s="11">
        <f t="shared" si="10"/>
        <v>951.83000000000015</v>
      </c>
      <c r="AK14" s="11">
        <f t="shared" si="11"/>
        <v>7804</v>
      </c>
      <c r="AL14" s="11">
        <f t="shared" si="12"/>
        <v>470869.53</v>
      </c>
      <c r="AM14" s="8">
        <f t="shared" si="18"/>
        <v>3081229</v>
      </c>
      <c r="AN14" s="11">
        <f t="shared" si="13"/>
        <v>175246345.83999923</v>
      </c>
      <c r="AO14" s="2" t="str">
        <f t="shared" si="14"/>
        <v>AUNORTE</v>
      </c>
      <c r="AP14" s="37">
        <f t="shared" si="15"/>
        <v>0</v>
      </c>
      <c r="AQ14" s="37">
        <f t="shared" si="16"/>
        <v>0</v>
      </c>
    </row>
    <row r="15" spans="1:43" x14ac:dyDescent="0.25">
      <c r="B15" s="2" t="s">
        <v>4</v>
      </c>
      <c r="C15" s="2">
        <v>2024</v>
      </c>
      <c r="D15" s="1">
        <v>487242</v>
      </c>
      <c r="E15" s="11">
        <v>27983199.519999992</v>
      </c>
      <c r="F15" s="1">
        <v>339434</v>
      </c>
      <c r="G15" s="11">
        <v>19121133.27</v>
      </c>
      <c r="H15" s="1">
        <v>18890</v>
      </c>
      <c r="I15" s="11">
        <v>1115727.7800000003</v>
      </c>
      <c r="J15" s="1">
        <v>2423148</v>
      </c>
      <c r="K15" s="11">
        <v>137645809.81999961</v>
      </c>
      <c r="L15" s="1">
        <v>13088</v>
      </c>
      <c r="M15" s="11">
        <v>751223.6100000001</v>
      </c>
      <c r="N15" s="1">
        <v>19711</v>
      </c>
      <c r="O15" s="11">
        <v>1030892.1099999998</v>
      </c>
      <c r="P15" s="1">
        <v>21</v>
      </c>
      <c r="Q15" s="11">
        <v>682.44000000000017</v>
      </c>
      <c r="R15" s="1">
        <v>9175</v>
      </c>
      <c r="S15" s="11">
        <v>538998.92000000004</v>
      </c>
      <c r="T15" s="53">
        <f t="shared" si="17"/>
        <v>3310709</v>
      </c>
      <c r="U15" s="54">
        <f t="shared" si="0"/>
        <v>188187667.46999958</v>
      </c>
      <c r="V15" s="2" t="s">
        <v>56</v>
      </c>
      <c r="Y15" s="2" t="s">
        <v>4</v>
      </c>
      <c r="Z15" s="2">
        <v>2024</v>
      </c>
      <c r="AA15" s="1">
        <f t="shared" si="1"/>
        <v>845566</v>
      </c>
      <c r="AB15" s="11">
        <f t="shared" si="2"/>
        <v>48220060.569999993</v>
      </c>
      <c r="AC15" s="1">
        <f t="shared" si="3"/>
        <v>2423148</v>
      </c>
      <c r="AD15" s="11">
        <f t="shared" si="4"/>
        <v>137645809.81999961</v>
      </c>
      <c r="AE15" s="8">
        <f t="shared" si="5"/>
        <v>13088</v>
      </c>
      <c r="AF15" s="11">
        <f t="shared" si="6"/>
        <v>751223.6100000001</v>
      </c>
      <c r="AG15" s="8">
        <f t="shared" si="7"/>
        <v>19711</v>
      </c>
      <c r="AH15" s="11">
        <f t="shared" si="8"/>
        <v>1030892.1099999998</v>
      </c>
      <c r="AI15" s="8">
        <f t="shared" si="9"/>
        <v>21</v>
      </c>
      <c r="AJ15" s="11">
        <f t="shared" si="10"/>
        <v>682.44000000000017</v>
      </c>
      <c r="AK15" s="11">
        <f t="shared" si="11"/>
        <v>9175</v>
      </c>
      <c r="AL15" s="11">
        <f t="shared" si="12"/>
        <v>538998.92000000004</v>
      </c>
      <c r="AM15" s="8">
        <f t="shared" si="18"/>
        <v>3310709</v>
      </c>
      <c r="AN15" s="11">
        <f t="shared" si="13"/>
        <v>188187667.46999958</v>
      </c>
      <c r="AO15" s="2" t="str">
        <f t="shared" si="14"/>
        <v>AUNORTE</v>
      </c>
      <c r="AP15" s="37">
        <f t="shared" si="15"/>
        <v>0</v>
      </c>
      <c r="AQ15" s="37">
        <f t="shared" si="16"/>
        <v>0</v>
      </c>
    </row>
    <row r="16" spans="1:43" x14ac:dyDescent="0.25">
      <c r="B16" s="2" t="s">
        <v>28</v>
      </c>
      <c r="C16" s="2">
        <v>2024</v>
      </c>
      <c r="D16" s="1">
        <v>464898</v>
      </c>
      <c r="E16" s="11">
        <v>26360503.439999998</v>
      </c>
      <c r="F16" s="1">
        <v>313626</v>
      </c>
      <c r="G16" s="11">
        <v>17409085.020000003</v>
      </c>
      <c r="H16" s="1">
        <v>18268</v>
      </c>
      <c r="I16" s="11">
        <v>1065410.7300000002</v>
      </c>
      <c r="J16" s="1">
        <v>2286126</v>
      </c>
      <c r="K16" s="11">
        <v>128140323.47999924</v>
      </c>
      <c r="L16" s="1">
        <v>12168</v>
      </c>
      <c r="M16" s="11">
        <v>678858.04</v>
      </c>
      <c r="N16" s="1">
        <v>18085</v>
      </c>
      <c r="O16" s="11">
        <v>924355.7300000001</v>
      </c>
      <c r="P16" s="1">
        <v>19</v>
      </c>
      <c r="Q16" s="11">
        <v>413.9199999999999</v>
      </c>
      <c r="R16" s="1">
        <v>9301</v>
      </c>
      <c r="S16" s="11">
        <v>527067.5</v>
      </c>
      <c r="T16" s="53">
        <f t="shared" si="17"/>
        <v>3122491</v>
      </c>
      <c r="U16" s="54">
        <f>O16+M16+K16+I16+E16+Q16+G16+S16</f>
        <v>175106017.85999924</v>
      </c>
      <c r="V16" s="2" t="s">
        <v>56</v>
      </c>
      <c r="Y16" s="2" t="s">
        <v>28</v>
      </c>
      <c r="Z16" s="2">
        <v>2024</v>
      </c>
      <c r="AA16" s="1">
        <f t="shared" si="1"/>
        <v>796792</v>
      </c>
      <c r="AB16" s="11">
        <f t="shared" si="2"/>
        <v>44834999.189999998</v>
      </c>
      <c r="AC16" s="1">
        <f t="shared" si="3"/>
        <v>2286126</v>
      </c>
      <c r="AD16" s="11">
        <f t="shared" si="4"/>
        <v>128140323.47999924</v>
      </c>
      <c r="AE16" s="8">
        <f t="shared" si="5"/>
        <v>12168</v>
      </c>
      <c r="AF16" s="11">
        <f t="shared" si="6"/>
        <v>678858.04</v>
      </c>
      <c r="AG16" s="8">
        <f t="shared" si="7"/>
        <v>18085</v>
      </c>
      <c r="AH16" s="11">
        <f t="shared" si="8"/>
        <v>924355.7300000001</v>
      </c>
      <c r="AI16" s="8">
        <f t="shared" si="9"/>
        <v>19</v>
      </c>
      <c r="AJ16" s="11">
        <f t="shared" si="10"/>
        <v>413.9199999999999</v>
      </c>
      <c r="AK16" s="11">
        <f t="shared" si="11"/>
        <v>9301</v>
      </c>
      <c r="AL16" s="11">
        <f t="shared" si="12"/>
        <v>527067.5</v>
      </c>
      <c r="AM16" s="8">
        <f t="shared" si="18"/>
        <v>3122491</v>
      </c>
      <c r="AN16" s="11">
        <f t="shared" si="13"/>
        <v>175106017.85999924</v>
      </c>
      <c r="AO16" s="2" t="str">
        <f t="shared" si="14"/>
        <v>AUNORTE</v>
      </c>
      <c r="AP16" s="37">
        <f t="shared" si="15"/>
        <v>0</v>
      </c>
      <c r="AQ16" s="37">
        <f t="shared" si="16"/>
        <v>0</v>
      </c>
    </row>
    <row r="17" spans="1:43" x14ac:dyDescent="0.25">
      <c r="B17" s="2" t="s">
        <v>29</v>
      </c>
      <c r="C17" s="2">
        <v>2024</v>
      </c>
      <c r="D17" s="1">
        <v>502543</v>
      </c>
      <c r="E17" s="11">
        <v>28449930.629999999</v>
      </c>
      <c r="F17" s="1">
        <v>347357</v>
      </c>
      <c r="G17" s="11">
        <v>19429918.990000002</v>
      </c>
      <c r="H17" s="1">
        <v>17298</v>
      </c>
      <c r="I17" s="11">
        <v>1001320.1199999999</v>
      </c>
      <c r="J17" s="1">
        <v>2489446</v>
      </c>
      <c r="K17" s="11">
        <v>139662167.83999929</v>
      </c>
      <c r="L17" s="1">
        <v>13249</v>
      </c>
      <c r="M17" s="11">
        <v>742990.96</v>
      </c>
      <c r="N17" s="1">
        <v>19700</v>
      </c>
      <c r="O17" s="11">
        <v>1001483.2900000002</v>
      </c>
      <c r="P17" s="1">
        <v>14</v>
      </c>
      <c r="Q17" s="11">
        <v>265.03999999999996</v>
      </c>
      <c r="R17" s="1">
        <v>10884</v>
      </c>
      <c r="S17" s="11">
        <v>622431.04</v>
      </c>
      <c r="T17" s="53">
        <f t="shared" si="17"/>
        <v>3400491</v>
      </c>
      <c r="U17" s="54">
        <f t="shared" si="0"/>
        <v>190910507.90999928</v>
      </c>
      <c r="V17" s="2" t="s">
        <v>56</v>
      </c>
      <c r="Y17" s="2" t="s">
        <v>29</v>
      </c>
      <c r="Z17" s="2">
        <v>2024</v>
      </c>
      <c r="AA17" s="1">
        <f t="shared" si="1"/>
        <v>867198</v>
      </c>
      <c r="AB17" s="11">
        <f t="shared" si="2"/>
        <v>48881169.740000002</v>
      </c>
      <c r="AC17" s="1">
        <f t="shared" si="3"/>
        <v>2489446</v>
      </c>
      <c r="AD17" s="11">
        <f t="shared" si="4"/>
        <v>139662167.83999929</v>
      </c>
      <c r="AE17" s="8">
        <f t="shared" si="5"/>
        <v>13249</v>
      </c>
      <c r="AF17" s="11">
        <f t="shared" si="6"/>
        <v>742990.96</v>
      </c>
      <c r="AG17" s="8">
        <f t="shared" si="7"/>
        <v>19700</v>
      </c>
      <c r="AH17" s="11">
        <f t="shared" si="8"/>
        <v>1001483.2900000002</v>
      </c>
      <c r="AI17" s="8">
        <f t="shared" si="9"/>
        <v>14</v>
      </c>
      <c r="AJ17" s="11">
        <f t="shared" si="10"/>
        <v>265.03999999999996</v>
      </c>
      <c r="AK17" s="11">
        <f t="shared" si="11"/>
        <v>10884</v>
      </c>
      <c r="AL17" s="11">
        <f t="shared" si="12"/>
        <v>622431.04</v>
      </c>
      <c r="AM17" s="8">
        <f t="shared" si="18"/>
        <v>3400491</v>
      </c>
      <c r="AN17" s="11">
        <f t="shared" si="13"/>
        <v>190910507.90999928</v>
      </c>
      <c r="AO17" s="2" t="str">
        <f t="shared" si="14"/>
        <v>AUNORTE</v>
      </c>
      <c r="AP17" s="37">
        <f t="shared" si="15"/>
        <v>0</v>
      </c>
      <c r="AQ17" s="37">
        <f t="shared" si="16"/>
        <v>0</v>
      </c>
    </row>
    <row r="18" spans="1:43" x14ac:dyDescent="0.25">
      <c r="B18" s="2" t="s">
        <v>30</v>
      </c>
      <c r="C18" s="2">
        <v>2024</v>
      </c>
      <c r="D18" s="1">
        <v>472952</v>
      </c>
      <c r="E18" s="11">
        <v>26902684.520000011</v>
      </c>
      <c r="F18" s="1">
        <v>330522</v>
      </c>
      <c r="G18" s="11">
        <v>18590341.890000001</v>
      </c>
      <c r="H18" s="1">
        <v>15923</v>
      </c>
      <c r="I18" s="11">
        <v>933001.56</v>
      </c>
      <c r="J18" s="1">
        <v>2351086</v>
      </c>
      <c r="K18" s="11">
        <v>132674222.95999987</v>
      </c>
      <c r="L18" s="1">
        <v>12786</v>
      </c>
      <c r="M18" s="11">
        <v>717895.15000000014</v>
      </c>
      <c r="N18" s="1">
        <v>18767</v>
      </c>
      <c r="O18" s="11">
        <v>971053.39000000013</v>
      </c>
      <c r="P18" s="1">
        <v>19</v>
      </c>
      <c r="Q18" s="11">
        <v>502.25999999999993</v>
      </c>
      <c r="R18" s="1">
        <v>10893</v>
      </c>
      <c r="S18" s="11">
        <v>641741.09</v>
      </c>
      <c r="T18" s="53">
        <f t="shared" si="17"/>
        <v>3212948</v>
      </c>
      <c r="U18" s="54">
        <f t="shared" si="0"/>
        <v>181431442.8199999</v>
      </c>
      <c r="V18" s="2" t="s">
        <v>56</v>
      </c>
      <c r="Y18" s="2" t="s">
        <v>30</v>
      </c>
      <c r="Z18" s="2">
        <v>2024</v>
      </c>
      <c r="AA18" s="1">
        <f t="shared" si="1"/>
        <v>819397</v>
      </c>
      <c r="AB18" s="11">
        <f t="shared" si="2"/>
        <v>46426027.970000014</v>
      </c>
      <c r="AC18" s="1">
        <f t="shared" si="3"/>
        <v>2351086</v>
      </c>
      <c r="AD18" s="11">
        <f t="shared" si="4"/>
        <v>132674222.95999987</v>
      </c>
      <c r="AE18" s="8">
        <f t="shared" si="5"/>
        <v>12786</v>
      </c>
      <c r="AF18" s="11">
        <f t="shared" si="6"/>
        <v>717895.15000000014</v>
      </c>
      <c r="AG18" s="8">
        <f t="shared" si="7"/>
        <v>18767</v>
      </c>
      <c r="AH18" s="11">
        <f t="shared" si="8"/>
        <v>971053.39000000013</v>
      </c>
      <c r="AI18" s="8">
        <f t="shared" si="9"/>
        <v>19</v>
      </c>
      <c r="AJ18" s="11">
        <f t="shared" si="10"/>
        <v>502.25999999999993</v>
      </c>
      <c r="AK18" s="11">
        <f t="shared" si="11"/>
        <v>10893</v>
      </c>
      <c r="AL18" s="11">
        <f t="shared" si="12"/>
        <v>641741.09</v>
      </c>
      <c r="AM18" s="79">
        <f t="shared" si="18"/>
        <v>3212948</v>
      </c>
      <c r="AN18" s="80">
        <f t="shared" si="13"/>
        <v>181431442.8199999</v>
      </c>
      <c r="AO18" s="2" t="str">
        <f t="shared" si="14"/>
        <v>AUNORTE</v>
      </c>
      <c r="AP18" s="37">
        <f t="shared" si="15"/>
        <v>0</v>
      </c>
      <c r="AQ18" s="37">
        <f t="shared" si="16"/>
        <v>0</v>
      </c>
    </row>
    <row r="19" spans="1:43" x14ac:dyDescent="0.25">
      <c r="B19" s="2" t="s">
        <v>31</v>
      </c>
      <c r="C19" s="2">
        <v>2024</v>
      </c>
      <c r="D19" s="1">
        <v>440728</v>
      </c>
      <c r="E19" s="11">
        <v>25615949.219999995</v>
      </c>
      <c r="F19" s="1">
        <v>320210</v>
      </c>
      <c r="G19" s="11">
        <v>18097322.120000001</v>
      </c>
      <c r="H19" s="1">
        <v>6439</v>
      </c>
      <c r="I19" s="11">
        <v>374514.81000000017</v>
      </c>
      <c r="J19" s="1">
        <v>2160253</v>
      </c>
      <c r="K19" s="11">
        <v>123872153.76999959</v>
      </c>
      <c r="L19" s="8">
        <v>12207</v>
      </c>
      <c r="M19" s="11">
        <v>714447.27000000014</v>
      </c>
      <c r="N19" s="8">
        <v>17725</v>
      </c>
      <c r="O19" s="11">
        <v>930863.96999999986</v>
      </c>
      <c r="P19" s="8">
        <v>13</v>
      </c>
      <c r="Q19" s="11">
        <v>291.82999999999993</v>
      </c>
      <c r="R19" s="8">
        <v>10686</v>
      </c>
      <c r="S19" s="11">
        <v>640174.07999999996</v>
      </c>
      <c r="T19" s="53">
        <f t="shared" si="17"/>
        <v>2968261</v>
      </c>
      <c r="U19" s="54">
        <f t="shared" si="0"/>
        <v>170245717.06999961</v>
      </c>
      <c r="V19" s="2" t="s">
        <v>56</v>
      </c>
      <c r="W19" s="13"/>
      <c r="Y19" s="2" t="s">
        <v>31</v>
      </c>
      <c r="Z19" s="2">
        <v>2024</v>
      </c>
      <c r="AA19" s="1">
        <f t="shared" si="1"/>
        <v>767377</v>
      </c>
      <c r="AB19" s="11">
        <f t="shared" si="2"/>
        <v>44087786.149999991</v>
      </c>
      <c r="AC19" s="1">
        <f t="shared" si="3"/>
        <v>2160253</v>
      </c>
      <c r="AD19" s="11">
        <f t="shared" si="4"/>
        <v>123872153.76999959</v>
      </c>
      <c r="AE19" s="8">
        <f t="shared" si="5"/>
        <v>12207</v>
      </c>
      <c r="AF19" s="11">
        <f t="shared" si="6"/>
        <v>714447.27000000014</v>
      </c>
      <c r="AG19" s="8">
        <f t="shared" si="7"/>
        <v>17725</v>
      </c>
      <c r="AH19" s="11">
        <f t="shared" si="8"/>
        <v>930863.96999999986</v>
      </c>
      <c r="AI19" s="8">
        <f t="shared" si="9"/>
        <v>13</v>
      </c>
      <c r="AJ19" s="11">
        <f t="shared" si="10"/>
        <v>291.82999999999993</v>
      </c>
      <c r="AK19" s="11">
        <f t="shared" si="11"/>
        <v>10686</v>
      </c>
      <c r="AL19" s="11">
        <f t="shared" si="12"/>
        <v>640174.07999999996</v>
      </c>
      <c r="AM19" s="8">
        <f t="shared" si="18"/>
        <v>2968261</v>
      </c>
      <c r="AN19" s="11">
        <f t="shared" si="13"/>
        <v>170245717.06999961</v>
      </c>
      <c r="AO19" s="2" t="str">
        <f t="shared" si="14"/>
        <v>AUNORTE</v>
      </c>
      <c r="AP19" s="37">
        <f t="shared" si="15"/>
        <v>0</v>
      </c>
      <c r="AQ19" s="37">
        <f t="shared" si="16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19">SUM(D8:D20)</f>
        <v>5454577</v>
      </c>
      <c r="E21" s="12">
        <f t="shared" si="19"/>
        <v>309974691.60999984</v>
      </c>
      <c r="F21" s="4">
        <f t="shared" si="19"/>
        <v>3742054</v>
      </c>
      <c r="G21" s="12">
        <f t="shared" si="19"/>
        <v>209539387.74000001</v>
      </c>
      <c r="H21" s="4">
        <f t="shared" si="19"/>
        <v>185561</v>
      </c>
      <c r="I21" s="12">
        <f t="shared" si="19"/>
        <v>10803175.110000001</v>
      </c>
      <c r="J21" s="4">
        <f t="shared" si="19"/>
        <v>27012694</v>
      </c>
      <c r="K21" s="12">
        <f t="shared" si="19"/>
        <v>1520410647.4299939</v>
      </c>
      <c r="L21" s="4">
        <f t="shared" si="19"/>
        <v>150124</v>
      </c>
      <c r="M21" s="12">
        <f t="shared" si="19"/>
        <v>8455751.9900000021</v>
      </c>
      <c r="N21" s="4">
        <f t="shared" si="19"/>
        <v>223039</v>
      </c>
      <c r="O21" s="12">
        <f t="shared" si="19"/>
        <v>11457182.260000002</v>
      </c>
      <c r="P21" s="4">
        <f>SUM(P8:P20)</f>
        <v>327</v>
      </c>
      <c r="Q21" s="12">
        <f>SUM(Q8:Q20)</f>
        <v>11053.760000000002</v>
      </c>
      <c r="R21" s="4">
        <f>SUM(R8:R20)</f>
        <v>95131</v>
      </c>
      <c r="S21" s="12">
        <f>SUM(S8:S20)</f>
        <v>5600485.4800000004</v>
      </c>
      <c r="T21" s="4">
        <f t="shared" si="19"/>
        <v>36863507</v>
      </c>
      <c r="U21" s="12">
        <f t="shared" si="19"/>
        <v>2076252375.3799944</v>
      </c>
      <c r="V21" s="2" t="s">
        <v>116</v>
      </c>
      <c r="Y21" s="3" t="s">
        <v>12</v>
      </c>
      <c r="Z21" s="3"/>
      <c r="AA21" s="4">
        <f t="shared" ref="AA21:AN21" si="20">SUM(AA8:AA20)</f>
        <v>9382192</v>
      </c>
      <c r="AB21" s="12">
        <f t="shared" si="20"/>
        <v>530317254.45999992</v>
      </c>
      <c r="AC21" s="4">
        <f t="shared" si="20"/>
        <v>27012694</v>
      </c>
      <c r="AD21" s="12">
        <f t="shared" si="20"/>
        <v>1520410647.4299939</v>
      </c>
      <c r="AE21" s="4">
        <f t="shared" si="20"/>
        <v>150124</v>
      </c>
      <c r="AF21" s="12">
        <f t="shared" si="20"/>
        <v>8455751.9900000021</v>
      </c>
      <c r="AG21" s="4">
        <f t="shared" si="20"/>
        <v>223039</v>
      </c>
      <c r="AH21" s="12">
        <f t="shared" si="20"/>
        <v>11457182.260000002</v>
      </c>
      <c r="AI21" s="4">
        <f t="shared" si="20"/>
        <v>327</v>
      </c>
      <c r="AJ21" s="12">
        <f t="shared" si="20"/>
        <v>11053.760000000002</v>
      </c>
      <c r="AK21" s="4">
        <f t="shared" si="20"/>
        <v>95131</v>
      </c>
      <c r="AL21" s="12">
        <f t="shared" si="20"/>
        <v>5600485.4800000004</v>
      </c>
      <c r="AM21" s="4">
        <f t="shared" si="20"/>
        <v>36863507</v>
      </c>
      <c r="AN21" s="12">
        <f t="shared" si="20"/>
        <v>2076252375.3799944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12445.5</v>
      </c>
      <c r="M22" s="60">
        <f>AVERAGE(M8:M9)</f>
        <v>667011.47499999986</v>
      </c>
      <c r="T22" s="15">
        <f>AVERAGE(T8:T9)</f>
        <v>2914279.5</v>
      </c>
      <c r="U22" s="61">
        <f>AVERAGE(U8:U9)</f>
        <v>157616775.8149997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9.6596928736916859E-2</v>
      </c>
      <c r="M23" s="36">
        <f>+M22/$M$371</f>
        <v>3.2736811896135053E-2</v>
      </c>
      <c r="N23" s="18"/>
      <c r="O23" s="19"/>
      <c r="P23" s="19"/>
      <c r="Q23" s="19"/>
      <c r="R23" s="19"/>
      <c r="S23" s="19"/>
      <c r="T23" s="26">
        <f>+L22/T22</f>
        <v>4.2705238121463641E-3</v>
      </c>
      <c r="U23" s="36">
        <f>+M22/U22</f>
        <v>4.2318558513269834E-3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87</v>
      </c>
      <c r="S26" s="93"/>
      <c r="T26" s="89" t="s">
        <v>12</v>
      </c>
      <c r="U26" s="93"/>
      <c r="AA26" s="89" t="s">
        <v>69</v>
      </c>
      <c r="AB26" s="90"/>
      <c r="AC26" s="89" t="s">
        <v>17</v>
      </c>
      <c r="AD26" s="93"/>
      <c r="AE26" s="89" t="s">
        <v>18</v>
      </c>
      <c r="AF26" s="93"/>
      <c r="AG26" s="89" t="s">
        <v>13</v>
      </c>
      <c r="AH26" s="93"/>
      <c r="AI26" s="89" t="s">
        <v>34</v>
      </c>
      <c r="AJ26" s="93"/>
      <c r="AK26" s="89" t="s">
        <v>87</v>
      </c>
      <c r="AL26" s="93"/>
      <c r="AM26" s="89" t="s">
        <v>12</v>
      </c>
      <c r="AN26" s="93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2024</v>
      </c>
      <c r="D29" s="1">
        <v>532193</v>
      </c>
      <c r="E29" s="11">
        <v>25714441.850000005</v>
      </c>
      <c r="F29" s="1">
        <v>245288</v>
      </c>
      <c r="G29" s="11">
        <v>10893103.029999999</v>
      </c>
      <c r="H29" s="1">
        <v>12347</v>
      </c>
      <c r="I29" s="11">
        <v>615972.38000000024</v>
      </c>
      <c r="J29" s="1">
        <v>1915662</v>
      </c>
      <c r="K29" s="11">
        <v>83932571.439998597</v>
      </c>
      <c r="L29" s="8">
        <v>9433</v>
      </c>
      <c r="M29" s="11">
        <v>411868.40999999992</v>
      </c>
      <c r="N29" s="8">
        <v>12423</v>
      </c>
      <c r="O29" s="11">
        <v>570051.08999999985</v>
      </c>
      <c r="P29" s="8">
        <v>78</v>
      </c>
      <c r="Q29" s="11">
        <v>4829.5899999999992</v>
      </c>
      <c r="R29" s="8">
        <v>4626</v>
      </c>
      <c r="S29" s="11">
        <v>223700.22000000006</v>
      </c>
      <c r="T29" s="53">
        <f>N29+L29+J29+H29+D29+P29+F29+R29</f>
        <v>2732050</v>
      </c>
      <c r="U29" s="54">
        <f t="shared" ref="U29:U40" si="21">O29+M29+K29+I29+E29+Q29+G29+S29</f>
        <v>122366538.0099986</v>
      </c>
      <c r="V29" s="2" t="s">
        <v>57</v>
      </c>
      <c r="Y29" s="2" t="s">
        <v>5</v>
      </c>
      <c r="Z29" s="2">
        <v>2024</v>
      </c>
      <c r="AA29" s="1">
        <f t="shared" ref="AA29:AA40" si="22">D29+H29+F29</f>
        <v>789828</v>
      </c>
      <c r="AB29" s="11">
        <f t="shared" ref="AB29:AB40" si="23">E29+I29+G29</f>
        <v>37223517.260000005</v>
      </c>
      <c r="AC29" s="1">
        <f t="shared" ref="AC29:AC40" si="24">+J29</f>
        <v>1915662</v>
      </c>
      <c r="AD29" s="11">
        <f t="shared" ref="AD29:AD40" si="25">+K29</f>
        <v>83932571.439998597</v>
      </c>
      <c r="AE29" s="8">
        <f t="shared" ref="AE29:AE40" si="26">+L29</f>
        <v>9433</v>
      </c>
      <c r="AF29" s="11">
        <f t="shared" ref="AF29:AF40" si="27">+M29</f>
        <v>411868.40999999992</v>
      </c>
      <c r="AG29" s="8">
        <f t="shared" ref="AG29:AG40" si="28">+N29</f>
        <v>12423</v>
      </c>
      <c r="AH29" s="11">
        <f t="shared" ref="AH29:AH40" si="29">+O29</f>
        <v>570051.08999999985</v>
      </c>
      <c r="AI29" s="8">
        <f t="shared" ref="AI29:AI40" si="30">+P29</f>
        <v>78</v>
      </c>
      <c r="AJ29" s="11">
        <f t="shared" ref="AJ29:AJ40" si="31">+Q29</f>
        <v>4829.5899999999992</v>
      </c>
      <c r="AK29" s="11">
        <f t="shared" ref="AK29:AK40" si="32">+R29</f>
        <v>4626</v>
      </c>
      <c r="AL29" s="11">
        <f t="shared" ref="AL29:AL40" si="33">+S29</f>
        <v>223700.22000000006</v>
      </c>
      <c r="AM29" s="8">
        <f>AI29+AG29+AE29+AC29+AA29+AK29</f>
        <v>2732050</v>
      </c>
      <c r="AN29" s="11">
        <f t="shared" ref="AN29:AN40" si="34">AJ29+AH29+AF29+AD29+AB29+AL29</f>
        <v>122366538.0099986</v>
      </c>
      <c r="AO29" s="2" t="str">
        <f t="shared" ref="AO29:AO40" si="35">+V29</f>
        <v>VIADUCTO</v>
      </c>
      <c r="AP29" s="37">
        <f t="shared" ref="AP29:AP40" si="36">+AM29-T29</f>
        <v>0</v>
      </c>
      <c r="AQ29" s="37">
        <f t="shared" ref="AQ29:AQ40" si="37">+AN29-U29</f>
        <v>0</v>
      </c>
    </row>
    <row r="30" spans="1:43" x14ac:dyDescent="0.25">
      <c r="B30" s="2" t="s">
        <v>6</v>
      </c>
      <c r="C30" s="2">
        <v>2024</v>
      </c>
      <c r="D30" s="1">
        <v>528382</v>
      </c>
      <c r="E30" s="11">
        <v>26213901.330000013</v>
      </c>
      <c r="F30" s="1">
        <v>258891</v>
      </c>
      <c r="G30" s="11">
        <v>11821355.879999997</v>
      </c>
      <c r="H30" s="1">
        <v>12889</v>
      </c>
      <c r="I30" s="11">
        <v>659513.83000000007</v>
      </c>
      <c r="J30" s="1">
        <v>1912217</v>
      </c>
      <c r="K30" s="11">
        <v>86072383.209999606</v>
      </c>
      <c r="L30" s="8">
        <v>9497</v>
      </c>
      <c r="M30" s="11">
        <v>424633.42999999988</v>
      </c>
      <c r="N30" s="8">
        <v>12586</v>
      </c>
      <c r="O30" s="11">
        <v>587103.73</v>
      </c>
      <c r="P30" s="8">
        <v>65</v>
      </c>
      <c r="Q30" s="11">
        <v>5024.53</v>
      </c>
      <c r="R30" s="8">
        <v>4694</v>
      </c>
      <c r="S30" s="11">
        <v>232326.39999999999</v>
      </c>
      <c r="T30" s="53">
        <f t="shared" ref="T30:T40" si="38">N30+L30+J30+H30+D30+P30+F30+R30</f>
        <v>2739221</v>
      </c>
      <c r="U30" s="54">
        <f t="shared" si="21"/>
        <v>126016242.33999962</v>
      </c>
      <c r="V30" s="2" t="s">
        <v>57</v>
      </c>
      <c r="Y30" s="2" t="s">
        <v>6</v>
      </c>
      <c r="Z30" s="2">
        <v>2024</v>
      </c>
      <c r="AA30" s="1">
        <f t="shared" si="22"/>
        <v>800162</v>
      </c>
      <c r="AB30" s="11">
        <f t="shared" si="23"/>
        <v>38694771.040000007</v>
      </c>
      <c r="AC30" s="1">
        <f t="shared" si="24"/>
        <v>1912217</v>
      </c>
      <c r="AD30" s="11">
        <f t="shared" si="25"/>
        <v>86072383.209999606</v>
      </c>
      <c r="AE30" s="8">
        <f t="shared" si="26"/>
        <v>9497</v>
      </c>
      <c r="AF30" s="11">
        <f t="shared" si="27"/>
        <v>424633.42999999988</v>
      </c>
      <c r="AG30" s="8">
        <f t="shared" si="28"/>
        <v>12586</v>
      </c>
      <c r="AH30" s="11">
        <f t="shared" si="29"/>
        <v>587103.73</v>
      </c>
      <c r="AI30" s="8">
        <f t="shared" si="30"/>
        <v>65</v>
      </c>
      <c r="AJ30" s="11">
        <f t="shared" si="31"/>
        <v>5024.53</v>
      </c>
      <c r="AK30" s="11">
        <f t="shared" si="32"/>
        <v>4694</v>
      </c>
      <c r="AL30" s="11">
        <f t="shared" si="33"/>
        <v>232326.39999999999</v>
      </c>
      <c r="AM30" s="8">
        <f t="shared" ref="AM30:AM40" si="39">AI30+AG30+AE30+AC30+AA30+AK30</f>
        <v>2739221</v>
      </c>
      <c r="AN30" s="11">
        <f t="shared" si="34"/>
        <v>126016242.33999962</v>
      </c>
      <c r="AO30" s="2" t="str">
        <f t="shared" si="35"/>
        <v>VIADUCTO</v>
      </c>
      <c r="AP30" s="37">
        <f t="shared" si="36"/>
        <v>0</v>
      </c>
      <c r="AQ30" s="37">
        <f t="shared" si="37"/>
        <v>0</v>
      </c>
    </row>
    <row r="31" spans="1:43" x14ac:dyDescent="0.25">
      <c r="B31" s="2" t="s">
        <v>7</v>
      </c>
      <c r="C31" s="2">
        <v>2024</v>
      </c>
      <c r="D31" s="1">
        <v>502668</v>
      </c>
      <c r="E31" s="11">
        <v>25283225.029999997</v>
      </c>
      <c r="F31" s="1">
        <v>251831</v>
      </c>
      <c r="G31" s="11">
        <v>11792621.439999998</v>
      </c>
      <c r="H31" s="1">
        <v>12733</v>
      </c>
      <c r="I31" s="11">
        <v>658668.92000000004</v>
      </c>
      <c r="J31" s="1">
        <v>1827363</v>
      </c>
      <c r="K31" s="11">
        <v>83943418.329999924</v>
      </c>
      <c r="L31" s="8">
        <v>9286</v>
      </c>
      <c r="M31" s="11">
        <v>429697.74999999988</v>
      </c>
      <c r="N31" s="8">
        <v>11988</v>
      </c>
      <c r="O31" s="11">
        <v>577904.88</v>
      </c>
      <c r="P31" s="8">
        <v>48</v>
      </c>
      <c r="Q31" s="11">
        <v>2995.0600000000004</v>
      </c>
      <c r="R31" s="8">
        <v>5058</v>
      </c>
      <c r="S31" s="11">
        <v>255861.83999999994</v>
      </c>
      <c r="T31" s="53">
        <f t="shared" si="38"/>
        <v>2620975</v>
      </c>
      <c r="U31" s="54">
        <f t="shared" si="21"/>
        <v>122944393.24999993</v>
      </c>
      <c r="V31" s="2" t="s">
        <v>57</v>
      </c>
      <c r="Y31" s="2" t="s">
        <v>7</v>
      </c>
      <c r="Z31" s="2">
        <v>2024</v>
      </c>
      <c r="AA31" s="1">
        <f t="shared" si="22"/>
        <v>767232</v>
      </c>
      <c r="AB31" s="11">
        <f t="shared" si="23"/>
        <v>37734515.390000001</v>
      </c>
      <c r="AC31" s="1">
        <f t="shared" si="24"/>
        <v>1827363</v>
      </c>
      <c r="AD31" s="11">
        <f t="shared" si="25"/>
        <v>83943418.329999924</v>
      </c>
      <c r="AE31" s="8">
        <f t="shared" si="26"/>
        <v>9286</v>
      </c>
      <c r="AF31" s="11">
        <f t="shared" si="27"/>
        <v>429697.74999999988</v>
      </c>
      <c r="AG31" s="8">
        <f t="shared" si="28"/>
        <v>11988</v>
      </c>
      <c r="AH31" s="11">
        <f t="shared" si="29"/>
        <v>577904.88</v>
      </c>
      <c r="AI31" s="8">
        <f t="shared" si="30"/>
        <v>48</v>
      </c>
      <c r="AJ31" s="11">
        <f t="shared" si="31"/>
        <v>2995.0600000000004</v>
      </c>
      <c r="AK31" s="11">
        <f t="shared" si="32"/>
        <v>5058</v>
      </c>
      <c r="AL31" s="11">
        <f t="shared" si="33"/>
        <v>255861.83999999994</v>
      </c>
      <c r="AM31" s="8">
        <f t="shared" si="39"/>
        <v>2620975</v>
      </c>
      <c r="AN31" s="11">
        <f t="shared" si="34"/>
        <v>122944393.24999993</v>
      </c>
      <c r="AO31" s="2" t="str">
        <f t="shared" si="35"/>
        <v>VIADUCTO</v>
      </c>
      <c r="AP31" s="37">
        <f t="shared" si="36"/>
        <v>0</v>
      </c>
      <c r="AQ31" s="37">
        <f t="shared" si="37"/>
        <v>0</v>
      </c>
    </row>
    <row r="32" spans="1:43" x14ac:dyDescent="0.25">
      <c r="B32" s="2" t="s">
        <v>8</v>
      </c>
      <c r="C32" s="2">
        <v>2024</v>
      </c>
      <c r="D32" s="1">
        <v>575650</v>
      </c>
      <c r="E32" s="11">
        <v>29165949.29000001</v>
      </c>
      <c r="F32" s="1">
        <v>281584</v>
      </c>
      <c r="G32" s="11">
        <v>13162615.290000003</v>
      </c>
      <c r="H32" s="1">
        <v>14136</v>
      </c>
      <c r="I32" s="11">
        <v>736720.16999999993</v>
      </c>
      <c r="J32" s="1">
        <v>2025440</v>
      </c>
      <c r="K32" s="11">
        <v>92798934.480000049</v>
      </c>
      <c r="L32" s="8">
        <v>10471</v>
      </c>
      <c r="M32" s="11">
        <v>478282.95</v>
      </c>
      <c r="N32" s="8">
        <v>13213</v>
      </c>
      <c r="O32" s="11">
        <v>644255.32000000007</v>
      </c>
      <c r="P32" s="8">
        <v>38</v>
      </c>
      <c r="Q32" s="11">
        <v>2130.88</v>
      </c>
      <c r="R32" s="8">
        <v>6838</v>
      </c>
      <c r="S32" s="11">
        <v>348179.68</v>
      </c>
      <c r="T32" s="53">
        <f t="shared" si="38"/>
        <v>2927370</v>
      </c>
      <c r="U32" s="54">
        <f t="shared" si="21"/>
        <v>137337068.06000006</v>
      </c>
      <c r="V32" s="2" t="s">
        <v>57</v>
      </c>
      <c r="Y32" s="2" t="s">
        <v>8</v>
      </c>
      <c r="Z32" s="2">
        <v>2024</v>
      </c>
      <c r="AA32" s="1">
        <f t="shared" si="22"/>
        <v>871370</v>
      </c>
      <c r="AB32" s="11">
        <f t="shared" si="23"/>
        <v>43065284.750000015</v>
      </c>
      <c r="AC32" s="1">
        <f t="shared" si="24"/>
        <v>2025440</v>
      </c>
      <c r="AD32" s="11">
        <f t="shared" si="25"/>
        <v>92798934.480000049</v>
      </c>
      <c r="AE32" s="8">
        <f t="shared" si="26"/>
        <v>10471</v>
      </c>
      <c r="AF32" s="11">
        <f t="shared" si="27"/>
        <v>478282.95</v>
      </c>
      <c r="AG32" s="8">
        <f t="shared" si="28"/>
        <v>13213</v>
      </c>
      <c r="AH32" s="11">
        <f t="shared" si="29"/>
        <v>644255.32000000007</v>
      </c>
      <c r="AI32" s="8">
        <f t="shared" si="30"/>
        <v>38</v>
      </c>
      <c r="AJ32" s="11">
        <f t="shared" si="31"/>
        <v>2130.88</v>
      </c>
      <c r="AK32" s="11">
        <f t="shared" si="32"/>
        <v>6838</v>
      </c>
      <c r="AL32" s="11">
        <f t="shared" si="33"/>
        <v>348179.68</v>
      </c>
      <c r="AM32" s="8">
        <f t="shared" si="39"/>
        <v>2927370</v>
      </c>
      <c r="AN32" s="11">
        <f t="shared" si="34"/>
        <v>137337068.06000006</v>
      </c>
      <c r="AO32" s="2" t="str">
        <f t="shared" si="35"/>
        <v>VIADUCTO</v>
      </c>
      <c r="AP32" s="37">
        <f t="shared" si="36"/>
        <v>0</v>
      </c>
      <c r="AQ32" s="37">
        <f t="shared" si="37"/>
        <v>0</v>
      </c>
    </row>
    <row r="33" spans="1:43" x14ac:dyDescent="0.25">
      <c r="B33" s="2" t="s">
        <v>9</v>
      </c>
      <c r="C33" s="2">
        <v>2024</v>
      </c>
      <c r="D33" s="1">
        <v>551080</v>
      </c>
      <c r="E33" s="11">
        <v>27827148.57</v>
      </c>
      <c r="F33" s="1">
        <v>279890</v>
      </c>
      <c r="G33" s="11">
        <v>12971318.150000002</v>
      </c>
      <c r="H33" s="1">
        <v>13811</v>
      </c>
      <c r="I33" s="11">
        <v>728264.41999999981</v>
      </c>
      <c r="J33" s="1">
        <v>1992800</v>
      </c>
      <c r="K33" s="11">
        <v>90752343.300000161</v>
      </c>
      <c r="L33" s="8">
        <v>10234</v>
      </c>
      <c r="M33" s="11">
        <v>461115.25</v>
      </c>
      <c r="N33" s="8">
        <v>13401</v>
      </c>
      <c r="O33" s="11">
        <v>638790.79000000015</v>
      </c>
      <c r="P33" s="8">
        <v>29</v>
      </c>
      <c r="Q33" s="11">
        <v>1182.6799999999998</v>
      </c>
      <c r="R33" s="8">
        <v>6590</v>
      </c>
      <c r="S33" s="11">
        <v>334375.67</v>
      </c>
      <c r="T33" s="53">
        <f t="shared" si="38"/>
        <v>2867835</v>
      </c>
      <c r="U33" s="54">
        <f t="shared" si="21"/>
        <v>133714538.83000018</v>
      </c>
      <c r="V33" s="2" t="s">
        <v>57</v>
      </c>
      <c r="Y33" s="2" t="s">
        <v>9</v>
      </c>
      <c r="Z33" s="2">
        <v>2024</v>
      </c>
      <c r="AA33" s="1">
        <f t="shared" si="22"/>
        <v>844781</v>
      </c>
      <c r="AB33" s="11">
        <f t="shared" si="23"/>
        <v>41526731.140000001</v>
      </c>
      <c r="AC33" s="1">
        <f t="shared" si="24"/>
        <v>1992800</v>
      </c>
      <c r="AD33" s="11">
        <f t="shared" si="25"/>
        <v>90752343.300000161</v>
      </c>
      <c r="AE33" s="8">
        <f t="shared" si="26"/>
        <v>10234</v>
      </c>
      <c r="AF33" s="11">
        <f t="shared" si="27"/>
        <v>461115.25</v>
      </c>
      <c r="AG33" s="8">
        <f t="shared" si="28"/>
        <v>13401</v>
      </c>
      <c r="AH33" s="11">
        <f t="shared" si="29"/>
        <v>638790.79000000015</v>
      </c>
      <c r="AI33" s="8">
        <f t="shared" si="30"/>
        <v>29</v>
      </c>
      <c r="AJ33" s="11">
        <f t="shared" si="31"/>
        <v>1182.6799999999998</v>
      </c>
      <c r="AK33" s="11">
        <f t="shared" si="32"/>
        <v>6590</v>
      </c>
      <c r="AL33" s="11">
        <f t="shared" si="33"/>
        <v>334375.67</v>
      </c>
      <c r="AM33" s="8">
        <f t="shared" si="39"/>
        <v>2867835</v>
      </c>
      <c r="AN33" s="11">
        <f t="shared" si="34"/>
        <v>133714538.83000016</v>
      </c>
      <c r="AO33" s="2" t="str">
        <f t="shared" si="35"/>
        <v>VIADUCTO</v>
      </c>
      <c r="AP33" s="37">
        <f t="shared" si="36"/>
        <v>0</v>
      </c>
      <c r="AQ33" s="37">
        <f t="shared" si="37"/>
        <v>0</v>
      </c>
    </row>
    <row r="34" spans="1:43" x14ac:dyDescent="0.25">
      <c r="B34" s="2" t="s">
        <v>10</v>
      </c>
      <c r="C34" s="2">
        <v>2024</v>
      </c>
      <c r="D34" s="1">
        <v>547351</v>
      </c>
      <c r="E34" s="11">
        <v>27793049.569999997</v>
      </c>
      <c r="F34" s="1">
        <v>271838</v>
      </c>
      <c r="G34" s="11">
        <v>12752053.459999999</v>
      </c>
      <c r="H34" s="1">
        <v>13427</v>
      </c>
      <c r="I34" s="11">
        <v>714973.96</v>
      </c>
      <c r="J34" s="1">
        <v>1940030</v>
      </c>
      <c r="K34" s="11">
        <v>89099849.339989752</v>
      </c>
      <c r="L34" s="8">
        <v>9644</v>
      </c>
      <c r="M34" s="11">
        <v>447517.39000000007</v>
      </c>
      <c r="N34" s="8">
        <v>12718</v>
      </c>
      <c r="O34" s="11">
        <v>614648.35000000009</v>
      </c>
      <c r="P34" s="8">
        <v>35</v>
      </c>
      <c r="Q34" s="11">
        <v>1196.4599999999998</v>
      </c>
      <c r="R34" s="8">
        <v>6373</v>
      </c>
      <c r="S34" s="11">
        <v>323633.74000000005</v>
      </c>
      <c r="T34" s="53">
        <f t="shared" si="38"/>
        <v>2801416</v>
      </c>
      <c r="U34" s="54">
        <f t="shared" si="21"/>
        <v>131746922.26998971</v>
      </c>
      <c r="V34" s="2" t="s">
        <v>57</v>
      </c>
      <c r="Y34" s="2" t="s">
        <v>10</v>
      </c>
      <c r="Z34" s="2">
        <v>2024</v>
      </c>
      <c r="AA34" s="1">
        <f t="shared" si="22"/>
        <v>832616</v>
      </c>
      <c r="AB34" s="11">
        <f t="shared" si="23"/>
        <v>41260076.989999995</v>
      </c>
      <c r="AC34" s="1">
        <f t="shared" si="24"/>
        <v>1940030</v>
      </c>
      <c r="AD34" s="11">
        <f t="shared" si="25"/>
        <v>89099849.339989752</v>
      </c>
      <c r="AE34" s="8">
        <f t="shared" si="26"/>
        <v>9644</v>
      </c>
      <c r="AF34" s="11">
        <f t="shared" si="27"/>
        <v>447517.39000000007</v>
      </c>
      <c r="AG34" s="8">
        <f t="shared" si="28"/>
        <v>12718</v>
      </c>
      <c r="AH34" s="11">
        <f t="shared" si="29"/>
        <v>614648.35000000009</v>
      </c>
      <c r="AI34" s="8">
        <f t="shared" si="30"/>
        <v>35</v>
      </c>
      <c r="AJ34" s="11">
        <f t="shared" si="31"/>
        <v>1196.4599999999998</v>
      </c>
      <c r="AK34" s="11">
        <f t="shared" si="32"/>
        <v>6373</v>
      </c>
      <c r="AL34" s="11">
        <f t="shared" si="33"/>
        <v>323633.74000000005</v>
      </c>
      <c r="AM34" s="8">
        <f t="shared" si="39"/>
        <v>2801416</v>
      </c>
      <c r="AN34" s="11">
        <f t="shared" si="34"/>
        <v>131746922.26998974</v>
      </c>
      <c r="AO34" s="2" t="str">
        <f t="shared" si="35"/>
        <v>VIADUCTO</v>
      </c>
      <c r="AP34" s="37">
        <f t="shared" si="36"/>
        <v>0</v>
      </c>
      <c r="AQ34" s="37">
        <f t="shared" si="37"/>
        <v>0</v>
      </c>
    </row>
    <row r="35" spans="1:43" x14ac:dyDescent="0.25">
      <c r="B35" s="2" t="s">
        <v>11</v>
      </c>
      <c r="C35" s="2">
        <v>2024</v>
      </c>
      <c r="D35" s="1">
        <v>574493</v>
      </c>
      <c r="E35" s="11">
        <v>29320207.370000005</v>
      </c>
      <c r="F35" s="1">
        <v>281233</v>
      </c>
      <c r="G35" s="11">
        <v>13231041.330000002</v>
      </c>
      <c r="H35" s="1">
        <v>15395</v>
      </c>
      <c r="I35" s="11">
        <v>839566.73</v>
      </c>
      <c r="J35" s="1">
        <v>2080073</v>
      </c>
      <c r="K35" s="11">
        <v>96670994.170000166</v>
      </c>
      <c r="L35" s="8">
        <v>10160</v>
      </c>
      <c r="M35" s="11">
        <v>478855.63000000006</v>
      </c>
      <c r="N35" s="8">
        <v>13190</v>
      </c>
      <c r="O35" s="11">
        <v>653390.22999999986</v>
      </c>
      <c r="P35" s="8">
        <v>44</v>
      </c>
      <c r="Q35" s="11">
        <v>2013.5600000000002</v>
      </c>
      <c r="R35" s="8">
        <v>7219</v>
      </c>
      <c r="S35" s="11">
        <v>371081.30000000005</v>
      </c>
      <c r="T35" s="53">
        <f t="shared" si="38"/>
        <v>2981807</v>
      </c>
      <c r="U35" s="54">
        <f t="shared" si="21"/>
        <v>141567150.3200002</v>
      </c>
      <c r="V35" s="2" t="s">
        <v>57</v>
      </c>
      <c r="Y35" s="2" t="s">
        <v>11</v>
      </c>
      <c r="Z35" s="2">
        <v>2024</v>
      </c>
      <c r="AA35" s="1">
        <f t="shared" si="22"/>
        <v>871121</v>
      </c>
      <c r="AB35" s="11">
        <f t="shared" si="23"/>
        <v>43390815.430000007</v>
      </c>
      <c r="AC35" s="1">
        <f t="shared" si="24"/>
        <v>2080073</v>
      </c>
      <c r="AD35" s="11">
        <f t="shared" si="25"/>
        <v>96670994.170000166</v>
      </c>
      <c r="AE35" s="8">
        <f t="shared" si="26"/>
        <v>10160</v>
      </c>
      <c r="AF35" s="11">
        <f t="shared" si="27"/>
        <v>478855.63000000006</v>
      </c>
      <c r="AG35" s="8">
        <f t="shared" si="28"/>
        <v>13190</v>
      </c>
      <c r="AH35" s="11">
        <f t="shared" si="29"/>
        <v>653390.22999999986</v>
      </c>
      <c r="AI35" s="8">
        <f t="shared" si="30"/>
        <v>44</v>
      </c>
      <c r="AJ35" s="11">
        <f t="shared" si="31"/>
        <v>2013.5600000000002</v>
      </c>
      <c r="AK35" s="11">
        <f t="shared" si="32"/>
        <v>7219</v>
      </c>
      <c r="AL35" s="11">
        <f t="shared" si="33"/>
        <v>371081.30000000005</v>
      </c>
      <c r="AM35" s="8">
        <f t="shared" si="39"/>
        <v>2981807</v>
      </c>
      <c r="AN35" s="11">
        <f t="shared" si="34"/>
        <v>141567150.32000017</v>
      </c>
      <c r="AO35" s="2" t="str">
        <f t="shared" si="35"/>
        <v>VIADUCTO</v>
      </c>
      <c r="AP35" s="37">
        <f t="shared" si="36"/>
        <v>0</v>
      </c>
      <c r="AQ35" s="37">
        <f t="shared" si="37"/>
        <v>0</v>
      </c>
    </row>
    <row r="36" spans="1:43" x14ac:dyDescent="0.25">
      <c r="B36" s="2" t="s">
        <v>4</v>
      </c>
      <c r="C36" s="2">
        <v>2024</v>
      </c>
      <c r="D36" s="1">
        <v>616898</v>
      </c>
      <c r="E36" s="11">
        <v>31118652.829999991</v>
      </c>
      <c r="F36" s="1">
        <v>312694</v>
      </c>
      <c r="G36" s="11">
        <v>14452374.410000004</v>
      </c>
      <c r="H36" s="1">
        <v>16670</v>
      </c>
      <c r="I36" s="11">
        <v>895509.82000000007</v>
      </c>
      <c r="J36" s="1">
        <v>2216230</v>
      </c>
      <c r="K36" s="11">
        <v>102050970.96000028</v>
      </c>
      <c r="L36" s="8">
        <v>10807</v>
      </c>
      <c r="M36" s="11">
        <v>499402.74000000005</v>
      </c>
      <c r="N36" s="8">
        <v>14097</v>
      </c>
      <c r="O36" s="11">
        <v>687481.21999999986</v>
      </c>
      <c r="P36" s="8">
        <v>57</v>
      </c>
      <c r="Q36" s="11">
        <v>2224.0299999999997</v>
      </c>
      <c r="R36" s="8">
        <v>8515</v>
      </c>
      <c r="S36" s="11">
        <v>442040.17</v>
      </c>
      <c r="T36" s="53">
        <f t="shared" si="38"/>
        <v>3195968</v>
      </c>
      <c r="U36" s="54">
        <f t="shared" si="21"/>
        <v>150148656.18000025</v>
      </c>
      <c r="V36" s="2" t="s">
        <v>57</v>
      </c>
      <c r="Y36" s="2" t="s">
        <v>4</v>
      </c>
      <c r="Z36" s="2">
        <v>2024</v>
      </c>
      <c r="AA36" s="1">
        <f t="shared" si="22"/>
        <v>946262</v>
      </c>
      <c r="AB36" s="11">
        <f t="shared" si="23"/>
        <v>46466537.059999995</v>
      </c>
      <c r="AC36" s="1">
        <f t="shared" si="24"/>
        <v>2216230</v>
      </c>
      <c r="AD36" s="11">
        <f t="shared" si="25"/>
        <v>102050970.96000028</v>
      </c>
      <c r="AE36" s="8">
        <f t="shared" si="26"/>
        <v>10807</v>
      </c>
      <c r="AF36" s="11">
        <f t="shared" si="27"/>
        <v>499402.74000000005</v>
      </c>
      <c r="AG36" s="8">
        <f t="shared" si="28"/>
        <v>14097</v>
      </c>
      <c r="AH36" s="11">
        <f t="shared" si="29"/>
        <v>687481.21999999986</v>
      </c>
      <c r="AI36" s="8">
        <f t="shared" si="30"/>
        <v>57</v>
      </c>
      <c r="AJ36" s="11">
        <f t="shared" si="31"/>
        <v>2224.0299999999997</v>
      </c>
      <c r="AK36" s="11">
        <f t="shared" si="32"/>
        <v>8515</v>
      </c>
      <c r="AL36" s="11">
        <f t="shared" si="33"/>
        <v>442040.17</v>
      </c>
      <c r="AM36" s="8">
        <f t="shared" si="39"/>
        <v>3195968</v>
      </c>
      <c r="AN36" s="11">
        <f t="shared" si="34"/>
        <v>150148656.18000025</v>
      </c>
      <c r="AO36" s="2" t="str">
        <f t="shared" si="35"/>
        <v>VIADUCTO</v>
      </c>
      <c r="AP36" s="37">
        <f t="shared" si="36"/>
        <v>0</v>
      </c>
      <c r="AQ36" s="37">
        <f t="shared" si="37"/>
        <v>0</v>
      </c>
    </row>
    <row r="37" spans="1:43" x14ac:dyDescent="0.25">
      <c r="B37" s="2" t="s">
        <v>28</v>
      </c>
      <c r="C37" s="2">
        <v>2024</v>
      </c>
      <c r="D37" s="1">
        <v>573771</v>
      </c>
      <c r="E37" s="11">
        <v>28673285.060000002</v>
      </c>
      <c r="F37" s="1">
        <v>286148</v>
      </c>
      <c r="G37" s="11">
        <v>13077384.73</v>
      </c>
      <c r="H37" s="1">
        <v>16138</v>
      </c>
      <c r="I37" s="11">
        <v>854259.34999999974</v>
      </c>
      <c r="J37" s="1">
        <v>2096602</v>
      </c>
      <c r="K37" s="11">
        <v>95347066.500000343</v>
      </c>
      <c r="L37" s="8">
        <v>9906</v>
      </c>
      <c r="M37" s="11">
        <v>445220.85000000009</v>
      </c>
      <c r="N37" s="8">
        <v>13308</v>
      </c>
      <c r="O37" s="11">
        <v>641772.86999999988</v>
      </c>
      <c r="P37" s="8">
        <v>54</v>
      </c>
      <c r="Q37" s="11">
        <v>3193.68</v>
      </c>
      <c r="R37" s="8">
        <v>8566</v>
      </c>
      <c r="S37" s="11">
        <v>426681.16000000003</v>
      </c>
      <c r="T37" s="53">
        <f t="shared" si="38"/>
        <v>3004493</v>
      </c>
      <c r="U37" s="54">
        <f t="shared" si="21"/>
        <v>139468864.20000035</v>
      </c>
      <c r="V37" s="2" t="s">
        <v>57</v>
      </c>
      <c r="Y37" s="2" t="s">
        <v>28</v>
      </c>
      <c r="Z37" s="2">
        <v>2024</v>
      </c>
      <c r="AA37" s="1">
        <f t="shared" si="22"/>
        <v>876057</v>
      </c>
      <c r="AB37" s="11">
        <f t="shared" si="23"/>
        <v>42604929.140000001</v>
      </c>
      <c r="AC37" s="1">
        <f t="shared" si="24"/>
        <v>2096602</v>
      </c>
      <c r="AD37" s="11">
        <f t="shared" si="25"/>
        <v>95347066.500000343</v>
      </c>
      <c r="AE37" s="8">
        <f t="shared" si="26"/>
        <v>9906</v>
      </c>
      <c r="AF37" s="11">
        <f t="shared" si="27"/>
        <v>445220.85000000009</v>
      </c>
      <c r="AG37" s="8">
        <f t="shared" si="28"/>
        <v>13308</v>
      </c>
      <c r="AH37" s="11">
        <f t="shared" si="29"/>
        <v>641772.86999999988</v>
      </c>
      <c r="AI37" s="8">
        <f t="shared" si="30"/>
        <v>54</v>
      </c>
      <c r="AJ37" s="11">
        <f t="shared" si="31"/>
        <v>3193.68</v>
      </c>
      <c r="AK37" s="11">
        <f t="shared" si="32"/>
        <v>8566</v>
      </c>
      <c r="AL37" s="11">
        <f t="shared" si="33"/>
        <v>426681.16000000003</v>
      </c>
      <c r="AM37" s="8">
        <f t="shared" si="39"/>
        <v>3004493</v>
      </c>
      <c r="AN37" s="11">
        <f t="shared" si="34"/>
        <v>139468864.20000035</v>
      </c>
      <c r="AO37" s="2" t="str">
        <f t="shared" si="35"/>
        <v>VIADUCTO</v>
      </c>
      <c r="AP37" s="37">
        <f t="shared" si="36"/>
        <v>0</v>
      </c>
      <c r="AQ37" s="37">
        <f t="shared" si="37"/>
        <v>0</v>
      </c>
    </row>
    <row r="38" spans="1:43" x14ac:dyDescent="0.25">
      <c r="B38" s="2" t="s">
        <v>29</v>
      </c>
      <c r="C38" s="2">
        <v>2024</v>
      </c>
      <c r="D38" s="1">
        <v>619451</v>
      </c>
      <c r="E38" s="11">
        <v>31142561.729999997</v>
      </c>
      <c r="F38" s="1">
        <v>311807</v>
      </c>
      <c r="G38" s="11">
        <v>14402225.98</v>
      </c>
      <c r="H38" s="1">
        <v>16579</v>
      </c>
      <c r="I38" s="11">
        <v>887242.7</v>
      </c>
      <c r="J38" s="1">
        <v>2231099</v>
      </c>
      <c r="K38" s="11">
        <v>102210026.09000017</v>
      </c>
      <c r="L38" s="8">
        <v>10765</v>
      </c>
      <c r="M38" s="11">
        <v>482002.55000000005</v>
      </c>
      <c r="N38" s="8">
        <v>14362</v>
      </c>
      <c r="O38" s="11">
        <v>694103.51999999979</v>
      </c>
      <c r="P38" s="8">
        <v>75</v>
      </c>
      <c r="Q38" s="11">
        <v>5887.869999999999</v>
      </c>
      <c r="R38" s="8">
        <v>9621</v>
      </c>
      <c r="S38" s="11">
        <v>478309.26000000007</v>
      </c>
      <c r="T38" s="53">
        <f>N38+L38+J38+H38+D38+P38+F38+R38</f>
        <v>3213759</v>
      </c>
      <c r="U38" s="54">
        <f t="shared" si="21"/>
        <v>150302359.70000014</v>
      </c>
      <c r="V38" s="2" t="s">
        <v>57</v>
      </c>
      <c r="Y38" s="2" t="s">
        <v>29</v>
      </c>
      <c r="Z38" s="2">
        <v>2024</v>
      </c>
      <c r="AA38" s="1">
        <f t="shared" si="22"/>
        <v>947837</v>
      </c>
      <c r="AB38" s="11">
        <f t="shared" si="23"/>
        <v>46432030.409999996</v>
      </c>
      <c r="AC38" s="1">
        <f t="shared" si="24"/>
        <v>2231099</v>
      </c>
      <c r="AD38" s="11">
        <f t="shared" si="25"/>
        <v>102210026.09000017</v>
      </c>
      <c r="AE38" s="8">
        <f t="shared" si="26"/>
        <v>10765</v>
      </c>
      <c r="AF38" s="11">
        <f t="shared" si="27"/>
        <v>482002.55000000005</v>
      </c>
      <c r="AG38" s="8">
        <f t="shared" si="28"/>
        <v>14362</v>
      </c>
      <c r="AH38" s="11">
        <f t="shared" si="29"/>
        <v>694103.51999999979</v>
      </c>
      <c r="AI38" s="8">
        <f t="shared" si="30"/>
        <v>75</v>
      </c>
      <c r="AJ38" s="11">
        <f t="shared" si="31"/>
        <v>5887.869999999999</v>
      </c>
      <c r="AK38" s="11">
        <f t="shared" si="32"/>
        <v>9621</v>
      </c>
      <c r="AL38" s="11">
        <f t="shared" si="33"/>
        <v>478309.26000000007</v>
      </c>
      <c r="AM38" s="8">
        <f t="shared" si="39"/>
        <v>3213759</v>
      </c>
      <c r="AN38" s="11">
        <f t="shared" si="34"/>
        <v>150302359.70000017</v>
      </c>
      <c r="AO38" s="2" t="str">
        <f t="shared" si="35"/>
        <v>VIADUCTO</v>
      </c>
      <c r="AP38" s="37">
        <f t="shared" si="36"/>
        <v>0</v>
      </c>
      <c r="AQ38" s="37">
        <f t="shared" si="37"/>
        <v>0</v>
      </c>
    </row>
    <row r="39" spans="1:43" x14ac:dyDescent="0.25">
      <c r="B39" s="2" t="s">
        <v>30</v>
      </c>
      <c r="C39" s="2">
        <v>2024</v>
      </c>
      <c r="D39" s="1">
        <v>575063</v>
      </c>
      <c r="E39" s="11">
        <v>28630081.750000004</v>
      </c>
      <c r="F39" s="1">
        <v>294044</v>
      </c>
      <c r="G39" s="11">
        <v>13540145.09</v>
      </c>
      <c r="H39" s="1">
        <v>15415</v>
      </c>
      <c r="I39" s="11">
        <v>809601.88000000012</v>
      </c>
      <c r="J39" s="1">
        <v>2092825</v>
      </c>
      <c r="K39" s="11">
        <v>95289308.55000025</v>
      </c>
      <c r="L39" s="8">
        <v>10019</v>
      </c>
      <c r="M39" s="11">
        <v>452397.48</v>
      </c>
      <c r="N39" s="8">
        <v>13596</v>
      </c>
      <c r="O39" s="11">
        <v>652110.69999999995</v>
      </c>
      <c r="P39" s="8">
        <v>61</v>
      </c>
      <c r="Q39" s="11">
        <v>4207.8600000000006</v>
      </c>
      <c r="R39" s="8">
        <v>9403</v>
      </c>
      <c r="S39" s="11">
        <v>469987.93999999983</v>
      </c>
      <c r="T39" s="53">
        <f t="shared" si="38"/>
        <v>3010426</v>
      </c>
      <c r="U39" s="54">
        <f t="shared" si="21"/>
        <v>139847841.25000024</v>
      </c>
      <c r="V39" s="2" t="s">
        <v>57</v>
      </c>
      <c r="Y39" s="2" t="s">
        <v>30</v>
      </c>
      <c r="Z39" s="2">
        <v>2024</v>
      </c>
      <c r="AA39" s="1">
        <f t="shared" si="22"/>
        <v>884522</v>
      </c>
      <c r="AB39" s="11">
        <f t="shared" si="23"/>
        <v>42979828.719999999</v>
      </c>
      <c r="AC39" s="1">
        <f t="shared" si="24"/>
        <v>2092825</v>
      </c>
      <c r="AD39" s="11">
        <f t="shared" si="25"/>
        <v>95289308.55000025</v>
      </c>
      <c r="AE39" s="8">
        <f t="shared" si="26"/>
        <v>10019</v>
      </c>
      <c r="AF39" s="11">
        <f t="shared" si="27"/>
        <v>452397.48</v>
      </c>
      <c r="AG39" s="8">
        <f t="shared" si="28"/>
        <v>13596</v>
      </c>
      <c r="AH39" s="11">
        <f t="shared" si="29"/>
        <v>652110.69999999995</v>
      </c>
      <c r="AI39" s="8">
        <f t="shared" si="30"/>
        <v>61</v>
      </c>
      <c r="AJ39" s="11">
        <f t="shared" si="31"/>
        <v>4207.8600000000006</v>
      </c>
      <c r="AK39" s="11">
        <f t="shared" si="32"/>
        <v>9403</v>
      </c>
      <c r="AL39" s="11">
        <f t="shared" si="33"/>
        <v>469987.93999999983</v>
      </c>
      <c r="AM39" s="79">
        <f t="shared" si="39"/>
        <v>3010426</v>
      </c>
      <c r="AN39" s="80">
        <f t="shared" si="34"/>
        <v>139847841.25000024</v>
      </c>
      <c r="AO39" s="2" t="str">
        <f t="shared" si="35"/>
        <v>VIADUCTO</v>
      </c>
      <c r="AP39" s="37">
        <f t="shared" si="36"/>
        <v>0</v>
      </c>
      <c r="AQ39" s="37">
        <f t="shared" si="37"/>
        <v>0</v>
      </c>
    </row>
    <row r="40" spans="1:43" x14ac:dyDescent="0.25">
      <c r="B40" s="2" t="s">
        <v>31</v>
      </c>
      <c r="C40" s="2">
        <v>2024</v>
      </c>
      <c r="D40" s="1">
        <v>538341</v>
      </c>
      <c r="E40" s="11">
        <v>26986304.780000009</v>
      </c>
      <c r="F40" s="1">
        <v>299762</v>
      </c>
      <c r="G40" s="11">
        <v>13799011.630000019</v>
      </c>
      <c r="H40" s="1">
        <v>5846</v>
      </c>
      <c r="I40" s="11">
        <v>309916.02000000019</v>
      </c>
      <c r="J40" s="1">
        <v>1979412</v>
      </c>
      <c r="K40" s="11">
        <v>90685967.30999434</v>
      </c>
      <c r="L40" s="8">
        <v>9857</v>
      </c>
      <c r="M40" s="11">
        <v>460315.02</v>
      </c>
      <c r="N40" s="8">
        <v>13201</v>
      </c>
      <c r="O40" s="11">
        <v>633924.1</v>
      </c>
      <c r="P40" s="8">
        <v>60</v>
      </c>
      <c r="Q40" s="11">
        <v>4982.67</v>
      </c>
      <c r="R40" s="8">
        <v>9559</v>
      </c>
      <c r="S40" s="11">
        <v>482022.3</v>
      </c>
      <c r="T40" s="53">
        <f t="shared" si="38"/>
        <v>2856038</v>
      </c>
      <c r="U40" s="54">
        <f t="shared" si="21"/>
        <v>133362443.82999438</v>
      </c>
      <c r="V40" s="2" t="s">
        <v>57</v>
      </c>
      <c r="W40" s="13"/>
      <c r="Y40" s="2" t="s">
        <v>31</v>
      </c>
      <c r="Z40" s="2">
        <v>2024</v>
      </c>
      <c r="AA40" s="1">
        <f t="shared" si="22"/>
        <v>843949</v>
      </c>
      <c r="AB40" s="11">
        <f t="shared" si="23"/>
        <v>41095232.43000003</v>
      </c>
      <c r="AC40" s="1">
        <f t="shared" si="24"/>
        <v>1979412</v>
      </c>
      <c r="AD40" s="11">
        <f t="shared" si="25"/>
        <v>90685967.30999434</v>
      </c>
      <c r="AE40" s="8">
        <f t="shared" si="26"/>
        <v>9857</v>
      </c>
      <c r="AF40" s="11">
        <f t="shared" si="27"/>
        <v>460315.02</v>
      </c>
      <c r="AG40" s="8">
        <f t="shared" si="28"/>
        <v>13201</v>
      </c>
      <c r="AH40" s="11">
        <f t="shared" si="29"/>
        <v>633924.1</v>
      </c>
      <c r="AI40" s="8">
        <f t="shared" si="30"/>
        <v>60</v>
      </c>
      <c r="AJ40" s="11">
        <f t="shared" si="31"/>
        <v>4982.67</v>
      </c>
      <c r="AK40" s="11">
        <f t="shared" si="32"/>
        <v>9559</v>
      </c>
      <c r="AL40" s="11">
        <f t="shared" si="33"/>
        <v>482022.3</v>
      </c>
      <c r="AM40" s="8">
        <f t="shared" si="39"/>
        <v>2856038</v>
      </c>
      <c r="AN40" s="11">
        <f t="shared" si="34"/>
        <v>133362443.82999437</v>
      </c>
      <c r="AO40" s="2" t="str">
        <f t="shared" si="35"/>
        <v>VIADUCTO</v>
      </c>
      <c r="AP40" s="37">
        <f t="shared" si="36"/>
        <v>0</v>
      </c>
      <c r="AQ40" s="37">
        <f t="shared" si="37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40">SUM(D29:D41)</f>
        <v>6735341</v>
      </c>
      <c r="E42" s="12">
        <f t="shared" si="40"/>
        <v>337868809.16000003</v>
      </c>
      <c r="F42" s="4">
        <f t="shared" si="40"/>
        <v>3375010</v>
      </c>
      <c r="G42" s="12">
        <f t="shared" si="40"/>
        <v>155895250.42000005</v>
      </c>
      <c r="H42" s="4">
        <f t="shared" si="40"/>
        <v>165386</v>
      </c>
      <c r="I42" s="12">
        <f t="shared" si="40"/>
        <v>8710210.1799999997</v>
      </c>
      <c r="J42" s="4">
        <f t="shared" si="40"/>
        <v>24309753</v>
      </c>
      <c r="K42" s="12">
        <f t="shared" si="40"/>
        <v>1108853833.6799836</v>
      </c>
      <c r="L42" s="4">
        <f t="shared" si="40"/>
        <v>120079</v>
      </c>
      <c r="M42" s="12">
        <f t="shared" si="40"/>
        <v>5471309.4499999993</v>
      </c>
      <c r="N42" s="4">
        <f t="shared" si="40"/>
        <v>158083</v>
      </c>
      <c r="O42" s="12">
        <f t="shared" si="40"/>
        <v>7595536.7999999989</v>
      </c>
      <c r="P42" s="4">
        <f>SUM(P29:P41)</f>
        <v>644</v>
      </c>
      <c r="Q42" s="12">
        <f>SUM(Q29:Q41)</f>
        <v>39868.869999999995</v>
      </c>
      <c r="R42" s="4">
        <f>SUM(R29:R41)</f>
        <v>87062</v>
      </c>
      <c r="S42" s="12">
        <f>SUM(S29:S41)</f>
        <v>4388199.6800000006</v>
      </c>
      <c r="T42" s="4">
        <f t="shared" si="40"/>
        <v>34951358</v>
      </c>
      <c r="U42" s="12">
        <f t="shared" si="40"/>
        <v>1628823018.2399836</v>
      </c>
      <c r="V42" s="2" t="s">
        <v>117</v>
      </c>
      <c r="Y42" s="3" t="s">
        <v>12</v>
      </c>
      <c r="Z42" s="3"/>
      <c r="AA42" s="4">
        <f t="shared" ref="AA42:AN42" si="41">SUM(AA29:AA41)</f>
        <v>10275737</v>
      </c>
      <c r="AB42" s="12">
        <f t="shared" si="41"/>
        <v>502474269.76000005</v>
      </c>
      <c r="AC42" s="4">
        <f t="shared" si="41"/>
        <v>24309753</v>
      </c>
      <c r="AD42" s="12">
        <f t="shared" si="41"/>
        <v>1108853833.6799836</v>
      </c>
      <c r="AE42" s="4">
        <f t="shared" si="41"/>
        <v>120079</v>
      </c>
      <c r="AF42" s="12">
        <f t="shared" si="41"/>
        <v>5471309.4499999993</v>
      </c>
      <c r="AG42" s="4">
        <f t="shared" si="41"/>
        <v>158083</v>
      </c>
      <c r="AH42" s="12">
        <f t="shared" si="41"/>
        <v>7595536.7999999989</v>
      </c>
      <c r="AI42" s="4">
        <f t="shared" si="41"/>
        <v>644</v>
      </c>
      <c r="AJ42" s="12">
        <f t="shared" si="41"/>
        <v>39868.869999999995</v>
      </c>
      <c r="AK42" s="4">
        <f t="shared" si="41"/>
        <v>87062</v>
      </c>
      <c r="AL42" s="12">
        <f t="shared" si="41"/>
        <v>4388199.6800000006</v>
      </c>
      <c r="AM42" s="4">
        <f t="shared" si="41"/>
        <v>34951358</v>
      </c>
      <c r="AN42" s="12">
        <f t="shared" si="41"/>
        <v>1628823018.2399836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9465</v>
      </c>
      <c r="M43" s="60">
        <f>AVERAGE(M29:M30)</f>
        <v>418250.91999999993</v>
      </c>
      <c r="T43" s="15">
        <f>AVERAGE(T29:T30)</f>
        <v>2735635.5</v>
      </c>
      <c r="U43" s="28">
        <f>AVERAGE(U29:U30)</f>
        <v>124191390.17499912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7.346349527900993E-2</v>
      </c>
      <c r="M44" s="36">
        <f>+M43/$M$371</f>
        <v>2.0527685364671474E-2</v>
      </c>
      <c r="N44" s="18"/>
      <c r="O44" s="19"/>
      <c r="P44" s="19"/>
      <c r="Q44" s="19"/>
      <c r="R44" s="19"/>
      <c r="S44" s="19"/>
      <c r="T44" s="36">
        <f>+L43/T43</f>
        <v>3.4598907639559438E-3</v>
      </c>
      <c r="U44" s="62">
        <f>+M43/U43</f>
        <v>3.3677932053956324E-3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87</v>
      </c>
      <c r="S47" s="93"/>
      <c r="T47" s="89" t="s">
        <v>12</v>
      </c>
      <c r="U47" s="93"/>
      <c r="AA47" s="89" t="s">
        <v>69</v>
      </c>
      <c r="AB47" s="90"/>
      <c r="AC47" s="89" t="s">
        <v>17</v>
      </c>
      <c r="AD47" s="93"/>
      <c r="AE47" s="89" t="s">
        <v>18</v>
      </c>
      <c r="AF47" s="93"/>
      <c r="AG47" s="89" t="s">
        <v>13</v>
      </c>
      <c r="AH47" s="93"/>
      <c r="AI47" s="89" t="s">
        <v>34</v>
      </c>
      <c r="AJ47" s="93"/>
      <c r="AK47" s="89" t="s">
        <v>87</v>
      </c>
      <c r="AL47" s="93"/>
      <c r="AM47" s="89" t="s">
        <v>12</v>
      </c>
      <c r="AN47" s="93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2024</v>
      </c>
      <c r="D50" s="1">
        <v>248314</v>
      </c>
      <c r="E50" s="11">
        <v>11629493</v>
      </c>
      <c r="F50" s="1">
        <v>211846</v>
      </c>
      <c r="G50" s="11">
        <v>10041150</v>
      </c>
      <c r="H50" s="1">
        <v>8539</v>
      </c>
      <c r="I50" s="11">
        <v>402683</v>
      </c>
      <c r="J50" s="1">
        <v>1840862</v>
      </c>
      <c r="K50" s="11">
        <v>85396807</v>
      </c>
      <c r="L50" s="8">
        <v>10878</v>
      </c>
      <c r="M50" s="11">
        <v>497017</v>
      </c>
      <c r="N50" s="8">
        <v>28836</v>
      </c>
      <c r="O50" s="11">
        <v>1329016</v>
      </c>
      <c r="P50" s="8">
        <v>0</v>
      </c>
      <c r="Q50" s="11">
        <v>0</v>
      </c>
      <c r="R50" s="8">
        <v>7552</v>
      </c>
      <c r="S50" s="11">
        <v>352911</v>
      </c>
      <c r="T50" s="53">
        <f>N50+L50+J50+H50+D50+P50+F50+R50</f>
        <v>2356827</v>
      </c>
      <c r="U50" s="54">
        <f t="shared" ref="U50:U61" si="42">O50+M50+K50+I50+E50+Q50+G50+S50</f>
        <v>109649077</v>
      </c>
      <c r="V50" s="2" t="s">
        <v>58</v>
      </c>
      <c r="Y50" s="2" t="s">
        <v>5</v>
      </c>
      <c r="Z50" s="2">
        <v>2024</v>
      </c>
      <c r="AA50" s="1">
        <f t="shared" ref="AA50:AA61" si="43">D50+H50+F50</f>
        <v>468699</v>
      </c>
      <c r="AB50" s="11">
        <f t="shared" ref="AB50:AB61" si="44">E50+I50+G50</f>
        <v>22073326</v>
      </c>
      <c r="AC50" s="1">
        <f t="shared" ref="AC50:AC61" si="45">+J50</f>
        <v>1840862</v>
      </c>
      <c r="AD50" s="11">
        <f t="shared" ref="AD50:AD61" si="46">+K50</f>
        <v>85396807</v>
      </c>
      <c r="AE50" s="8">
        <f t="shared" ref="AE50:AE61" si="47">+L50</f>
        <v>10878</v>
      </c>
      <c r="AF50" s="11">
        <f t="shared" ref="AF50:AF61" si="48">+M50</f>
        <v>497017</v>
      </c>
      <c r="AG50" s="8">
        <f t="shared" ref="AG50:AG61" si="49">+N50</f>
        <v>28836</v>
      </c>
      <c r="AH50" s="11">
        <f t="shared" ref="AH50:AH61" si="50">+O50</f>
        <v>1329016</v>
      </c>
      <c r="AI50" s="8">
        <f t="shared" ref="AI50:AI61" si="51">+P50</f>
        <v>0</v>
      </c>
      <c r="AJ50" s="11">
        <f t="shared" ref="AJ50:AJ61" si="52">+Q50</f>
        <v>0</v>
      </c>
      <c r="AK50" s="11">
        <f t="shared" ref="AK50:AK61" si="53">+R50</f>
        <v>7552</v>
      </c>
      <c r="AL50" s="11">
        <f t="shared" ref="AL50:AL61" si="54">+S50</f>
        <v>352911</v>
      </c>
      <c r="AM50" s="8">
        <f>AI50+AG50+AE50+AC50+AA50+AK50</f>
        <v>2356827</v>
      </c>
      <c r="AN50" s="11">
        <f t="shared" ref="AN50:AN61" si="55">AJ50+AH50+AF50+AD50+AB50+AL50</f>
        <v>109649077</v>
      </c>
      <c r="AO50" s="2" t="str">
        <f t="shared" ref="AO50:AO61" si="56">+V50</f>
        <v>SUPERVIA</v>
      </c>
      <c r="AP50" s="37">
        <f t="shared" ref="AP50:AP61" si="57">+AM50-T50</f>
        <v>0</v>
      </c>
      <c r="AQ50" s="37">
        <f t="shared" ref="AQ50:AQ61" si="58">+AN50-U50</f>
        <v>0</v>
      </c>
    </row>
    <row r="51" spans="2:43" x14ac:dyDescent="0.25">
      <c r="B51" s="2" t="s">
        <v>6</v>
      </c>
      <c r="C51" s="2">
        <v>2024</v>
      </c>
      <c r="D51" s="1">
        <v>259078</v>
      </c>
      <c r="E51" s="11">
        <v>12684580</v>
      </c>
      <c r="F51" s="1">
        <v>229489</v>
      </c>
      <c r="G51" s="11">
        <v>11355116</v>
      </c>
      <c r="H51" s="1">
        <v>10383</v>
      </c>
      <c r="I51" s="11">
        <v>511474</v>
      </c>
      <c r="J51" s="1">
        <v>1934747</v>
      </c>
      <c r="K51" s="11">
        <v>93844056</v>
      </c>
      <c r="L51" s="8">
        <v>10744</v>
      </c>
      <c r="M51" s="11">
        <v>513658</v>
      </c>
      <c r="N51" s="8">
        <v>30517</v>
      </c>
      <c r="O51" s="11">
        <v>1469381</v>
      </c>
      <c r="P51" s="8">
        <v>0</v>
      </c>
      <c r="Q51" s="11">
        <v>0</v>
      </c>
      <c r="R51" s="8">
        <v>8734</v>
      </c>
      <c r="S51" s="11">
        <v>426413</v>
      </c>
      <c r="T51" s="53">
        <f t="shared" ref="T51:T61" si="59">N51+L51+J51+H51+D51+P51+F51+R51</f>
        <v>2483692</v>
      </c>
      <c r="U51" s="54">
        <f t="shared" si="42"/>
        <v>120804678</v>
      </c>
      <c r="V51" s="2" t="s">
        <v>58</v>
      </c>
      <c r="Y51" s="2" t="s">
        <v>6</v>
      </c>
      <c r="Z51" s="2">
        <v>2024</v>
      </c>
      <c r="AA51" s="1">
        <f t="shared" si="43"/>
        <v>498950</v>
      </c>
      <c r="AB51" s="11">
        <f t="shared" si="44"/>
        <v>24551170</v>
      </c>
      <c r="AC51" s="1">
        <f t="shared" si="45"/>
        <v>1934747</v>
      </c>
      <c r="AD51" s="11">
        <f t="shared" si="46"/>
        <v>93844056</v>
      </c>
      <c r="AE51" s="8">
        <f t="shared" si="47"/>
        <v>10744</v>
      </c>
      <c r="AF51" s="11">
        <f t="shared" si="48"/>
        <v>513658</v>
      </c>
      <c r="AG51" s="8">
        <f t="shared" si="49"/>
        <v>30517</v>
      </c>
      <c r="AH51" s="11">
        <f t="shared" si="50"/>
        <v>1469381</v>
      </c>
      <c r="AI51" s="8">
        <f t="shared" si="51"/>
        <v>0</v>
      </c>
      <c r="AJ51" s="11">
        <f t="shared" si="52"/>
        <v>0</v>
      </c>
      <c r="AK51" s="11">
        <f t="shared" si="53"/>
        <v>8734</v>
      </c>
      <c r="AL51" s="11">
        <f t="shared" si="54"/>
        <v>426413</v>
      </c>
      <c r="AM51" s="8">
        <f t="shared" ref="AM51:AM61" si="60">AI51+AG51+AE51+AC51+AA51+AK51</f>
        <v>2483692</v>
      </c>
      <c r="AN51" s="11">
        <f t="shared" si="55"/>
        <v>120804678</v>
      </c>
      <c r="AO51" s="2" t="str">
        <f t="shared" si="56"/>
        <v>SUPERVIA</v>
      </c>
      <c r="AP51" s="37">
        <f t="shared" si="57"/>
        <v>0</v>
      </c>
      <c r="AQ51" s="37">
        <f t="shared" si="58"/>
        <v>0</v>
      </c>
    </row>
    <row r="52" spans="2:43" x14ac:dyDescent="0.25">
      <c r="B52" s="2" t="s">
        <v>7</v>
      </c>
      <c r="C52" s="2">
        <v>2024</v>
      </c>
      <c r="D52" s="1">
        <v>247637</v>
      </c>
      <c r="E52" s="11">
        <v>12099066</v>
      </c>
      <c r="F52" s="1">
        <v>214452</v>
      </c>
      <c r="G52" s="11">
        <v>10615001</v>
      </c>
      <c r="H52" s="1">
        <v>9747</v>
      </c>
      <c r="I52" s="11">
        <v>481031</v>
      </c>
      <c r="J52" s="1">
        <v>1825382</v>
      </c>
      <c r="K52" s="11">
        <v>88417411</v>
      </c>
      <c r="L52" s="8">
        <v>10118</v>
      </c>
      <c r="M52" s="11">
        <v>479824</v>
      </c>
      <c r="N52" s="8">
        <v>29592</v>
      </c>
      <c r="O52" s="11">
        <v>1420951</v>
      </c>
      <c r="P52" s="8">
        <v>0</v>
      </c>
      <c r="Q52" s="11">
        <v>0</v>
      </c>
      <c r="R52" s="8">
        <v>8935</v>
      </c>
      <c r="S52" s="11">
        <v>436700</v>
      </c>
      <c r="T52" s="53">
        <f t="shared" si="59"/>
        <v>2345863</v>
      </c>
      <c r="U52" s="54">
        <f t="shared" si="42"/>
        <v>113949984</v>
      </c>
      <c r="V52" s="2" t="s">
        <v>58</v>
      </c>
      <c r="Y52" s="2" t="s">
        <v>7</v>
      </c>
      <c r="Z52" s="2">
        <v>2024</v>
      </c>
      <c r="AA52" s="1">
        <f t="shared" si="43"/>
        <v>471836</v>
      </c>
      <c r="AB52" s="11">
        <f t="shared" si="44"/>
        <v>23195098</v>
      </c>
      <c r="AC52" s="1">
        <f t="shared" si="45"/>
        <v>1825382</v>
      </c>
      <c r="AD52" s="11">
        <f t="shared" si="46"/>
        <v>88417411</v>
      </c>
      <c r="AE52" s="8">
        <f t="shared" si="47"/>
        <v>10118</v>
      </c>
      <c r="AF52" s="11">
        <f t="shared" si="48"/>
        <v>479824</v>
      </c>
      <c r="AG52" s="8">
        <f t="shared" si="49"/>
        <v>29592</v>
      </c>
      <c r="AH52" s="11">
        <f t="shared" si="50"/>
        <v>1420951</v>
      </c>
      <c r="AI52" s="8">
        <f t="shared" si="51"/>
        <v>0</v>
      </c>
      <c r="AJ52" s="11">
        <f t="shared" si="52"/>
        <v>0</v>
      </c>
      <c r="AK52" s="11">
        <f t="shared" si="53"/>
        <v>8935</v>
      </c>
      <c r="AL52" s="11">
        <f t="shared" si="54"/>
        <v>436700</v>
      </c>
      <c r="AM52" s="8">
        <f t="shared" si="60"/>
        <v>2345863</v>
      </c>
      <c r="AN52" s="11">
        <f t="shared" si="55"/>
        <v>113949984</v>
      </c>
      <c r="AO52" s="2" t="str">
        <f t="shared" si="56"/>
        <v>SUPERVIA</v>
      </c>
      <c r="AP52" s="37">
        <f t="shared" si="57"/>
        <v>0</v>
      </c>
      <c r="AQ52" s="37">
        <f t="shared" si="58"/>
        <v>0</v>
      </c>
    </row>
    <row r="53" spans="2:43" x14ac:dyDescent="0.25">
      <c r="B53" s="2" t="s">
        <v>8</v>
      </c>
      <c r="C53" s="2">
        <v>2024</v>
      </c>
      <c r="D53" s="1">
        <v>269166</v>
      </c>
      <c r="E53" s="11">
        <v>13171393</v>
      </c>
      <c r="F53" s="1">
        <v>236540</v>
      </c>
      <c r="G53" s="11">
        <v>11722065</v>
      </c>
      <c r="H53" s="1">
        <v>11269</v>
      </c>
      <c r="I53" s="11">
        <v>556872</v>
      </c>
      <c r="J53" s="1">
        <v>1995541</v>
      </c>
      <c r="K53" s="11">
        <v>96735213</v>
      </c>
      <c r="L53" s="8">
        <v>11287</v>
      </c>
      <c r="M53" s="11">
        <v>537886</v>
      </c>
      <c r="N53" s="8">
        <v>31311</v>
      </c>
      <c r="O53" s="11">
        <v>1506408</v>
      </c>
      <c r="P53" s="8">
        <v>0</v>
      </c>
      <c r="Q53" s="11">
        <v>0</v>
      </c>
      <c r="R53" s="8">
        <v>10618</v>
      </c>
      <c r="S53" s="11">
        <v>515159</v>
      </c>
      <c r="T53" s="53">
        <f t="shared" si="59"/>
        <v>2565732</v>
      </c>
      <c r="U53" s="54">
        <f t="shared" si="42"/>
        <v>124744996</v>
      </c>
      <c r="V53" s="2" t="s">
        <v>58</v>
      </c>
      <c r="Y53" s="2" t="s">
        <v>8</v>
      </c>
      <c r="Z53" s="2">
        <v>2024</v>
      </c>
      <c r="AA53" s="1">
        <f t="shared" si="43"/>
        <v>516975</v>
      </c>
      <c r="AB53" s="11">
        <f t="shared" si="44"/>
        <v>25450330</v>
      </c>
      <c r="AC53" s="1">
        <f t="shared" si="45"/>
        <v>1995541</v>
      </c>
      <c r="AD53" s="11">
        <f t="shared" si="46"/>
        <v>96735213</v>
      </c>
      <c r="AE53" s="8">
        <f t="shared" si="47"/>
        <v>11287</v>
      </c>
      <c r="AF53" s="11">
        <f t="shared" si="48"/>
        <v>537886</v>
      </c>
      <c r="AG53" s="8">
        <f t="shared" si="49"/>
        <v>31311</v>
      </c>
      <c r="AH53" s="11">
        <f t="shared" si="50"/>
        <v>1506408</v>
      </c>
      <c r="AI53" s="8">
        <f t="shared" si="51"/>
        <v>0</v>
      </c>
      <c r="AJ53" s="11">
        <f t="shared" si="52"/>
        <v>0</v>
      </c>
      <c r="AK53" s="11">
        <f t="shared" si="53"/>
        <v>10618</v>
      </c>
      <c r="AL53" s="11">
        <f t="shared" si="54"/>
        <v>515159</v>
      </c>
      <c r="AM53" s="8">
        <f t="shared" si="60"/>
        <v>2565732</v>
      </c>
      <c r="AN53" s="11">
        <f t="shared" si="55"/>
        <v>124744996</v>
      </c>
      <c r="AO53" s="2" t="str">
        <f t="shared" si="56"/>
        <v>SUPERVIA</v>
      </c>
      <c r="AP53" s="37">
        <f t="shared" si="57"/>
        <v>0</v>
      </c>
      <c r="AQ53" s="37">
        <f t="shared" si="58"/>
        <v>0</v>
      </c>
    </row>
    <row r="54" spans="2:43" x14ac:dyDescent="0.25">
      <c r="B54" s="2" t="s">
        <v>9</v>
      </c>
      <c r="C54" s="2">
        <v>2024</v>
      </c>
      <c r="D54" s="1">
        <v>262474</v>
      </c>
      <c r="E54" s="11">
        <v>12856757</v>
      </c>
      <c r="F54" s="1">
        <v>249097</v>
      </c>
      <c r="G54" s="11">
        <v>12351621</v>
      </c>
      <c r="H54" s="1">
        <v>12442</v>
      </c>
      <c r="I54" s="11">
        <v>616296</v>
      </c>
      <c r="J54" s="1">
        <v>1969387</v>
      </c>
      <c r="K54" s="11">
        <v>95461751</v>
      </c>
      <c r="L54" s="8">
        <v>10923</v>
      </c>
      <c r="M54" s="11">
        <v>519139</v>
      </c>
      <c r="N54" s="8">
        <v>32039</v>
      </c>
      <c r="O54" s="11">
        <v>1541187</v>
      </c>
      <c r="P54" s="8">
        <v>0</v>
      </c>
      <c r="Q54" s="11">
        <v>0</v>
      </c>
      <c r="R54" s="8">
        <v>10772</v>
      </c>
      <c r="S54" s="11">
        <v>524116</v>
      </c>
      <c r="T54" s="53">
        <f t="shared" si="59"/>
        <v>2547134</v>
      </c>
      <c r="U54" s="54">
        <f t="shared" si="42"/>
        <v>123870867</v>
      </c>
      <c r="V54" s="2" t="s">
        <v>58</v>
      </c>
      <c r="Y54" s="2" t="s">
        <v>9</v>
      </c>
      <c r="Z54" s="2">
        <v>2024</v>
      </c>
      <c r="AA54" s="1">
        <f t="shared" si="43"/>
        <v>524013</v>
      </c>
      <c r="AB54" s="11">
        <f t="shared" si="44"/>
        <v>25824674</v>
      </c>
      <c r="AC54" s="1">
        <f t="shared" si="45"/>
        <v>1969387</v>
      </c>
      <c r="AD54" s="11">
        <f t="shared" si="46"/>
        <v>95461751</v>
      </c>
      <c r="AE54" s="8">
        <f t="shared" si="47"/>
        <v>10923</v>
      </c>
      <c r="AF54" s="11">
        <f t="shared" si="48"/>
        <v>519139</v>
      </c>
      <c r="AG54" s="8">
        <f t="shared" si="49"/>
        <v>32039</v>
      </c>
      <c r="AH54" s="11">
        <f t="shared" si="50"/>
        <v>1541187</v>
      </c>
      <c r="AI54" s="8">
        <f t="shared" si="51"/>
        <v>0</v>
      </c>
      <c r="AJ54" s="11">
        <f t="shared" si="52"/>
        <v>0</v>
      </c>
      <c r="AK54" s="11">
        <f t="shared" si="53"/>
        <v>10772</v>
      </c>
      <c r="AL54" s="11">
        <f t="shared" si="54"/>
        <v>524116</v>
      </c>
      <c r="AM54" s="8">
        <f t="shared" si="60"/>
        <v>2547134</v>
      </c>
      <c r="AN54" s="11">
        <f t="shared" si="55"/>
        <v>123870867</v>
      </c>
      <c r="AO54" s="2" t="str">
        <f t="shared" si="56"/>
        <v>SUPERVIA</v>
      </c>
      <c r="AP54" s="37">
        <f t="shared" si="57"/>
        <v>0</v>
      </c>
      <c r="AQ54" s="37">
        <f t="shared" si="58"/>
        <v>0</v>
      </c>
    </row>
    <row r="55" spans="2:43" x14ac:dyDescent="0.25">
      <c r="B55" s="2" t="s">
        <v>10</v>
      </c>
      <c r="C55" s="2">
        <v>2024</v>
      </c>
      <c r="D55" s="1">
        <v>258309</v>
      </c>
      <c r="E55" s="11">
        <v>12702752</v>
      </c>
      <c r="F55" s="1">
        <v>232974</v>
      </c>
      <c r="G55" s="11">
        <v>11562157</v>
      </c>
      <c r="H55" s="1">
        <v>11224</v>
      </c>
      <c r="I55" s="11">
        <v>554687</v>
      </c>
      <c r="J55" s="1">
        <v>1869237</v>
      </c>
      <c r="K55" s="11">
        <v>90594921</v>
      </c>
      <c r="L55" s="8">
        <v>10271</v>
      </c>
      <c r="M55" s="11">
        <v>489148</v>
      </c>
      <c r="N55" s="8">
        <v>29129</v>
      </c>
      <c r="O55" s="11">
        <v>1401372</v>
      </c>
      <c r="P55" s="8">
        <v>1</v>
      </c>
      <c r="Q55" s="11">
        <v>68</v>
      </c>
      <c r="R55" s="8">
        <v>10791</v>
      </c>
      <c r="S55" s="11">
        <v>531138</v>
      </c>
      <c r="T55" s="53">
        <f t="shared" si="59"/>
        <v>2421936</v>
      </c>
      <c r="U55" s="54">
        <f t="shared" si="42"/>
        <v>117836243</v>
      </c>
      <c r="V55" s="2" t="s">
        <v>58</v>
      </c>
      <c r="Y55" s="2" t="s">
        <v>10</v>
      </c>
      <c r="Z55" s="2">
        <v>2024</v>
      </c>
      <c r="AA55" s="1">
        <f t="shared" si="43"/>
        <v>502507</v>
      </c>
      <c r="AB55" s="11">
        <f t="shared" si="44"/>
        <v>24819596</v>
      </c>
      <c r="AC55" s="1">
        <f t="shared" si="45"/>
        <v>1869237</v>
      </c>
      <c r="AD55" s="11">
        <f t="shared" si="46"/>
        <v>90594921</v>
      </c>
      <c r="AE55" s="8">
        <f t="shared" si="47"/>
        <v>10271</v>
      </c>
      <c r="AF55" s="11">
        <f t="shared" si="48"/>
        <v>489148</v>
      </c>
      <c r="AG55" s="8">
        <f t="shared" si="49"/>
        <v>29129</v>
      </c>
      <c r="AH55" s="11">
        <f t="shared" si="50"/>
        <v>1401372</v>
      </c>
      <c r="AI55" s="8">
        <f t="shared" si="51"/>
        <v>1</v>
      </c>
      <c r="AJ55" s="11">
        <f t="shared" si="52"/>
        <v>68</v>
      </c>
      <c r="AK55" s="11">
        <f t="shared" si="53"/>
        <v>10791</v>
      </c>
      <c r="AL55" s="11">
        <f t="shared" si="54"/>
        <v>531138</v>
      </c>
      <c r="AM55" s="8">
        <f t="shared" si="60"/>
        <v>2421936</v>
      </c>
      <c r="AN55" s="11">
        <f t="shared" si="55"/>
        <v>117836243</v>
      </c>
      <c r="AO55" s="2" t="str">
        <f t="shared" si="56"/>
        <v>SUPERVIA</v>
      </c>
      <c r="AP55" s="37">
        <f t="shared" si="57"/>
        <v>0</v>
      </c>
      <c r="AQ55" s="37">
        <f t="shared" si="58"/>
        <v>0</v>
      </c>
    </row>
    <row r="56" spans="2:43" x14ac:dyDescent="0.25">
      <c r="B56" s="2" t="s">
        <v>11</v>
      </c>
      <c r="C56" s="2">
        <v>2024</v>
      </c>
      <c r="D56" s="1">
        <v>237621</v>
      </c>
      <c r="E56" s="11">
        <v>11641513</v>
      </c>
      <c r="F56" s="1">
        <v>210451</v>
      </c>
      <c r="G56" s="11">
        <v>10451293</v>
      </c>
      <c r="H56" s="1">
        <v>11147</v>
      </c>
      <c r="I56" s="11">
        <v>549551</v>
      </c>
      <c r="J56" s="1">
        <v>1749678</v>
      </c>
      <c r="K56" s="11">
        <v>84852069</v>
      </c>
      <c r="L56" s="8">
        <v>9499</v>
      </c>
      <c r="M56" s="11">
        <v>450607</v>
      </c>
      <c r="N56" s="8">
        <v>29054</v>
      </c>
      <c r="O56" s="11">
        <v>1392442</v>
      </c>
      <c r="P56" s="8">
        <v>3</v>
      </c>
      <c r="Q56" s="11">
        <v>159</v>
      </c>
      <c r="R56" s="8">
        <v>11518</v>
      </c>
      <c r="S56" s="11">
        <v>563819</v>
      </c>
      <c r="T56" s="53">
        <f t="shared" si="59"/>
        <v>2258971</v>
      </c>
      <c r="U56" s="54">
        <f t="shared" si="42"/>
        <v>109901453</v>
      </c>
      <c r="V56" s="2" t="s">
        <v>58</v>
      </c>
      <c r="Y56" s="2" t="s">
        <v>11</v>
      </c>
      <c r="Z56" s="2">
        <v>2024</v>
      </c>
      <c r="AA56" s="1">
        <f t="shared" si="43"/>
        <v>459219</v>
      </c>
      <c r="AB56" s="11">
        <f t="shared" si="44"/>
        <v>22642357</v>
      </c>
      <c r="AC56" s="1">
        <f t="shared" si="45"/>
        <v>1749678</v>
      </c>
      <c r="AD56" s="11">
        <f t="shared" si="46"/>
        <v>84852069</v>
      </c>
      <c r="AE56" s="8">
        <f t="shared" si="47"/>
        <v>9499</v>
      </c>
      <c r="AF56" s="11">
        <f t="shared" si="48"/>
        <v>450607</v>
      </c>
      <c r="AG56" s="8">
        <f t="shared" si="49"/>
        <v>29054</v>
      </c>
      <c r="AH56" s="11">
        <f t="shared" si="50"/>
        <v>1392442</v>
      </c>
      <c r="AI56" s="8">
        <f t="shared" si="51"/>
        <v>3</v>
      </c>
      <c r="AJ56" s="11">
        <f t="shared" si="52"/>
        <v>159</v>
      </c>
      <c r="AK56" s="11">
        <f t="shared" si="53"/>
        <v>11518</v>
      </c>
      <c r="AL56" s="11">
        <f t="shared" si="54"/>
        <v>563819</v>
      </c>
      <c r="AM56" s="8">
        <f t="shared" si="60"/>
        <v>2258971</v>
      </c>
      <c r="AN56" s="11">
        <f t="shared" si="55"/>
        <v>109901453</v>
      </c>
      <c r="AO56" s="2" t="str">
        <f t="shared" si="56"/>
        <v>SUPERVIA</v>
      </c>
      <c r="AP56" s="37">
        <f t="shared" si="57"/>
        <v>0</v>
      </c>
      <c r="AQ56" s="37">
        <f t="shared" si="58"/>
        <v>0</v>
      </c>
    </row>
    <row r="57" spans="2:43" x14ac:dyDescent="0.25">
      <c r="B57" s="2" t="s">
        <v>4</v>
      </c>
      <c r="C57" s="2">
        <v>2024</v>
      </c>
      <c r="D57" s="1">
        <v>261515</v>
      </c>
      <c r="E57" s="11">
        <v>12776030</v>
      </c>
      <c r="F57" s="1">
        <v>237484</v>
      </c>
      <c r="G57" s="11">
        <v>11769962</v>
      </c>
      <c r="H57" s="1">
        <v>12438</v>
      </c>
      <c r="I57" s="11">
        <v>615894</v>
      </c>
      <c r="J57" s="1">
        <v>1989754</v>
      </c>
      <c r="K57" s="11">
        <v>96381427</v>
      </c>
      <c r="L57" s="8">
        <v>10541</v>
      </c>
      <c r="M57" s="11">
        <v>499933</v>
      </c>
      <c r="N57" s="8">
        <v>31186</v>
      </c>
      <c r="O57" s="11">
        <v>1497983</v>
      </c>
      <c r="P57" s="8">
        <v>18</v>
      </c>
      <c r="Q57" s="11">
        <v>864</v>
      </c>
      <c r="R57" s="8">
        <v>13310</v>
      </c>
      <c r="S57" s="11">
        <v>650560</v>
      </c>
      <c r="T57" s="53">
        <f t="shared" si="59"/>
        <v>2556246</v>
      </c>
      <c r="U57" s="54">
        <f t="shared" si="42"/>
        <v>124192653</v>
      </c>
      <c r="V57" s="2" t="s">
        <v>58</v>
      </c>
      <c r="Y57" s="2" t="s">
        <v>4</v>
      </c>
      <c r="Z57" s="2">
        <v>2024</v>
      </c>
      <c r="AA57" s="1">
        <f t="shared" si="43"/>
        <v>511437</v>
      </c>
      <c r="AB57" s="11">
        <f t="shared" si="44"/>
        <v>25161886</v>
      </c>
      <c r="AC57" s="1">
        <f t="shared" si="45"/>
        <v>1989754</v>
      </c>
      <c r="AD57" s="11">
        <f t="shared" si="46"/>
        <v>96381427</v>
      </c>
      <c r="AE57" s="8">
        <f t="shared" si="47"/>
        <v>10541</v>
      </c>
      <c r="AF57" s="11">
        <f t="shared" si="48"/>
        <v>499933</v>
      </c>
      <c r="AG57" s="8">
        <f t="shared" si="49"/>
        <v>31186</v>
      </c>
      <c r="AH57" s="11">
        <f t="shared" si="50"/>
        <v>1497983</v>
      </c>
      <c r="AI57" s="8">
        <f t="shared" si="51"/>
        <v>18</v>
      </c>
      <c r="AJ57" s="11">
        <f t="shared" si="52"/>
        <v>864</v>
      </c>
      <c r="AK57" s="11">
        <f t="shared" si="53"/>
        <v>13310</v>
      </c>
      <c r="AL57" s="11">
        <f t="shared" si="54"/>
        <v>650560</v>
      </c>
      <c r="AM57" s="8">
        <f t="shared" si="60"/>
        <v>2556246</v>
      </c>
      <c r="AN57" s="11">
        <f t="shared" si="55"/>
        <v>124192653</v>
      </c>
      <c r="AO57" s="2" t="str">
        <f t="shared" si="56"/>
        <v>SUPERVIA</v>
      </c>
      <c r="AP57" s="37">
        <f t="shared" si="57"/>
        <v>0</v>
      </c>
      <c r="AQ57" s="37">
        <f t="shared" si="58"/>
        <v>0</v>
      </c>
    </row>
    <row r="58" spans="2:43" x14ac:dyDescent="0.25">
      <c r="B58" s="2" t="s">
        <v>28</v>
      </c>
      <c r="C58" s="2">
        <v>2024</v>
      </c>
      <c r="D58" s="1">
        <v>260461</v>
      </c>
      <c r="E58" s="11">
        <v>12676818</v>
      </c>
      <c r="F58" s="1">
        <v>239127</v>
      </c>
      <c r="G58" s="11">
        <v>11825711</v>
      </c>
      <c r="H58" s="1">
        <v>13449</v>
      </c>
      <c r="I58" s="11">
        <v>664042</v>
      </c>
      <c r="J58" s="1">
        <v>1994014</v>
      </c>
      <c r="K58" s="11">
        <v>96176987</v>
      </c>
      <c r="L58" s="8">
        <v>10387</v>
      </c>
      <c r="M58" s="11">
        <v>489611</v>
      </c>
      <c r="N58" s="8">
        <v>31147</v>
      </c>
      <c r="O58" s="11">
        <v>1491356</v>
      </c>
      <c r="P58" s="8">
        <v>0</v>
      </c>
      <c r="Q58" s="11">
        <v>0</v>
      </c>
      <c r="R58" s="8">
        <v>14128</v>
      </c>
      <c r="S58" s="11">
        <v>686029</v>
      </c>
      <c r="T58" s="53">
        <f t="shared" si="59"/>
        <v>2562713</v>
      </c>
      <c r="U58" s="54">
        <f t="shared" si="42"/>
        <v>124010554</v>
      </c>
      <c r="V58" s="2" t="s">
        <v>58</v>
      </c>
      <c r="Y58" s="2" t="s">
        <v>28</v>
      </c>
      <c r="Z58" s="2">
        <v>2024</v>
      </c>
      <c r="AA58" s="1">
        <f t="shared" si="43"/>
        <v>513037</v>
      </c>
      <c r="AB58" s="11">
        <f t="shared" si="44"/>
        <v>25166571</v>
      </c>
      <c r="AC58" s="1">
        <f t="shared" si="45"/>
        <v>1994014</v>
      </c>
      <c r="AD58" s="11">
        <f t="shared" si="46"/>
        <v>96176987</v>
      </c>
      <c r="AE58" s="8">
        <f t="shared" si="47"/>
        <v>10387</v>
      </c>
      <c r="AF58" s="11">
        <f t="shared" si="48"/>
        <v>489611</v>
      </c>
      <c r="AG58" s="8">
        <f t="shared" si="49"/>
        <v>31147</v>
      </c>
      <c r="AH58" s="11">
        <f t="shared" si="50"/>
        <v>1491356</v>
      </c>
      <c r="AI58" s="8">
        <f t="shared" si="51"/>
        <v>0</v>
      </c>
      <c r="AJ58" s="11">
        <f t="shared" si="52"/>
        <v>0</v>
      </c>
      <c r="AK58" s="11">
        <f t="shared" si="53"/>
        <v>14128</v>
      </c>
      <c r="AL58" s="11">
        <f t="shared" si="54"/>
        <v>686029</v>
      </c>
      <c r="AM58" s="8">
        <f t="shared" si="60"/>
        <v>2562713</v>
      </c>
      <c r="AN58" s="11">
        <f t="shared" si="55"/>
        <v>124010554</v>
      </c>
      <c r="AO58" s="2" t="str">
        <f t="shared" si="56"/>
        <v>SUPERVIA</v>
      </c>
      <c r="AP58" s="37">
        <f t="shared" si="57"/>
        <v>0</v>
      </c>
      <c r="AQ58" s="37">
        <f t="shared" si="58"/>
        <v>0</v>
      </c>
    </row>
    <row r="59" spans="2:43" x14ac:dyDescent="0.25">
      <c r="B59" s="75" t="s">
        <v>29</v>
      </c>
      <c r="C59" s="2">
        <v>2024</v>
      </c>
      <c r="D59" s="1">
        <v>282040</v>
      </c>
      <c r="E59" s="11">
        <v>13669130</v>
      </c>
      <c r="F59" s="1">
        <v>260225</v>
      </c>
      <c r="G59" s="11">
        <v>12775075</v>
      </c>
      <c r="H59" s="1">
        <v>11844</v>
      </c>
      <c r="I59" s="11">
        <v>582532</v>
      </c>
      <c r="J59" s="1">
        <v>2179046</v>
      </c>
      <c r="K59" s="11">
        <v>104401548</v>
      </c>
      <c r="L59" s="8">
        <v>11457</v>
      </c>
      <c r="M59" s="11">
        <v>537941</v>
      </c>
      <c r="N59" s="8">
        <v>33958</v>
      </c>
      <c r="O59" s="11">
        <v>1612739</v>
      </c>
      <c r="P59" s="8">
        <v>0</v>
      </c>
      <c r="Q59" s="11">
        <v>0</v>
      </c>
      <c r="R59" s="8">
        <v>15509</v>
      </c>
      <c r="S59" s="11">
        <v>753237</v>
      </c>
      <c r="T59" s="53">
        <f>N59+L59+J59+H59+D59+P59+F59+R59</f>
        <v>2794079</v>
      </c>
      <c r="U59" s="54">
        <f t="shared" si="42"/>
        <v>134332202</v>
      </c>
      <c r="V59" s="2" t="s">
        <v>58</v>
      </c>
      <c r="Y59" s="2" t="s">
        <v>29</v>
      </c>
      <c r="Z59" s="2">
        <v>2024</v>
      </c>
      <c r="AA59" s="1">
        <f t="shared" si="43"/>
        <v>554109</v>
      </c>
      <c r="AB59" s="11">
        <f t="shared" si="44"/>
        <v>27026737</v>
      </c>
      <c r="AC59" s="1">
        <f t="shared" si="45"/>
        <v>2179046</v>
      </c>
      <c r="AD59" s="11">
        <f t="shared" si="46"/>
        <v>104401548</v>
      </c>
      <c r="AE59" s="8">
        <f t="shared" si="47"/>
        <v>11457</v>
      </c>
      <c r="AF59" s="11">
        <f t="shared" si="48"/>
        <v>537941</v>
      </c>
      <c r="AG59" s="8">
        <f t="shared" si="49"/>
        <v>33958</v>
      </c>
      <c r="AH59" s="11">
        <f t="shared" si="50"/>
        <v>1612739</v>
      </c>
      <c r="AI59" s="8">
        <f t="shared" si="51"/>
        <v>0</v>
      </c>
      <c r="AJ59" s="11">
        <f t="shared" si="52"/>
        <v>0</v>
      </c>
      <c r="AK59" s="11">
        <f t="shared" si="53"/>
        <v>15509</v>
      </c>
      <c r="AL59" s="11">
        <f t="shared" si="54"/>
        <v>753237</v>
      </c>
      <c r="AM59" s="8">
        <f t="shared" si="60"/>
        <v>2794079</v>
      </c>
      <c r="AN59" s="11">
        <f t="shared" si="55"/>
        <v>134332202</v>
      </c>
      <c r="AO59" s="2" t="str">
        <f t="shared" si="56"/>
        <v>SUPERVIA</v>
      </c>
      <c r="AP59" s="37">
        <f t="shared" si="57"/>
        <v>0</v>
      </c>
      <c r="AQ59" s="37">
        <f t="shared" si="58"/>
        <v>0</v>
      </c>
    </row>
    <row r="60" spans="2:43" x14ac:dyDescent="0.25">
      <c r="B60" s="2" t="s">
        <v>30</v>
      </c>
      <c r="C60" s="2">
        <v>2024</v>
      </c>
      <c r="D60" s="1">
        <v>269232</v>
      </c>
      <c r="E60" s="11">
        <v>13189226</v>
      </c>
      <c r="F60" s="1">
        <v>246405</v>
      </c>
      <c r="G60" s="11">
        <v>12227540</v>
      </c>
      <c r="H60" s="1">
        <v>14916</v>
      </c>
      <c r="I60" s="11">
        <v>781063</v>
      </c>
      <c r="J60" s="1">
        <v>2061316</v>
      </c>
      <c r="K60" s="11">
        <v>99842523</v>
      </c>
      <c r="L60" s="8">
        <v>10833</v>
      </c>
      <c r="M60" s="11">
        <v>513959</v>
      </c>
      <c r="N60" s="8">
        <v>32852</v>
      </c>
      <c r="O60" s="11">
        <v>1575546</v>
      </c>
      <c r="P60" s="8">
        <v>0</v>
      </c>
      <c r="Q60" s="11">
        <v>0</v>
      </c>
      <c r="R60" s="8">
        <v>16088</v>
      </c>
      <c r="S60" s="11">
        <v>788304</v>
      </c>
      <c r="T60" s="53">
        <f t="shared" si="59"/>
        <v>2651642</v>
      </c>
      <c r="U60" s="54">
        <f t="shared" si="42"/>
        <v>128918161</v>
      </c>
      <c r="V60" s="2" t="s">
        <v>58</v>
      </c>
      <c r="Y60" s="2" t="s">
        <v>30</v>
      </c>
      <c r="Z60" s="2">
        <v>2024</v>
      </c>
      <c r="AA60" s="1">
        <f t="shared" si="43"/>
        <v>530553</v>
      </c>
      <c r="AB60" s="11">
        <f t="shared" si="44"/>
        <v>26197829</v>
      </c>
      <c r="AC60" s="1">
        <f t="shared" si="45"/>
        <v>2061316</v>
      </c>
      <c r="AD60" s="11">
        <f t="shared" si="46"/>
        <v>99842523</v>
      </c>
      <c r="AE60" s="8">
        <f t="shared" si="47"/>
        <v>10833</v>
      </c>
      <c r="AF60" s="11">
        <f t="shared" si="48"/>
        <v>513959</v>
      </c>
      <c r="AG60" s="8">
        <f t="shared" si="49"/>
        <v>32852</v>
      </c>
      <c r="AH60" s="11">
        <f t="shared" si="50"/>
        <v>1575546</v>
      </c>
      <c r="AI60" s="8">
        <f t="shared" si="51"/>
        <v>0</v>
      </c>
      <c r="AJ60" s="11">
        <f t="shared" si="52"/>
        <v>0</v>
      </c>
      <c r="AK60" s="11">
        <f t="shared" si="53"/>
        <v>16088</v>
      </c>
      <c r="AL60" s="11">
        <f t="shared" si="54"/>
        <v>788304</v>
      </c>
      <c r="AM60" s="79">
        <f t="shared" si="60"/>
        <v>2651642</v>
      </c>
      <c r="AN60" s="80">
        <f t="shared" si="55"/>
        <v>128918161</v>
      </c>
      <c r="AO60" s="2" t="str">
        <f t="shared" si="56"/>
        <v>SUPERVIA</v>
      </c>
      <c r="AP60" s="37">
        <f t="shared" si="57"/>
        <v>0</v>
      </c>
      <c r="AQ60" s="37">
        <f t="shared" si="58"/>
        <v>0</v>
      </c>
    </row>
    <row r="61" spans="2:43" x14ac:dyDescent="0.25">
      <c r="B61" s="2" t="s">
        <v>31</v>
      </c>
      <c r="C61" s="2">
        <v>2024</v>
      </c>
      <c r="D61" s="1">
        <v>248006</v>
      </c>
      <c r="E61" s="11">
        <v>12096343</v>
      </c>
      <c r="F61" s="1">
        <v>229147</v>
      </c>
      <c r="G61" s="11">
        <v>11344986</v>
      </c>
      <c r="H61" s="1">
        <v>17019</v>
      </c>
      <c r="I61" s="11">
        <v>903772</v>
      </c>
      <c r="J61" s="1">
        <v>1868741</v>
      </c>
      <c r="K61" s="11">
        <v>90388348</v>
      </c>
      <c r="L61" s="8">
        <v>9232</v>
      </c>
      <c r="M61" s="11">
        <v>441226</v>
      </c>
      <c r="N61" s="8">
        <v>31191</v>
      </c>
      <c r="O61" s="11">
        <v>1501273</v>
      </c>
      <c r="P61" s="8">
        <v>0</v>
      </c>
      <c r="Q61" s="11">
        <v>0</v>
      </c>
      <c r="R61" s="8">
        <v>16186</v>
      </c>
      <c r="S61" s="11">
        <v>791198</v>
      </c>
      <c r="T61" s="53">
        <f t="shared" si="59"/>
        <v>2419522</v>
      </c>
      <c r="U61" s="54">
        <f t="shared" si="42"/>
        <v>117467146</v>
      </c>
      <c r="V61" s="2" t="s">
        <v>58</v>
      </c>
      <c r="W61" s="13"/>
      <c r="Y61" s="2" t="s">
        <v>31</v>
      </c>
      <c r="Z61" s="2">
        <v>2024</v>
      </c>
      <c r="AA61" s="1">
        <f t="shared" si="43"/>
        <v>494172</v>
      </c>
      <c r="AB61" s="11">
        <f t="shared" si="44"/>
        <v>24345101</v>
      </c>
      <c r="AC61" s="1">
        <f t="shared" si="45"/>
        <v>1868741</v>
      </c>
      <c r="AD61" s="11">
        <f t="shared" si="46"/>
        <v>90388348</v>
      </c>
      <c r="AE61" s="8">
        <f t="shared" si="47"/>
        <v>9232</v>
      </c>
      <c r="AF61" s="11">
        <f t="shared" si="48"/>
        <v>441226</v>
      </c>
      <c r="AG61" s="8">
        <f t="shared" si="49"/>
        <v>31191</v>
      </c>
      <c r="AH61" s="11">
        <f t="shared" si="50"/>
        <v>1501273</v>
      </c>
      <c r="AI61" s="8">
        <f t="shared" si="51"/>
        <v>0</v>
      </c>
      <c r="AJ61" s="11">
        <f t="shared" si="52"/>
        <v>0</v>
      </c>
      <c r="AK61" s="11">
        <f t="shared" si="53"/>
        <v>16186</v>
      </c>
      <c r="AL61" s="11">
        <f t="shared" si="54"/>
        <v>791198</v>
      </c>
      <c r="AM61" s="8">
        <f t="shared" si="60"/>
        <v>2419522</v>
      </c>
      <c r="AN61" s="11">
        <f t="shared" si="55"/>
        <v>117467146</v>
      </c>
      <c r="AO61" s="2" t="str">
        <f t="shared" si="56"/>
        <v>SUPERVIA</v>
      </c>
      <c r="AP61" s="37">
        <f t="shared" si="57"/>
        <v>0</v>
      </c>
      <c r="AQ61" s="37">
        <f t="shared" si="58"/>
        <v>0</v>
      </c>
    </row>
    <row r="62" spans="2:43" x14ac:dyDescent="0.25"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61">SUM(D50:D62)</f>
        <v>3103853</v>
      </c>
      <c r="E63" s="12">
        <f t="shared" si="61"/>
        <v>151193101</v>
      </c>
      <c r="F63" s="4">
        <f t="shared" si="61"/>
        <v>2797237</v>
      </c>
      <c r="G63" s="12">
        <f t="shared" si="61"/>
        <v>138041677</v>
      </c>
      <c r="H63" s="4">
        <f t="shared" si="61"/>
        <v>144417</v>
      </c>
      <c r="I63" s="12">
        <f t="shared" si="61"/>
        <v>7219897</v>
      </c>
      <c r="J63" s="4">
        <f t="shared" si="61"/>
        <v>23277705</v>
      </c>
      <c r="K63" s="12">
        <f t="shared" si="61"/>
        <v>1122493061</v>
      </c>
      <c r="L63" s="4">
        <f t="shared" si="61"/>
        <v>126170</v>
      </c>
      <c r="M63" s="12">
        <f>SUM(M50:M62)</f>
        <v>5969949</v>
      </c>
      <c r="N63" s="4">
        <f t="shared" si="61"/>
        <v>370812</v>
      </c>
      <c r="O63" s="12">
        <f t="shared" si="61"/>
        <v>17739654</v>
      </c>
      <c r="P63" s="4">
        <f>SUM(P50:P62)</f>
        <v>22</v>
      </c>
      <c r="Q63" s="12">
        <f>SUM(Q50:Q62)</f>
        <v>1091</v>
      </c>
      <c r="R63" s="4">
        <f>SUM(R50:R62)</f>
        <v>144141</v>
      </c>
      <c r="S63" s="12">
        <f>SUM(S50:S62)</f>
        <v>7019584</v>
      </c>
      <c r="T63" s="4">
        <f t="shared" ref="T63:U63" si="62">SUM(T50:T62)</f>
        <v>29964357</v>
      </c>
      <c r="U63" s="12">
        <f t="shared" si="62"/>
        <v>1449678014</v>
      </c>
      <c r="V63" s="2" t="s">
        <v>118</v>
      </c>
      <c r="Y63" s="3" t="s">
        <v>12</v>
      </c>
      <c r="Z63" s="3"/>
      <c r="AA63" s="4">
        <f t="shared" ref="AA63:AN63" si="63">SUM(AA50:AA62)</f>
        <v>6045507</v>
      </c>
      <c r="AB63" s="12">
        <f t="shared" si="63"/>
        <v>296454675</v>
      </c>
      <c r="AC63" s="4">
        <f t="shared" si="63"/>
        <v>23277705</v>
      </c>
      <c r="AD63" s="12">
        <f t="shared" si="63"/>
        <v>1122493061</v>
      </c>
      <c r="AE63" s="4">
        <f t="shared" si="63"/>
        <v>126170</v>
      </c>
      <c r="AF63" s="12">
        <f t="shared" si="63"/>
        <v>5969949</v>
      </c>
      <c r="AG63" s="4">
        <f t="shared" si="63"/>
        <v>370812</v>
      </c>
      <c r="AH63" s="12">
        <f t="shared" si="63"/>
        <v>17739654</v>
      </c>
      <c r="AI63" s="4">
        <f t="shared" si="63"/>
        <v>22</v>
      </c>
      <c r="AJ63" s="12">
        <f t="shared" si="63"/>
        <v>1091</v>
      </c>
      <c r="AK63" s="4">
        <f t="shared" si="63"/>
        <v>144141</v>
      </c>
      <c r="AL63" s="12">
        <f t="shared" si="63"/>
        <v>7019584</v>
      </c>
      <c r="AM63" s="4">
        <f t="shared" si="63"/>
        <v>29964357</v>
      </c>
      <c r="AN63" s="12">
        <f t="shared" si="63"/>
        <v>1449678014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10811</v>
      </c>
      <c r="M64" s="60">
        <f>AVERAGE(M50:M51)</f>
        <v>505337.5</v>
      </c>
      <c r="T64" s="15">
        <f>AVERAGE(T50:T51)</f>
        <v>2420259.5</v>
      </c>
      <c r="U64" s="28">
        <f>AVERAGE(U50:U51)</f>
        <v>115226877.5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8.3910601950488786E-2</v>
      </c>
      <c r="M65" s="36">
        <f>+M64/$M$371</f>
        <v>2.4801880179892186E-2</v>
      </c>
      <c r="N65" s="18"/>
      <c r="O65" s="19"/>
      <c r="P65" s="19"/>
      <c r="Q65" s="19"/>
      <c r="R65" s="19"/>
      <c r="S65" s="19"/>
      <c r="T65" s="36">
        <f>+L64/T64</f>
        <v>4.4668763824705577E-3</v>
      </c>
      <c r="U65" s="62">
        <f>+M64/U64</f>
        <v>4.3855870345874811E-3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87</v>
      </c>
      <c r="S68" s="93"/>
      <c r="T68" s="89" t="s">
        <v>12</v>
      </c>
      <c r="U68" s="93"/>
      <c r="AA68" s="89" t="s">
        <v>69</v>
      </c>
      <c r="AB68" s="90"/>
      <c r="AC68" s="89" t="s">
        <v>17</v>
      </c>
      <c r="AD68" s="93"/>
      <c r="AE68" s="89" t="s">
        <v>18</v>
      </c>
      <c r="AF68" s="93"/>
      <c r="AG68" s="89" t="s">
        <v>13</v>
      </c>
      <c r="AH68" s="93"/>
      <c r="AI68" s="89" t="s">
        <v>34</v>
      </c>
      <c r="AJ68" s="93"/>
      <c r="AK68" s="89" t="s">
        <v>87</v>
      </c>
      <c r="AL68" s="93"/>
      <c r="AM68" s="89" t="s">
        <v>12</v>
      </c>
      <c r="AN68" s="93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2024</v>
      </c>
      <c r="D71" s="1">
        <v>457727</v>
      </c>
      <c r="E71" s="11">
        <v>34615389</v>
      </c>
      <c r="F71" s="1">
        <v>287612</v>
      </c>
      <c r="G71" s="11">
        <v>24709790</v>
      </c>
      <c r="H71" s="1">
        <v>98578</v>
      </c>
      <c r="I71" s="11">
        <v>18030801</v>
      </c>
      <c r="J71" s="1">
        <v>2765109</v>
      </c>
      <c r="K71" s="11">
        <v>417561543</v>
      </c>
      <c r="L71" s="8">
        <v>50951</v>
      </c>
      <c r="M71" s="11">
        <v>9948465</v>
      </c>
      <c r="N71" s="8">
        <v>118068</v>
      </c>
      <c r="O71" s="11">
        <v>24915159</v>
      </c>
      <c r="P71" s="8">
        <v>428</v>
      </c>
      <c r="Q71" s="11">
        <v>172888</v>
      </c>
      <c r="R71" s="8">
        <v>9896</v>
      </c>
      <c r="S71" s="11">
        <v>602965</v>
      </c>
      <c r="T71" s="53">
        <f>N71+L71+J71+H71+D71+P71+F71+R71</f>
        <v>3788369</v>
      </c>
      <c r="U71" s="54">
        <f t="shared" ref="U71:U82" si="64">O71+M71+K71+I71+E71+Q71+G71+S71</f>
        <v>530557000</v>
      </c>
      <c r="V71" s="2" t="s">
        <v>59</v>
      </c>
      <c r="Y71" s="2" t="s">
        <v>5</v>
      </c>
      <c r="Z71" s="2">
        <v>2024</v>
      </c>
      <c r="AA71" s="1">
        <f t="shared" ref="AA71:AA82" si="65">D71+H71+F71</f>
        <v>843917</v>
      </c>
      <c r="AB71" s="11">
        <f t="shared" ref="AB71:AB82" si="66">E71+I71+G71</f>
        <v>77355980</v>
      </c>
      <c r="AC71" s="1">
        <f t="shared" ref="AC71:AC82" si="67">+J71</f>
        <v>2765109</v>
      </c>
      <c r="AD71" s="11">
        <f t="shared" ref="AD71:AD82" si="68">+K71</f>
        <v>417561543</v>
      </c>
      <c r="AE71" s="8">
        <f t="shared" ref="AE71:AE82" si="69">+L71</f>
        <v>50951</v>
      </c>
      <c r="AF71" s="11">
        <f t="shared" ref="AF71:AF82" si="70">+M71</f>
        <v>9948465</v>
      </c>
      <c r="AG71" s="8">
        <f t="shared" ref="AG71:AG82" si="71">+N71</f>
        <v>118068</v>
      </c>
      <c r="AH71" s="11">
        <f t="shared" ref="AH71:AH82" si="72">+O71</f>
        <v>24915159</v>
      </c>
      <c r="AI71" s="8">
        <f t="shared" ref="AI71:AI82" si="73">+P71</f>
        <v>428</v>
      </c>
      <c r="AJ71" s="11">
        <f t="shared" ref="AJ71:AJ82" si="74">+Q71</f>
        <v>172888</v>
      </c>
      <c r="AK71" s="11">
        <f t="shared" ref="AK71:AK82" si="75">+R71</f>
        <v>9896</v>
      </c>
      <c r="AL71" s="11">
        <f t="shared" ref="AL71:AL82" si="76">+S71</f>
        <v>602965</v>
      </c>
      <c r="AM71" s="8">
        <f>AI71+AG71+AE71+AC71+AA71+AK71</f>
        <v>3788369</v>
      </c>
      <c r="AN71" s="11">
        <f t="shared" ref="AN71:AN82" si="77">AJ71+AH71+AF71+AD71+AB71+AL71</f>
        <v>530557000</v>
      </c>
      <c r="AO71" s="2" t="str">
        <f t="shared" ref="AO71:AO82" si="78">+V71</f>
        <v>CONMEX</v>
      </c>
      <c r="AP71" s="37">
        <f t="shared" ref="AP71:AP82" si="79">+AM71-T71</f>
        <v>0</v>
      </c>
      <c r="AQ71" s="37">
        <f t="shared" ref="AQ71:AQ82" si="80">+AN71-U71</f>
        <v>0</v>
      </c>
    </row>
    <row r="72" spans="1:43" x14ac:dyDescent="0.25">
      <c r="B72" s="2" t="s">
        <v>6</v>
      </c>
      <c r="C72" s="2">
        <v>2024</v>
      </c>
      <c r="D72" s="1">
        <v>445476</v>
      </c>
      <c r="E72" s="11">
        <v>35493555.93</v>
      </c>
      <c r="F72" s="1">
        <v>298619</v>
      </c>
      <c r="G72" s="11">
        <v>25843520.32</v>
      </c>
      <c r="H72" s="1">
        <v>96707</v>
      </c>
      <c r="I72" s="11">
        <v>17794571.760000002</v>
      </c>
      <c r="J72" s="1">
        <v>2741798</v>
      </c>
      <c r="K72" s="11">
        <v>428797273</v>
      </c>
      <c r="L72" s="8">
        <v>49871</v>
      </c>
      <c r="M72" s="11">
        <v>10139364</v>
      </c>
      <c r="N72" s="8">
        <v>122198</v>
      </c>
      <c r="O72" s="11">
        <v>26764008</v>
      </c>
      <c r="P72" s="8">
        <v>353</v>
      </c>
      <c r="Q72" s="11">
        <v>148153</v>
      </c>
      <c r="R72" s="8">
        <v>10148</v>
      </c>
      <c r="S72" s="11">
        <v>672631</v>
      </c>
      <c r="T72" s="53">
        <f t="shared" ref="T72:T82" si="81">N72+L72+J72+H72+D72+P72+F72+R72</f>
        <v>3765170</v>
      </c>
      <c r="U72" s="54">
        <f t="shared" si="64"/>
        <v>545653077.00999999</v>
      </c>
      <c r="V72" s="2" t="s">
        <v>59</v>
      </c>
      <c r="Y72" s="2" t="s">
        <v>6</v>
      </c>
      <c r="Z72" s="2">
        <v>2024</v>
      </c>
      <c r="AA72" s="1">
        <f t="shared" si="65"/>
        <v>840802</v>
      </c>
      <c r="AB72" s="11">
        <f t="shared" si="66"/>
        <v>79131648.00999999</v>
      </c>
      <c r="AC72" s="1">
        <f t="shared" si="67"/>
        <v>2741798</v>
      </c>
      <c r="AD72" s="11">
        <f t="shared" si="68"/>
        <v>428797273</v>
      </c>
      <c r="AE72" s="8">
        <f t="shared" si="69"/>
        <v>49871</v>
      </c>
      <c r="AF72" s="11">
        <f t="shared" si="70"/>
        <v>10139364</v>
      </c>
      <c r="AG72" s="8">
        <f t="shared" si="71"/>
        <v>122198</v>
      </c>
      <c r="AH72" s="11">
        <f t="shared" si="72"/>
        <v>26764008</v>
      </c>
      <c r="AI72" s="8">
        <f t="shared" si="73"/>
        <v>353</v>
      </c>
      <c r="AJ72" s="11">
        <f t="shared" si="74"/>
        <v>148153</v>
      </c>
      <c r="AK72" s="11">
        <f t="shared" si="75"/>
        <v>10148</v>
      </c>
      <c r="AL72" s="11">
        <f t="shared" si="76"/>
        <v>672631</v>
      </c>
      <c r="AM72" s="8">
        <f t="shared" ref="AM72:AM82" si="82">AI72+AG72+AE72+AC72+AA72+AK72</f>
        <v>3765170</v>
      </c>
      <c r="AN72" s="11">
        <f t="shared" si="77"/>
        <v>545653077.00999999</v>
      </c>
      <c r="AO72" s="2" t="str">
        <f t="shared" si="78"/>
        <v>CONMEX</v>
      </c>
      <c r="AP72" s="37">
        <f t="shared" si="79"/>
        <v>0</v>
      </c>
      <c r="AQ72" s="37">
        <f t="shared" si="80"/>
        <v>0</v>
      </c>
    </row>
    <row r="73" spans="1:43" x14ac:dyDescent="0.25">
      <c r="B73" s="2" t="s">
        <v>7</v>
      </c>
      <c r="C73" s="2">
        <v>2024</v>
      </c>
      <c r="D73" s="1">
        <v>462744</v>
      </c>
      <c r="E73" s="11">
        <v>37039078</v>
      </c>
      <c r="F73" s="1">
        <v>315102</v>
      </c>
      <c r="G73" s="11">
        <v>27174907</v>
      </c>
      <c r="H73" s="1">
        <v>105206</v>
      </c>
      <c r="I73" s="11">
        <v>20082608</v>
      </c>
      <c r="J73" s="1">
        <v>2769678</v>
      </c>
      <c r="K73" s="11">
        <v>435926782</v>
      </c>
      <c r="L73" s="8">
        <v>50203</v>
      </c>
      <c r="M73" s="11">
        <v>10143545</v>
      </c>
      <c r="N73" s="8">
        <v>115778</v>
      </c>
      <c r="O73" s="11">
        <v>25959227</v>
      </c>
      <c r="P73" s="8">
        <v>377</v>
      </c>
      <c r="Q73" s="11">
        <v>143532</v>
      </c>
      <c r="R73" s="8">
        <v>11155</v>
      </c>
      <c r="S73" s="11">
        <v>773523</v>
      </c>
      <c r="T73" s="53">
        <f t="shared" si="81"/>
        <v>3830243</v>
      </c>
      <c r="U73" s="54">
        <f t="shared" si="64"/>
        <v>557243202</v>
      </c>
      <c r="V73" s="2" t="s">
        <v>59</v>
      </c>
      <c r="X73" s="13"/>
      <c r="Y73" s="2" t="s">
        <v>7</v>
      </c>
      <c r="Z73" s="2">
        <v>2024</v>
      </c>
      <c r="AA73" s="1">
        <f t="shared" si="65"/>
        <v>883052</v>
      </c>
      <c r="AB73" s="11">
        <f t="shared" si="66"/>
        <v>84296593</v>
      </c>
      <c r="AC73" s="1">
        <f t="shared" si="67"/>
        <v>2769678</v>
      </c>
      <c r="AD73" s="11">
        <f t="shared" si="68"/>
        <v>435926782</v>
      </c>
      <c r="AE73" s="8">
        <f t="shared" si="69"/>
        <v>50203</v>
      </c>
      <c r="AF73" s="11">
        <f t="shared" si="70"/>
        <v>10143545</v>
      </c>
      <c r="AG73" s="8">
        <f t="shared" si="71"/>
        <v>115778</v>
      </c>
      <c r="AH73" s="11">
        <f t="shared" si="72"/>
        <v>25959227</v>
      </c>
      <c r="AI73" s="8">
        <f t="shared" si="73"/>
        <v>377</v>
      </c>
      <c r="AJ73" s="11">
        <f t="shared" si="74"/>
        <v>143532</v>
      </c>
      <c r="AK73" s="11">
        <f t="shared" si="75"/>
        <v>11155</v>
      </c>
      <c r="AL73" s="11">
        <f t="shared" si="76"/>
        <v>773523</v>
      </c>
      <c r="AM73" s="8">
        <f t="shared" si="82"/>
        <v>3830243</v>
      </c>
      <c r="AN73" s="11">
        <f t="shared" si="77"/>
        <v>557243202</v>
      </c>
      <c r="AO73" s="2" t="str">
        <f t="shared" si="78"/>
        <v>CONMEX</v>
      </c>
      <c r="AP73" s="37">
        <f t="shared" si="79"/>
        <v>0</v>
      </c>
      <c r="AQ73" s="37">
        <f t="shared" si="80"/>
        <v>0</v>
      </c>
    </row>
    <row r="74" spans="1:43" x14ac:dyDescent="0.25">
      <c r="B74" s="2" t="s">
        <v>8</v>
      </c>
      <c r="C74" s="2">
        <v>2024</v>
      </c>
      <c r="D74" s="1">
        <v>465551</v>
      </c>
      <c r="E74" s="11">
        <v>37637189</v>
      </c>
      <c r="F74" s="1">
        <v>307657</v>
      </c>
      <c r="G74" s="11">
        <v>27617938</v>
      </c>
      <c r="H74" s="1">
        <v>104164</v>
      </c>
      <c r="I74" s="11">
        <v>19285055</v>
      </c>
      <c r="J74" s="1">
        <v>2797973</v>
      </c>
      <c r="K74" s="11">
        <v>445448039</v>
      </c>
      <c r="L74" s="8">
        <v>53865</v>
      </c>
      <c r="M74" s="11">
        <v>10968532</v>
      </c>
      <c r="N74" s="8">
        <v>117611</v>
      </c>
      <c r="O74" s="11">
        <v>25708198</v>
      </c>
      <c r="P74" s="8">
        <v>342</v>
      </c>
      <c r="Q74" s="11">
        <v>119766</v>
      </c>
      <c r="R74" s="8">
        <v>12772</v>
      </c>
      <c r="S74" s="11">
        <v>940323</v>
      </c>
      <c r="T74" s="53">
        <f t="shared" si="81"/>
        <v>3859935</v>
      </c>
      <c r="U74" s="54">
        <f t="shared" si="64"/>
        <v>567725040</v>
      </c>
      <c r="V74" s="2" t="s">
        <v>59</v>
      </c>
      <c r="X74" s="13"/>
      <c r="Y74" s="2" t="s">
        <v>8</v>
      </c>
      <c r="Z74" s="2">
        <v>2024</v>
      </c>
      <c r="AA74" s="1">
        <f t="shared" si="65"/>
        <v>877372</v>
      </c>
      <c r="AB74" s="11">
        <f t="shared" si="66"/>
        <v>84540182</v>
      </c>
      <c r="AC74" s="1">
        <f t="shared" si="67"/>
        <v>2797973</v>
      </c>
      <c r="AD74" s="11">
        <f t="shared" si="68"/>
        <v>445448039</v>
      </c>
      <c r="AE74" s="8">
        <f t="shared" si="69"/>
        <v>53865</v>
      </c>
      <c r="AF74" s="11">
        <f t="shared" si="70"/>
        <v>10968532</v>
      </c>
      <c r="AG74" s="8">
        <f t="shared" si="71"/>
        <v>117611</v>
      </c>
      <c r="AH74" s="11">
        <f t="shared" si="72"/>
        <v>25708198</v>
      </c>
      <c r="AI74" s="8">
        <f t="shared" si="73"/>
        <v>342</v>
      </c>
      <c r="AJ74" s="11">
        <f t="shared" si="74"/>
        <v>119766</v>
      </c>
      <c r="AK74" s="11">
        <f t="shared" si="75"/>
        <v>12772</v>
      </c>
      <c r="AL74" s="11">
        <f t="shared" si="76"/>
        <v>940323</v>
      </c>
      <c r="AM74" s="8">
        <f t="shared" si="82"/>
        <v>3859935</v>
      </c>
      <c r="AN74" s="11">
        <f t="shared" si="77"/>
        <v>567725040</v>
      </c>
      <c r="AO74" s="2" t="str">
        <f t="shared" si="78"/>
        <v>CONMEX</v>
      </c>
      <c r="AP74" s="37">
        <f t="shared" si="79"/>
        <v>0</v>
      </c>
      <c r="AQ74" s="37">
        <f t="shared" si="80"/>
        <v>0</v>
      </c>
    </row>
    <row r="75" spans="1:43" x14ac:dyDescent="0.25">
      <c r="B75" s="2" t="s">
        <v>9</v>
      </c>
      <c r="C75" s="2">
        <v>2024</v>
      </c>
      <c r="D75" s="1">
        <v>471929</v>
      </c>
      <c r="E75" s="11">
        <v>39099755</v>
      </c>
      <c r="F75" s="1">
        <v>311764</v>
      </c>
      <c r="G75" s="11">
        <v>28672978</v>
      </c>
      <c r="H75" s="1">
        <v>108056</v>
      </c>
      <c r="I75" s="11">
        <v>20224904</v>
      </c>
      <c r="J75" s="1">
        <v>2858301</v>
      </c>
      <c r="K75" s="11">
        <v>460564157</v>
      </c>
      <c r="L75" s="8">
        <v>54445</v>
      </c>
      <c r="M75" s="11">
        <v>11057944</v>
      </c>
      <c r="N75" s="8">
        <v>119308</v>
      </c>
      <c r="O75" s="11">
        <v>26237785</v>
      </c>
      <c r="P75" s="8">
        <v>390</v>
      </c>
      <c r="Q75" s="11">
        <v>155090</v>
      </c>
      <c r="R75" s="8">
        <v>13118</v>
      </c>
      <c r="S75" s="11">
        <v>1005876</v>
      </c>
      <c r="T75" s="53">
        <f t="shared" si="81"/>
        <v>3937311</v>
      </c>
      <c r="U75" s="54">
        <f t="shared" si="64"/>
        <v>587018489</v>
      </c>
      <c r="V75" s="2" t="s">
        <v>59</v>
      </c>
      <c r="X75" s="13"/>
      <c r="Y75" s="2" t="s">
        <v>9</v>
      </c>
      <c r="Z75" s="2">
        <v>2024</v>
      </c>
      <c r="AA75" s="1">
        <f t="shared" si="65"/>
        <v>891749</v>
      </c>
      <c r="AB75" s="11">
        <f t="shared" si="66"/>
        <v>87997637</v>
      </c>
      <c r="AC75" s="1">
        <f t="shared" si="67"/>
        <v>2858301</v>
      </c>
      <c r="AD75" s="11">
        <f t="shared" si="68"/>
        <v>460564157</v>
      </c>
      <c r="AE75" s="8">
        <f t="shared" si="69"/>
        <v>54445</v>
      </c>
      <c r="AF75" s="11">
        <f t="shared" si="70"/>
        <v>11057944</v>
      </c>
      <c r="AG75" s="8">
        <f t="shared" si="71"/>
        <v>119308</v>
      </c>
      <c r="AH75" s="11">
        <f t="shared" si="72"/>
        <v>26237785</v>
      </c>
      <c r="AI75" s="8">
        <f t="shared" si="73"/>
        <v>390</v>
      </c>
      <c r="AJ75" s="11">
        <f t="shared" si="74"/>
        <v>155090</v>
      </c>
      <c r="AK75" s="11">
        <f t="shared" si="75"/>
        <v>13118</v>
      </c>
      <c r="AL75" s="11">
        <f t="shared" si="76"/>
        <v>1005876</v>
      </c>
      <c r="AM75" s="8">
        <f t="shared" si="82"/>
        <v>3937311</v>
      </c>
      <c r="AN75" s="11">
        <f t="shared" si="77"/>
        <v>587018489</v>
      </c>
      <c r="AO75" s="2" t="str">
        <f t="shared" si="78"/>
        <v>CONMEX</v>
      </c>
      <c r="AP75" s="37">
        <f t="shared" si="79"/>
        <v>0</v>
      </c>
      <c r="AQ75" s="37">
        <f t="shared" si="80"/>
        <v>0</v>
      </c>
    </row>
    <row r="76" spans="1:43" x14ac:dyDescent="0.25">
      <c r="B76" s="2" t="s">
        <v>10</v>
      </c>
      <c r="C76" s="2">
        <v>2024</v>
      </c>
      <c r="D76" s="1">
        <v>485343</v>
      </c>
      <c r="E76" s="11">
        <v>39959131</v>
      </c>
      <c r="F76" s="1">
        <v>326831</v>
      </c>
      <c r="G76" s="11">
        <v>30036995</v>
      </c>
      <c r="H76" s="1">
        <v>109865</v>
      </c>
      <c r="I76" s="11">
        <v>20437705</v>
      </c>
      <c r="J76" s="1">
        <v>2919441</v>
      </c>
      <c r="K76" s="11">
        <v>477207195</v>
      </c>
      <c r="L76" s="8">
        <v>60667</v>
      </c>
      <c r="M76" s="11">
        <v>12256011</v>
      </c>
      <c r="N76" s="8">
        <v>123162</v>
      </c>
      <c r="O76" s="11">
        <v>27242190</v>
      </c>
      <c r="P76" s="8">
        <v>345</v>
      </c>
      <c r="Q76" s="11">
        <v>137815</v>
      </c>
      <c r="R76" s="8">
        <v>13370</v>
      </c>
      <c r="S76" s="11">
        <v>1075847</v>
      </c>
      <c r="T76" s="53">
        <f t="shared" si="81"/>
        <v>4039024</v>
      </c>
      <c r="U76" s="54">
        <f t="shared" si="64"/>
        <v>608352889</v>
      </c>
      <c r="V76" s="2" t="s">
        <v>59</v>
      </c>
      <c r="Y76" s="2" t="s">
        <v>10</v>
      </c>
      <c r="Z76" s="2">
        <v>2024</v>
      </c>
      <c r="AA76" s="1">
        <f t="shared" si="65"/>
        <v>922039</v>
      </c>
      <c r="AB76" s="11">
        <f t="shared" si="66"/>
        <v>90433831</v>
      </c>
      <c r="AC76" s="1">
        <f t="shared" si="67"/>
        <v>2919441</v>
      </c>
      <c r="AD76" s="11">
        <f t="shared" si="68"/>
        <v>477207195</v>
      </c>
      <c r="AE76" s="8">
        <f t="shared" si="69"/>
        <v>60667</v>
      </c>
      <c r="AF76" s="11">
        <f t="shared" si="70"/>
        <v>12256011</v>
      </c>
      <c r="AG76" s="8">
        <f t="shared" si="71"/>
        <v>123162</v>
      </c>
      <c r="AH76" s="11">
        <f t="shared" si="72"/>
        <v>27242190</v>
      </c>
      <c r="AI76" s="8">
        <f t="shared" si="73"/>
        <v>345</v>
      </c>
      <c r="AJ76" s="11">
        <f t="shared" si="74"/>
        <v>137815</v>
      </c>
      <c r="AK76" s="11">
        <f t="shared" si="75"/>
        <v>13370</v>
      </c>
      <c r="AL76" s="11">
        <f t="shared" si="76"/>
        <v>1075847</v>
      </c>
      <c r="AM76" s="8">
        <f t="shared" si="82"/>
        <v>4039024</v>
      </c>
      <c r="AN76" s="11">
        <f t="shared" si="77"/>
        <v>608352889</v>
      </c>
      <c r="AO76" s="2" t="str">
        <f t="shared" si="78"/>
        <v>CONMEX</v>
      </c>
      <c r="AP76" s="37">
        <f t="shared" si="79"/>
        <v>0</v>
      </c>
      <c r="AQ76" s="37">
        <f t="shared" si="80"/>
        <v>0</v>
      </c>
    </row>
    <row r="77" spans="1:43" x14ac:dyDescent="0.25">
      <c r="B77" s="2" t="s">
        <v>11</v>
      </c>
      <c r="C77" s="2">
        <v>2024</v>
      </c>
      <c r="D77" s="1">
        <v>478546</v>
      </c>
      <c r="E77" s="11">
        <v>39813830</v>
      </c>
      <c r="F77" s="1">
        <v>313111</v>
      </c>
      <c r="G77" s="11">
        <v>29031191</v>
      </c>
      <c r="H77" s="1">
        <v>118558</v>
      </c>
      <c r="I77" s="11">
        <v>21987478</v>
      </c>
      <c r="J77" s="1">
        <v>2967376</v>
      </c>
      <c r="K77" s="11">
        <v>484581856</v>
      </c>
      <c r="L77" s="8">
        <v>64172</v>
      </c>
      <c r="M77" s="11">
        <v>12896799</v>
      </c>
      <c r="N77" s="8">
        <v>127782</v>
      </c>
      <c r="O77" s="11">
        <v>28687384</v>
      </c>
      <c r="P77" s="8">
        <v>571</v>
      </c>
      <c r="Q77" s="11">
        <v>228572</v>
      </c>
      <c r="R77" s="8">
        <v>13480</v>
      </c>
      <c r="S77" s="11">
        <v>1154531</v>
      </c>
      <c r="T77" s="53">
        <f t="shared" si="81"/>
        <v>4083596</v>
      </c>
      <c r="U77" s="54">
        <f t="shared" si="64"/>
        <v>618381641</v>
      </c>
      <c r="V77" s="2" t="s">
        <v>59</v>
      </c>
      <c r="Y77" s="2" t="s">
        <v>11</v>
      </c>
      <c r="Z77" s="2">
        <v>2024</v>
      </c>
      <c r="AA77" s="1">
        <f t="shared" si="65"/>
        <v>910215</v>
      </c>
      <c r="AB77" s="11">
        <f t="shared" si="66"/>
        <v>90832499</v>
      </c>
      <c r="AC77" s="1">
        <f t="shared" si="67"/>
        <v>2967376</v>
      </c>
      <c r="AD77" s="11">
        <f t="shared" si="68"/>
        <v>484581856</v>
      </c>
      <c r="AE77" s="8">
        <f t="shared" si="69"/>
        <v>64172</v>
      </c>
      <c r="AF77" s="11">
        <f t="shared" si="70"/>
        <v>12896799</v>
      </c>
      <c r="AG77" s="8">
        <f t="shared" si="71"/>
        <v>127782</v>
      </c>
      <c r="AH77" s="11">
        <f t="shared" si="72"/>
        <v>28687384</v>
      </c>
      <c r="AI77" s="8">
        <f t="shared" si="73"/>
        <v>571</v>
      </c>
      <c r="AJ77" s="11">
        <f t="shared" si="74"/>
        <v>228572</v>
      </c>
      <c r="AK77" s="11">
        <f t="shared" si="75"/>
        <v>13480</v>
      </c>
      <c r="AL77" s="11">
        <f t="shared" si="76"/>
        <v>1154531</v>
      </c>
      <c r="AM77" s="8">
        <f t="shared" si="82"/>
        <v>4083596</v>
      </c>
      <c r="AN77" s="11">
        <f t="shared" si="77"/>
        <v>618381641</v>
      </c>
      <c r="AO77" s="2" t="str">
        <f t="shared" si="78"/>
        <v>CONMEX</v>
      </c>
      <c r="AP77" s="37">
        <f t="shared" si="79"/>
        <v>0</v>
      </c>
      <c r="AQ77" s="37">
        <f t="shared" si="80"/>
        <v>0</v>
      </c>
    </row>
    <row r="78" spans="1:43" x14ac:dyDescent="0.25">
      <c r="B78" s="2" t="s">
        <v>4</v>
      </c>
      <c r="C78" s="2">
        <v>2024</v>
      </c>
      <c r="D78" s="1">
        <v>516727</v>
      </c>
      <c r="E78" s="11">
        <v>42657289</v>
      </c>
      <c r="F78" s="1">
        <v>338773</v>
      </c>
      <c r="G78" s="11">
        <v>30512815</v>
      </c>
      <c r="H78" s="1">
        <v>123109</v>
      </c>
      <c r="I78" s="11">
        <v>22818471</v>
      </c>
      <c r="J78" s="1">
        <v>3075634</v>
      </c>
      <c r="K78" s="11">
        <v>490003398</v>
      </c>
      <c r="L78" s="8">
        <v>69870</v>
      </c>
      <c r="M78" s="11">
        <v>13793109</v>
      </c>
      <c r="N78" s="8">
        <v>131625</v>
      </c>
      <c r="O78" s="11">
        <v>28880026</v>
      </c>
      <c r="P78" s="8">
        <v>447</v>
      </c>
      <c r="Q78" s="11">
        <v>189723</v>
      </c>
      <c r="R78" s="8">
        <v>14657</v>
      </c>
      <c r="S78" s="11">
        <v>1208488</v>
      </c>
      <c r="T78" s="53">
        <f t="shared" si="81"/>
        <v>4270842</v>
      </c>
      <c r="U78" s="54">
        <f t="shared" si="64"/>
        <v>630063319</v>
      </c>
      <c r="V78" s="2" t="s">
        <v>59</v>
      </c>
      <c r="Y78" s="2" t="s">
        <v>4</v>
      </c>
      <c r="Z78" s="2">
        <v>2024</v>
      </c>
      <c r="AA78" s="1">
        <f t="shared" si="65"/>
        <v>978609</v>
      </c>
      <c r="AB78" s="11">
        <f t="shared" si="66"/>
        <v>95988575</v>
      </c>
      <c r="AC78" s="1">
        <f t="shared" si="67"/>
        <v>3075634</v>
      </c>
      <c r="AD78" s="11">
        <f t="shared" si="68"/>
        <v>490003398</v>
      </c>
      <c r="AE78" s="8">
        <f t="shared" si="69"/>
        <v>69870</v>
      </c>
      <c r="AF78" s="11">
        <f t="shared" si="70"/>
        <v>13793109</v>
      </c>
      <c r="AG78" s="8">
        <f t="shared" si="71"/>
        <v>131625</v>
      </c>
      <c r="AH78" s="11">
        <f t="shared" si="72"/>
        <v>28880026</v>
      </c>
      <c r="AI78" s="8">
        <f t="shared" si="73"/>
        <v>447</v>
      </c>
      <c r="AJ78" s="11">
        <f t="shared" si="74"/>
        <v>189723</v>
      </c>
      <c r="AK78" s="11">
        <f t="shared" si="75"/>
        <v>14657</v>
      </c>
      <c r="AL78" s="11">
        <f t="shared" si="76"/>
        <v>1208488</v>
      </c>
      <c r="AM78" s="8">
        <f t="shared" si="82"/>
        <v>4270842</v>
      </c>
      <c r="AN78" s="11">
        <f t="shared" si="77"/>
        <v>630063319</v>
      </c>
      <c r="AO78" s="2" t="str">
        <f t="shared" si="78"/>
        <v>CONMEX</v>
      </c>
      <c r="AP78" s="37">
        <f t="shared" si="79"/>
        <v>0</v>
      </c>
      <c r="AQ78" s="37">
        <f t="shared" si="80"/>
        <v>0</v>
      </c>
    </row>
    <row r="79" spans="1:43" x14ac:dyDescent="0.25">
      <c r="B79" s="2" t="s">
        <v>28</v>
      </c>
      <c r="C79" s="2">
        <v>2024</v>
      </c>
      <c r="D79" s="1">
        <v>497480</v>
      </c>
      <c r="E79" s="11">
        <v>41134581</v>
      </c>
      <c r="F79" s="1">
        <v>309845</v>
      </c>
      <c r="G79" s="11">
        <v>28935637</v>
      </c>
      <c r="H79" s="1">
        <v>119338</v>
      </c>
      <c r="I79" s="11">
        <v>21937139</v>
      </c>
      <c r="J79" s="1">
        <v>2968894</v>
      </c>
      <c r="K79" s="11">
        <v>483187908</v>
      </c>
      <c r="L79" s="8">
        <v>62168</v>
      </c>
      <c r="M79" s="11">
        <v>12804281</v>
      </c>
      <c r="N79" s="8">
        <v>127134</v>
      </c>
      <c r="O79" s="11">
        <v>27968603</v>
      </c>
      <c r="P79" s="8">
        <v>522</v>
      </c>
      <c r="Q79" s="11">
        <v>216268</v>
      </c>
      <c r="R79" s="8">
        <v>14575</v>
      </c>
      <c r="S79" s="11">
        <v>1200003</v>
      </c>
      <c r="T79" s="53">
        <f t="shared" si="81"/>
        <v>4099956</v>
      </c>
      <c r="U79" s="54">
        <f t="shared" si="64"/>
        <v>617384420</v>
      </c>
      <c r="V79" s="2" t="s">
        <v>59</v>
      </c>
      <c r="Y79" s="2" t="s">
        <v>28</v>
      </c>
      <c r="Z79" s="2">
        <v>2024</v>
      </c>
      <c r="AA79" s="1">
        <f t="shared" si="65"/>
        <v>926663</v>
      </c>
      <c r="AB79" s="11">
        <f t="shared" si="66"/>
        <v>92007357</v>
      </c>
      <c r="AC79" s="1">
        <f t="shared" si="67"/>
        <v>2968894</v>
      </c>
      <c r="AD79" s="11">
        <f t="shared" si="68"/>
        <v>483187908</v>
      </c>
      <c r="AE79" s="8">
        <f t="shared" si="69"/>
        <v>62168</v>
      </c>
      <c r="AF79" s="11">
        <f t="shared" si="70"/>
        <v>12804281</v>
      </c>
      <c r="AG79" s="8">
        <f t="shared" si="71"/>
        <v>127134</v>
      </c>
      <c r="AH79" s="11">
        <f t="shared" si="72"/>
        <v>27968603</v>
      </c>
      <c r="AI79" s="8">
        <f t="shared" si="73"/>
        <v>522</v>
      </c>
      <c r="AJ79" s="11">
        <f t="shared" si="74"/>
        <v>216268</v>
      </c>
      <c r="AK79" s="11">
        <f t="shared" si="75"/>
        <v>14575</v>
      </c>
      <c r="AL79" s="11">
        <f t="shared" si="76"/>
        <v>1200003</v>
      </c>
      <c r="AM79" s="8">
        <f t="shared" si="82"/>
        <v>4099956</v>
      </c>
      <c r="AN79" s="11">
        <f t="shared" si="77"/>
        <v>617384420</v>
      </c>
      <c r="AO79" s="2" t="str">
        <f t="shared" si="78"/>
        <v>CONMEX</v>
      </c>
      <c r="AP79" s="37">
        <f t="shared" si="79"/>
        <v>0</v>
      </c>
      <c r="AQ79" s="37">
        <f t="shared" si="80"/>
        <v>0</v>
      </c>
    </row>
    <row r="80" spans="1:43" x14ac:dyDescent="0.25">
      <c r="B80" s="2" t="s">
        <v>29</v>
      </c>
      <c r="C80" s="2">
        <v>2024</v>
      </c>
      <c r="D80" s="1">
        <v>533301</v>
      </c>
      <c r="E80" s="11">
        <v>44162369</v>
      </c>
      <c r="F80" s="1">
        <v>335331</v>
      </c>
      <c r="G80" s="11">
        <v>30571510</v>
      </c>
      <c r="H80" s="1">
        <v>126908</v>
      </c>
      <c r="I80" s="11">
        <v>22479102</v>
      </c>
      <c r="J80" s="1">
        <v>3130591</v>
      </c>
      <c r="K80" s="11">
        <v>489083129</v>
      </c>
      <c r="L80" s="8">
        <v>63595</v>
      </c>
      <c r="M80" s="11">
        <v>13067001</v>
      </c>
      <c r="N80" s="8">
        <v>132780</v>
      </c>
      <c r="O80" s="11">
        <v>28288438</v>
      </c>
      <c r="P80" s="8">
        <v>684</v>
      </c>
      <c r="Q80" s="11">
        <v>274495</v>
      </c>
      <c r="R80" s="8">
        <v>16948</v>
      </c>
      <c r="S80" s="11">
        <v>1267733</v>
      </c>
      <c r="T80" s="53">
        <f>N80+L80+J80+H80+D80+P80+F80+R80</f>
        <v>4340138</v>
      </c>
      <c r="U80" s="54">
        <f t="shared" si="64"/>
        <v>629193777</v>
      </c>
      <c r="V80" s="2" t="s">
        <v>59</v>
      </c>
      <c r="Y80" s="2" t="s">
        <v>29</v>
      </c>
      <c r="Z80" s="2">
        <v>2024</v>
      </c>
      <c r="AA80" s="1">
        <f t="shared" si="65"/>
        <v>995540</v>
      </c>
      <c r="AB80" s="11">
        <f t="shared" si="66"/>
        <v>97212981</v>
      </c>
      <c r="AC80" s="1">
        <f t="shared" si="67"/>
        <v>3130591</v>
      </c>
      <c r="AD80" s="11">
        <f t="shared" si="68"/>
        <v>489083129</v>
      </c>
      <c r="AE80" s="8">
        <f t="shared" si="69"/>
        <v>63595</v>
      </c>
      <c r="AF80" s="11">
        <f t="shared" si="70"/>
        <v>13067001</v>
      </c>
      <c r="AG80" s="8">
        <f t="shared" si="71"/>
        <v>132780</v>
      </c>
      <c r="AH80" s="11">
        <f t="shared" si="72"/>
        <v>28288438</v>
      </c>
      <c r="AI80" s="8">
        <f t="shared" si="73"/>
        <v>684</v>
      </c>
      <c r="AJ80" s="11">
        <f t="shared" si="74"/>
        <v>274495</v>
      </c>
      <c r="AK80" s="11">
        <f t="shared" si="75"/>
        <v>16948</v>
      </c>
      <c r="AL80" s="11">
        <f t="shared" si="76"/>
        <v>1267733</v>
      </c>
      <c r="AM80" s="8">
        <f t="shared" si="82"/>
        <v>4340138</v>
      </c>
      <c r="AN80" s="11">
        <f t="shared" si="77"/>
        <v>629193777</v>
      </c>
      <c r="AO80" s="2" t="str">
        <f t="shared" si="78"/>
        <v>CONMEX</v>
      </c>
      <c r="AP80" s="37">
        <f t="shared" si="79"/>
        <v>0</v>
      </c>
      <c r="AQ80" s="37">
        <f t="shared" si="80"/>
        <v>0</v>
      </c>
    </row>
    <row r="81" spans="1:43" x14ac:dyDescent="0.25">
      <c r="B81" s="2" t="s">
        <v>30</v>
      </c>
      <c r="C81" s="2">
        <v>2024</v>
      </c>
      <c r="D81" s="1">
        <v>463056</v>
      </c>
      <c r="E81" s="11">
        <v>35372453</v>
      </c>
      <c r="F81" s="1">
        <v>292478</v>
      </c>
      <c r="G81" s="11">
        <v>24977702.719999999</v>
      </c>
      <c r="H81" s="1">
        <v>102030</v>
      </c>
      <c r="I81" s="11">
        <v>18458838</v>
      </c>
      <c r="J81" s="1">
        <v>2793688</v>
      </c>
      <c r="K81" s="11">
        <v>417985783.25</v>
      </c>
      <c r="L81" s="8">
        <v>52334</v>
      </c>
      <c r="M81" s="11">
        <v>10098862</v>
      </c>
      <c r="N81" s="8">
        <v>123053</v>
      </c>
      <c r="O81" s="11">
        <v>26064627.440000001</v>
      </c>
      <c r="P81" s="8">
        <v>562</v>
      </c>
      <c r="Q81" s="11">
        <v>219195</v>
      </c>
      <c r="R81" s="8">
        <v>8575</v>
      </c>
      <c r="S81" s="11">
        <v>519556</v>
      </c>
      <c r="T81" s="53">
        <f t="shared" si="81"/>
        <v>3835776</v>
      </c>
      <c r="U81" s="54">
        <f t="shared" si="64"/>
        <v>533697017.40999997</v>
      </c>
      <c r="V81" s="2" t="s">
        <v>59</v>
      </c>
      <c r="Y81" s="2" t="s">
        <v>30</v>
      </c>
      <c r="Z81" s="2">
        <v>2024</v>
      </c>
      <c r="AA81" s="1">
        <f t="shared" si="65"/>
        <v>857564</v>
      </c>
      <c r="AB81" s="11">
        <f t="shared" si="66"/>
        <v>78808993.719999999</v>
      </c>
      <c r="AC81" s="1">
        <f t="shared" si="67"/>
        <v>2793688</v>
      </c>
      <c r="AD81" s="11">
        <f t="shared" si="68"/>
        <v>417985783.25</v>
      </c>
      <c r="AE81" s="8">
        <f t="shared" si="69"/>
        <v>52334</v>
      </c>
      <c r="AF81" s="11">
        <f t="shared" si="70"/>
        <v>10098862</v>
      </c>
      <c r="AG81" s="8">
        <f t="shared" si="71"/>
        <v>123053</v>
      </c>
      <c r="AH81" s="11">
        <f t="shared" si="72"/>
        <v>26064627.440000001</v>
      </c>
      <c r="AI81" s="8">
        <f t="shared" si="73"/>
        <v>562</v>
      </c>
      <c r="AJ81" s="11">
        <f t="shared" si="74"/>
        <v>219195</v>
      </c>
      <c r="AK81" s="11">
        <f t="shared" si="75"/>
        <v>8575</v>
      </c>
      <c r="AL81" s="11">
        <f t="shared" si="76"/>
        <v>519556</v>
      </c>
      <c r="AM81" s="79">
        <f t="shared" si="82"/>
        <v>3835776</v>
      </c>
      <c r="AN81" s="80">
        <f t="shared" si="77"/>
        <v>533697017.40999997</v>
      </c>
      <c r="AO81" s="2" t="str">
        <f t="shared" si="78"/>
        <v>CONMEX</v>
      </c>
      <c r="AP81" s="37">
        <f t="shared" si="79"/>
        <v>0</v>
      </c>
      <c r="AQ81" s="37">
        <f t="shared" si="80"/>
        <v>0</v>
      </c>
    </row>
    <row r="82" spans="1:43" x14ac:dyDescent="0.25">
      <c r="B82" s="2" t="s">
        <v>31</v>
      </c>
      <c r="C82" s="2">
        <v>2024</v>
      </c>
      <c r="D82" s="1">
        <v>557183</v>
      </c>
      <c r="E82" s="11">
        <v>44923159</v>
      </c>
      <c r="F82" s="1">
        <v>351757</v>
      </c>
      <c r="G82" s="11">
        <v>30302545</v>
      </c>
      <c r="H82" s="1">
        <v>142043</v>
      </c>
      <c r="I82" s="11">
        <v>25020844</v>
      </c>
      <c r="J82" s="1">
        <v>3021685</v>
      </c>
      <c r="K82" s="11">
        <v>461224317</v>
      </c>
      <c r="L82" s="8">
        <v>59201</v>
      </c>
      <c r="M82" s="11">
        <v>11771889</v>
      </c>
      <c r="N82" s="8">
        <v>123875</v>
      </c>
      <c r="O82" s="11">
        <v>26590173</v>
      </c>
      <c r="P82" s="8">
        <v>315</v>
      </c>
      <c r="Q82" s="11">
        <v>122359</v>
      </c>
      <c r="R82" s="11">
        <v>20438</v>
      </c>
      <c r="S82" s="11">
        <v>1679874</v>
      </c>
      <c r="T82" s="53">
        <f t="shared" si="81"/>
        <v>4276497</v>
      </c>
      <c r="U82" s="54">
        <f t="shared" si="64"/>
        <v>601635160</v>
      </c>
      <c r="V82" s="2" t="s">
        <v>59</v>
      </c>
      <c r="W82" s="13"/>
      <c r="Y82" s="2" t="s">
        <v>31</v>
      </c>
      <c r="Z82" s="2">
        <v>2024</v>
      </c>
      <c r="AA82" s="1">
        <f t="shared" si="65"/>
        <v>1050983</v>
      </c>
      <c r="AB82" s="11">
        <f t="shared" si="66"/>
        <v>100246548</v>
      </c>
      <c r="AC82" s="1">
        <f t="shared" si="67"/>
        <v>3021685</v>
      </c>
      <c r="AD82" s="11">
        <f t="shared" si="68"/>
        <v>461224317</v>
      </c>
      <c r="AE82" s="8">
        <f t="shared" si="69"/>
        <v>59201</v>
      </c>
      <c r="AF82" s="11">
        <f t="shared" si="70"/>
        <v>11771889</v>
      </c>
      <c r="AG82" s="8">
        <f t="shared" si="71"/>
        <v>123875</v>
      </c>
      <c r="AH82" s="11">
        <f t="shared" si="72"/>
        <v>26590173</v>
      </c>
      <c r="AI82" s="8">
        <f t="shared" si="73"/>
        <v>315</v>
      </c>
      <c r="AJ82" s="11">
        <f t="shared" si="74"/>
        <v>122359</v>
      </c>
      <c r="AK82" s="11">
        <f t="shared" si="75"/>
        <v>20438</v>
      </c>
      <c r="AL82" s="11">
        <f t="shared" si="76"/>
        <v>1679874</v>
      </c>
      <c r="AM82" s="8">
        <f t="shared" si="82"/>
        <v>4276497</v>
      </c>
      <c r="AN82" s="11">
        <f t="shared" si="77"/>
        <v>601635160</v>
      </c>
      <c r="AO82" s="2" t="str">
        <f t="shared" si="78"/>
        <v>CONMEX</v>
      </c>
      <c r="AP82" s="37">
        <f t="shared" si="79"/>
        <v>0</v>
      </c>
      <c r="AQ82" s="37">
        <f t="shared" si="80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83">SUM(D71:D83)</f>
        <v>5835063</v>
      </c>
      <c r="E84" s="12">
        <f t="shared" si="83"/>
        <v>471907778.93000001</v>
      </c>
      <c r="F84" s="4">
        <f t="shared" si="83"/>
        <v>3788880</v>
      </c>
      <c r="G84" s="12">
        <f t="shared" si="83"/>
        <v>338387529.03999996</v>
      </c>
      <c r="H84" s="4">
        <f t="shared" si="83"/>
        <v>1354562</v>
      </c>
      <c r="I84" s="12">
        <f t="shared" si="83"/>
        <v>248557516.75999999</v>
      </c>
      <c r="J84" s="4">
        <f t="shared" si="83"/>
        <v>34810168</v>
      </c>
      <c r="K84" s="12">
        <f t="shared" si="83"/>
        <v>5491571380.25</v>
      </c>
      <c r="L84" s="4">
        <f t="shared" si="83"/>
        <v>691342</v>
      </c>
      <c r="M84" s="12">
        <f t="shared" si="83"/>
        <v>138945802</v>
      </c>
      <c r="N84" s="4">
        <f t="shared" si="83"/>
        <v>1482374</v>
      </c>
      <c r="O84" s="12">
        <f t="shared" si="83"/>
        <v>323305818.44</v>
      </c>
      <c r="P84" s="4">
        <f>SUM(P71:P83)</f>
        <v>5336</v>
      </c>
      <c r="Q84" s="12">
        <f>SUM(Q71:Q83)</f>
        <v>2127856</v>
      </c>
      <c r="R84" s="4">
        <f>SUM(R71:R83)</f>
        <v>159132</v>
      </c>
      <c r="S84" s="12">
        <f>SUM(S71:S83)</f>
        <v>12101350</v>
      </c>
      <c r="T84" s="4">
        <f t="shared" ref="T84:U84" si="84">SUM(T71:T83)</f>
        <v>48126857</v>
      </c>
      <c r="U84" s="12">
        <f t="shared" si="84"/>
        <v>7026905031.4200001</v>
      </c>
      <c r="V84" s="2" t="s">
        <v>119</v>
      </c>
      <c r="Y84" s="3" t="s">
        <v>12</v>
      </c>
      <c r="Z84" s="3"/>
      <c r="AA84" s="4">
        <f t="shared" ref="AA84:AN84" si="85">SUM(AA71:AA83)</f>
        <v>10978505</v>
      </c>
      <c r="AB84" s="12">
        <f t="shared" si="85"/>
        <v>1058852824.73</v>
      </c>
      <c r="AC84" s="4">
        <f t="shared" si="85"/>
        <v>34810168</v>
      </c>
      <c r="AD84" s="12">
        <f t="shared" si="85"/>
        <v>5491571380.25</v>
      </c>
      <c r="AE84" s="4">
        <f t="shared" si="85"/>
        <v>691342</v>
      </c>
      <c r="AF84" s="12">
        <f t="shared" si="85"/>
        <v>138945802</v>
      </c>
      <c r="AG84" s="4">
        <f t="shared" si="85"/>
        <v>1482374</v>
      </c>
      <c r="AH84" s="12">
        <f t="shared" si="85"/>
        <v>323305818.44</v>
      </c>
      <c r="AI84" s="4">
        <f t="shared" si="85"/>
        <v>5336</v>
      </c>
      <c r="AJ84" s="12">
        <f t="shared" si="85"/>
        <v>2127856</v>
      </c>
      <c r="AK84" s="4">
        <f t="shared" si="85"/>
        <v>159132</v>
      </c>
      <c r="AL84" s="12">
        <f t="shared" si="85"/>
        <v>12101350</v>
      </c>
      <c r="AM84" s="4">
        <f t="shared" si="85"/>
        <v>48126857</v>
      </c>
      <c r="AN84" s="12">
        <f t="shared" si="85"/>
        <v>7026905031.4200001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50411</v>
      </c>
      <c r="M85" s="60">
        <f>AVERAGE(M71:M72)</f>
        <v>10043914.5</v>
      </c>
      <c r="T85" s="15">
        <f>AVERAGE(T71:T72)</f>
        <v>3776769.5</v>
      </c>
      <c r="U85" s="28">
        <f>AVERAGE(U71:U72)</f>
        <v>538105038.505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0.39126975810989645</v>
      </c>
      <c r="M86" s="36">
        <f>+M85/$M$371</f>
        <v>0.49295364774251216</v>
      </c>
      <c r="N86" s="18"/>
      <c r="O86" s="19"/>
      <c r="P86" s="19"/>
      <c r="Q86" s="19"/>
      <c r="R86" s="19"/>
      <c r="S86" s="19"/>
      <c r="T86" s="36">
        <f>+L85/T85</f>
        <v>1.3347650684003882E-2</v>
      </c>
      <c r="U86" s="62">
        <f>+M85/U85</f>
        <v>1.8665341859471687E-2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87</v>
      </c>
      <c r="S89" s="93"/>
      <c r="T89" s="89" t="s">
        <v>12</v>
      </c>
      <c r="U89" s="93"/>
      <c r="AA89" s="89" t="s">
        <v>69</v>
      </c>
      <c r="AB89" s="90"/>
      <c r="AC89" s="89" t="s">
        <v>17</v>
      </c>
      <c r="AD89" s="93"/>
      <c r="AE89" s="89" t="s">
        <v>18</v>
      </c>
      <c r="AF89" s="93"/>
      <c r="AG89" s="89" t="s">
        <v>13</v>
      </c>
      <c r="AH89" s="93"/>
      <c r="AI89" s="89" t="s">
        <v>34</v>
      </c>
      <c r="AJ89" s="93"/>
      <c r="AK89" s="89" t="s">
        <v>87</v>
      </c>
      <c r="AL89" s="93"/>
      <c r="AM89" s="89" t="s">
        <v>12</v>
      </c>
      <c r="AN89" s="93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2024</v>
      </c>
      <c r="D92" s="1">
        <v>44161</v>
      </c>
      <c r="E92" s="11">
        <v>1438815</v>
      </c>
      <c r="F92" s="1">
        <v>29248</v>
      </c>
      <c r="G92" s="11">
        <v>962273</v>
      </c>
      <c r="H92" s="1">
        <v>6300</v>
      </c>
      <c r="I92" s="11">
        <v>334166</v>
      </c>
      <c r="J92" s="1">
        <v>313958</v>
      </c>
      <c r="K92" s="11">
        <v>13670106</v>
      </c>
      <c r="L92" s="8">
        <v>3704</v>
      </c>
      <c r="M92" s="11">
        <v>231094</v>
      </c>
      <c r="N92" s="8">
        <v>13135</v>
      </c>
      <c r="O92" s="11">
        <v>811807</v>
      </c>
      <c r="P92" s="8">
        <v>112</v>
      </c>
      <c r="Q92" s="11">
        <v>11919</v>
      </c>
      <c r="R92" s="8">
        <v>668</v>
      </c>
      <c r="S92" s="11">
        <v>19475</v>
      </c>
      <c r="T92" s="53">
        <f>N92+L92+J92+H92+D92+P92+F92+R92</f>
        <v>411286</v>
      </c>
      <c r="U92" s="54">
        <f t="shared" ref="U92:U112" si="86">O92+M92+K92+I92+E92+Q92+G92+S92</f>
        <v>17479655</v>
      </c>
      <c r="V92" s="2" t="s">
        <v>93</v>
      </c>
      <c r="X92" t="str">
        <f t="shared" ref="X92:X115" si="87">+A92</f>
        <v>Estimado</v>
      </c>
      <c r="Y92" s="2" t="str">
        <f t="shared" ref="Y92:Y115" si="88">+B92</f>
        <v>ENERO</v>
      </c>
      <c r="Z92" s="2">
        <v>2024</v>
      </c>
      <c r="AA92" s="1">
        <f t="shared" ref="AA92:AA115" si="89">D92+H92+F92</f>
        <v>79709</v>
      </c>
      <c r="AB92" s="11">
        <f t="shared" ref="AB92:AB115" si="90">E92+I92+G92</f>
        <v>2735254</v>
      </c>
      <c r="AC92" s="1">
        <f t="shared" ref="AC92:AC115" si="91">+J92</f>
        <v>313958</v>
      </c>
      <c r="AD92" s="11">
        <f t="shared" ref="AD92:AD115" si="92">+K92</f>
        <v>13670106</v>
      </c>
      <c r="AE92" s="8">
        <f t="shared" ref="AE92:AE115" si="93">+L92</f>
        <v>3704</v>
      </c>
      <c r="AF92" s="11">
        <f t="shared" ref="AF92:AF115" si="94">+M92</f>
        <v>231094</v>
      </c>
      <c r="AG92" s="8">
        <f t="shared" ref="AG92:AG115" si="95">+N92</f>
        <v>13135</v>
      </c>
      <c r="AH92" s="11">
        <f t="shared" ref="AH92:AH115" si="96">+O92</f>
        <v>811807</v>
      </c>
      <c r="AI92" s="8">
        <f t="shared" ref="AI92:AI115" si="97">+P92</f>
        <v>112</v>
      </c>
      <c r="AJ92" s="11">
        <f t="shared" ref="AJ92:AJ115" si="98">+Q92</f>
        <v>11919</v>
      </c>
      <c r="AK92" s="11">
        <f t="shared" ref="AK92:AK115" si="99">+R92</f>
        <v>668</v>
      </c>
      <c r="AL92" s="11">
        <f t="shared" ref="AL92:AL115" si="100">+S92</f>
        <v>19475</v>
      </c>
      <c r="AM92" s="8">
        <f>AI92+AG92+AE92+AC92+AA92+AK92</f>
        <v>411286</v>
      </c>
      <c r="AN92" s="11">
        <f t="shared" ref="AN92:AN102" si="101">AJ92+AH92+AF92+AD92+AB92+AL92</f>
        <v>17479655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2024</v>
      </c>
      <c r="D93" s="1">
        <v>44153</v>
      </c>
      <c r="E93" s="11">
        <v>1447738</v>
      </c>
      <c r="F93" s="1">
        <v>27362</v>
      </c>
      <c r="G93" s="11">
        <v>923582</v>
      </c>
      <c r="H93" s="1">
        <v>5986</v>
      </c>
      <c r="I93" s="11">
        <v>325445</v>
      </c>
      <c r="J93" s="1">
        <v>318716</v>
      </c>
      <c r="K93" s="11">
        <v>14191200</v>
      </c>
      <c r="L93" s="8">
        <v>3600</v>
      </c>
      <c r="M93" s="11">
        <v>222585</v>
      </c>
      <c r="N93" s="8">
        <v>13548</v>
      </c>
      <c r="O93" s="11">
        <v>851129</v>
      </c>
      <c r="P93" s="8">
        <v>25</v>
      </c>
      <c r="Q93" s="11">
        <v>2227</v>
      </c>
      <c r="R93" s="8">
        <v>410</v>
      </c>
      <c r="S93" s="11">
        <v>12638</v>
      </c>
      <c r="T93" s="53">
        <f>N93+L93+J93+H93+D93+P93+F93+R93</f>
        <v>413800</v>
      </c>
      <c r="U93" s="82">
        <f t="shared" si="86"/>
        <v>17976544</v>
      </c>
      <c r="V93" s="2" t="s">
        <v>93</v>
      </c>
      <c r="X93" t="str">
        <f t="shared" si="87"/>
        <v>Real</v>
      </c>
      <c r="Y93" s="2" t="str">
        <f t="shared" si="88"/>
        <v>ENERO</v>
      </c>
      <c r="Z93" s="2">
        <v>2024</v>
      </c>
      <c r="AA93" s="1">
        <f t="shared" si="89"/>
        <v>77501</v>
      </c>
      <c r="AB93" s="11">
        <f t="shared" si="90"/>
        <v>2696765</v>
      </c>
      <c r="AC93" s="1">
        <f t="shared" si="91"/>
        <v>318716</v>
      </c>
      <c r="AD93" s="11">
        <f t="shared" si="92"/>
        <v>14191200</v>
      </c>
      <c r="AE93" s="8">
        <f t="shared" si="93"/>
        <v>3600</v>
      </c>
      <c r="AF93" s="11">
        <f t="shared" si="94"/>
        <v>222585</v>
      </c>
      <c r="AG93" s="8">
        <f t="shared" si="95"/>
        <v>13548</v>
      </c>
      <c r="AH93" s="11">
        <f t="shared" si="96"/>
        <v>851129</v>
      </c>
      <c r="AI93" s="8">
        <f t="shared" si="97"/>
        <v>25</v>
      </c>
      <c r="AJ93" s="11">
        <f t="shared" si="98"/>
        <v>2227</v>
      </c>
      <c r="AK93" s="11">
        <f t="shared" si="99"/>
        <v>410</v>
      </c>
      <c r="AL93" s="11">
        <f t="shared" si="100"/>
        <v>12638</v>
      </c>
      <c r="AM93" s="8">
        <f t="shared" ref="AM93:AM102" si="102">AI93+AG93+AE93+AC93+AA93+AK93</f>
        <v>413800</v>
      </c>
      <c r="AN93" s="11">
        <f t="shared" si="101"/>
        <v>17976544</v>
      </c>
      <c r="AO93" s="2" t="str">
        <f t="shared" ref="AO93:AO115" si="103">+$V$92</f>
        <v>CONMEX T6</v>
      </c>
    </row>
    <row r="94" spans="1:43" x14ac:dyDescent="0.25">
      <c r="A94" t="s">
        <v>101</v>
      </c>
      <c r="B94" s="2" t="s">
        <v>6</v>
      </c>
      <c r="C94" s="2">
        <v>2024</v>
      </c>
      <c r="D94" s="1">
        <v>41304</v>
      </c>
      <c r="E94" s="11">
        <v>1354335</v>
      </c>
      <c r="F94" s="1">
        <v>25597</v>
      </c>
      <c r="G94" s="11">
        <v>863996</v>
      </c>
      <c r="H94" s="1">
        <v>5600</v>
      </c>
      <c r="I94" s="11">
        <v>304449</v>
      </c>
      <c r="J94" s="1">
        <v>298154</v>
      </c>
      <c r="K94" s="11">
        <v>13275639</v>
      </c>
      <c r="L94" s="8">
        <v>3368</v>
      </c>
      <c r="M94" s="11">
        <v>208225</v>
      </c>
      <c r="N94" s="8">
        <v>12674</v>
      </c>
      <c r="O94" s="11">
        <v>796217</v>
      </c>
      <c r="P94" s="8">
        <v>23</v>
      </c>
      <c r="Q94" s="11">
        <v>2083</v>
      </c>
      <c r="R94" s="8">
        <v>384</v>
      </c>
      <c r="S94" s="11">
        <v>11823</v>
      </c>
      <c r="T94" s="53">
        <f t="shared" ref="T94:T108" si="104">N94+L94+J94+H94+D94+P94+F94+R94</f>
        <v>387104</v>
      </c>
      <c r="U94" s="54">
        <f t="shared" si="86"/>
        <v>16816767</v>
      </c>
      <c r="V94" s="2" t="s">
        <v>93</v>
      </c>
      <c r="X94" t="str">
        <f t="shared" si="87"/>
        <v>Estimado</v>
      </c>
      <c r="Y94" s="2" t="str">
        <f t="shared" si="88"/>
        <v>FEBRERO</v>
      </c>
      <c r="Z94" s="2">
        <v>2024</v>
      </c>
      <c r="AA94" s="1">
        <f t="shared" si="89"/>
        <v>72501</v>
      </c>
      <c r="AB94" s="11">
        <f t="shared" si="90"/>
        <v>2522780</v>
      </c>
      <c r="AC94" s="1">
        <f t="shared" si="91"/>
        <v>298154</v>
      </c>
      <c r="AD94" s="11">
        <f t="shared" si="92"/>
        <v>13275639</v>
      </c>
      <c r="AE94" s="8">
        <f t="shared" si="93"/>
        <v>3368</v>
      </c>
      <c r="AF94" s="11">
        <f t="shared" si="94"/>
        <v>208225</v>
      </c>
      <c r="AG94" s="8">
        <f t="shared" si="95"/>
        <v>12674</v>
      </c>
      <c r="AH94" s="11">
        <f t="shared" si="96"/>
        <v>796217</v>
      </c>
      <c r="AI94" s="8">
        <f t="shared" si="97"/>
        <v>23</v>
      </c>
      <c r="AJ94" s="11">
        <f t="shared" si="98"/>
        <v>2083</v>
      </c>
      <c r="AK94" s="11">
        <f t="shared" si="99"/>
        <v>384</v>
      </c>
      <c r="AL94" s="11">
        <f t="shared" si="100"/>
        <v>11823</v>
      </c>
      <c r="AM94" s="8">
        <f t="shared" si="102"/>
        <v>387104</v>
      </c>
      <c r="AN94" s="11">
        <f t="shared" si="101"/>
        <v>16816767</v>
      </c>
      <c r="AO94" s="2" t="str">
        <f t="shared" si="103"/>
        <v>CONMEX T6</v>
      </c>
    </row>
    <row r="95" spans="1:43" x14ac:dyDescent="0.25">
      <c r="A95" t="s">
        <v>102</v>
      </c>
      <c r="B95" s="2" t="s">
        <v>6</v>
      </c>
      <c r="C95" s="2">
        <v>2024</v>
      </c>
      <c r="D95" s="1">
        <v>43442</v>
      </c>
      <c r="E95" s="11">
        <v>1497557</v>
      </c>
      <c r="F95" s="1">
        <v>26922</v>
      </c>
      <c r="G95" s="11">
        <v>955364</v>
      </c>
      <c r="H95" s="1">
        <v>5890</v>
      </c>
      <c r="I95" s="11">
        <v>336644</v>
      </c>
      <c r="J95" s="1">
        <v>313587</v>
      </c>
      <c r="K95" s="11">
        <v>14679545</v>
      </c>
      <c r="L95" s="8">
        <v>3542</v>
      </c>
      <c r="M95" s="11">
        <v>230245</v>
      </c>
      <c r="N95" s="8">
        <v>13330</v>
      </c>
      <c r="O95" s="11">
        <v>880418</v>
      </c>
      <c r="P95" s="8">
        <v>25</v>
      </c>
      <c r="Q95" s="11">
        <v>2304</v>
      </c>
      <c r="R95" s="8">
        <v>403</v>
      </c>
      <c r="S95" s="11">
        <v>13072</v>
      </c>
      <c r="T95" s="53">
        <f t="shared" si="104"/>
        <v>407141</v>
      </c>
      <c r="U95" s="82">
        <f t="shared" si="86"/>
        <v>18595149</v>
      </c>
      <c r="V95" s="2" t="s">
        <v>93</v>
      </c>
      <c r="X95" t="str">
        <f t="shared" si="87"/>
        <v>Real</v>
      </c>
      <c r="Y95" s="2" t="str">
        <f t="shared" si="88"/>
        <v>FEBRERO</v>
      </c>
      <c r="Z95" s="2">
        <v>2024</v>
      </c>
      <c r="AA95" s="1">
        <f t="shared" si="89"/>
        <v>76254</v>
      </c>
      <c r="AB95" s="11">
        <f t="shared" si="90"/>
        <v>2789565</v>
      </c>
      <c r="AC95" s="1">
        <f t="shared" si="91"/>
        <v>313587</v>
      </c>
      <c r="AD95" s="11">
        <f t="shared" si="92"/>
        <v>14679545</v>
      </c>
      <c r="AE95" s="8">
        <f t="shared" si="93"/>
        <v>3542</v>
      </c>
      <c r="AF95" s="11">
        <f t="shared" si="94"/>
        <v>230245</v>
      </c>
      <c r="AG95" s="8">
        <f t="shared" si="95"/>
        <v>13330</v>
      </c>
      <c r="AH95" s="11">
        <f t="shared" si="96"/>
        <v>880418</v>
      </c>
      <c r="AI95" s="8">
        <f t="shared" si="97"/>
        <v>25</v>
      </c>
      <c r="AJ95" s="11">
        <f t="shared" si="98"/>
        <v>2304</v>
      </c>
      <c r="AK95" s="11">
        <f t="shared" si="99"/>
        <v>403</v>
      </c>
      <c r="AL95" s="11">
        <f t="shared" si="100"/>
        <v>13072</v>
      </c>
      <c r="AM95" s="8">
        <f t="shared" si="102"/>
        <v>407141</v>
      </c>
      <c r="AN95" s="11">
        <f t="shared" si="101"/>
        <v>18595149</v>
      </c>
      <c r="AO95" s="2" t="str">
        <f t="shared" si="103"/>
        <v>CONMEX T6</v>
      </c>
    </row>
    <row r="96" spans="1:43" x14ac:dyDescent="0.25">
      <c r="A96" t="s">
        <v>101</v>
      </c>
      <c r="B96" s="2" t="s">
        <v>7</v>
      </c>
      <c r="C96" s="2">
        <v>2024</v>
      </c>
      <c r="D96" s="1">
        <v>46438</v>
      </c>
      <c r="E96" s="11">
        <v>1600837</v>
      </c>
      <c r="F96" s="1">
        <v>28779</v>
      </c>
      <c r="G96" s="11">
        <v>1021251</v>
      </c>
      <c r="H96" s="1">
        <v>6296</v>
      </c>
      <c r="I96" s="11">
        <v>359861</v>
      </c>
      <c r="J96" s="1">
        <v>335214</v>
      </c>
      <c r="K96" s="11">
        <v>15691927</v>
      </c>
      <c r="L96" s="8">
        <v>3786</v>
      </c>
      <c r="M96" s="11">
        <v>246124</v>
      </c>
      <c r="N96" s="8">
        <v>14249</v>
      </c>
      <c r="O96" s="11">
        <v>941136</v>
      </c>
      <c r="P96" s="8">
        <v>27</v>
      </c>
      <c r="Q96" s="11">
        <v>2463</v>
      </c>
      <c r="R96" s="8">
        <v>431</v>
      </c>
      <c r="S96" s="11">
        <v>13974</v>
      </c>
      <c r="T96" s="53">
        <f t="shared" si="104"/>
        <v>435220</v>
      </c>
      <c r="U96" s="54">
        <f t="shared" si="86"/>
        <v>19877573</v>
      </c>
      <c r="V96" s="2" t="s">
        <v>93</v>
      </c>
      <c r="X96" t="str">
        <f t="shared" si="87"/>
        <v>Estimado</v>
      </c>
      <c r="Y96" s="2" t="str">
        <f t="shared" si="88"/>
        <v>MARZO</v>
      </c>
      <c r="Z96" s="2">
        <v>2024</v>
      </c>
      <c r="AA96" s="1">
        <f t="shared" si="89"/>
        <v>81513</v>
      </c>
      <c r="AB96" s="11">
        <f t="shared" si="90"/>
        <v>2981949</v>
      </c>
      <c r="AC96" s="1">
        <f t="shared" si="91"/>
        <v>335214</v>
      </c>
      <c r="AD96" s="11">
        <f t="shared" si="92"/>
        <v>15691927</v>
      </c>
      <c r="AE96" s="8">
        <f t="shared" si="93"/>
        <v>3786</v>
      </c>
      <c r="AF96" s="11">
        <f t="shared" si="94"/>
        <v>246124</v>
      </c>
      <c r="AG96" s="8">
        <f t="shared" si="95"/>
        <v>14249</v>
      </c>
      <c r="AH96" s="11">
        <f t="shared" si="96"/>
        <v>941136</v>
      </c>
      <c r="AI96" s="8">
        <f t="shared" si="97"/>
        <v>27</v>
      </c>
      <c r="AJ96" s="11">
        <f t="shared" si="98"/>
        <v>2463</v>
      </c>
      <c r="AK96" s="11">
        <f t="shared" si="99"/>
        <v>431</v>
      </c>
      <c r="AL96" s="11">
        <f t="shared" si="100"/>
        <v>13974</v>
      </c>
      <c r="AM96" s="8">
        <f t="shared" si="102"/>
        <v>435220</v>
      </c>
      <c r="AN96" s="11">
        <f t="shared" si="101"/>
        <v>19877573</v>
      </c>
      <c r="AO96" s="2" t="str">
        <f t="shared" si="103"/>
        <v>CONMEX T6</v>
      </c>
    </row>
    <row r="97" spans="1:43" x14ac:dyDescent="0.25">
      <c r="A97" t="s">
        <v>102</v>
      </c>
      <c r="B97" s="2" t="s">
        <v>7</v>
      </c>
      <c r="C97" s="2">
        <v>2024</v>
      </c>
      <c r="D97" s="1">
        <f>(42740)+-3064</f>
        <v>39676</v>
      </c>
      <c r="E97" s="11">
        <f>(1466824)+-140146</f>
        <v>1326678</v>
      </c>
      <c r="F97" s="1">
        <f>(32344)+3405</f>
        <v>35749</v>
      </c>
      <c r="G97" s="11">
        <f>(1195935)+150768</f>
        <v>1346703</v>
      </c>
      <c r="H97" s="1">
        <f>(6837)+833</f>
        <v>7670</v>
      </c>
      <c r="I97" s="11">
        <f>(376821)+26638</f>
        <v>403459</v>
      </c>
      <c r="J97" s="1">
        <f>(320543)+-2839</f>
        <v>317704</v>
      </c>
      <c r="K97" s="11">
        <f>(15173145)+-134958</f>
        <v>15038187</v>
      </c>
      <c r="L97" s="8">
        <f>(4489)+835</f>
        <v>5324</v>
      </c>
      <c r="M97" s="11">
        <f>(283432)+58491</f>
        <v>341923</v>
      </c>
      <c r="N97" s="8">
        <f>(13339)+482</f>
        <v>13821</v>
      </c>
      <c r="O97" s="11">
        <f>(897176)+27296</f>
        <v>924472</v>
      </c>
      <c r="P97" s="8">
        <f>(31)+1</f>
        <v>32</v>
      </c>
      <c r="Q97" s="11">
        <f>(2993)+215</f>
        <v>3208</v>
      </c>
      <c r="R97" s="8">
        <f>(945)+347</f>
        <v>1292</v>
      </c>
      <c r="S97" s="11">
        <f>(30381)+11696</f>
        <v>42077</v>
      </c>
      <c r="T97" s="53">
        <f t="shared" si="104"/>
        <v>421268</v>
      </c>
      <c r="U97" s="82">
        <f t="shared" si="86"/>
        <v>19426707</v>
      </c>
      <c r="V97" s="2" t="s">
        <v>93</v>
      </c>
      <c r="X97" t="str">
        <f t="shared" si="87"/>
        <v>Real</v>
      </c>
      <c r="Y97" s="2" t="str">
        <f t="shared" si="88"/>
        <v>MARZO</v>
      </c>
      <c r="Z97" s="2">
        <v>2024</v>
      </c>
      <c r="AA97" s="1">
        <f t="shared" si="89"/>
        <v>83095</v>
      </c>
      <c r="AB97" s="11">
        <f t="shared" si="90"/>
        <v>3076840</v>
      </c>
      <c r="AC97" s="1">
        <f t="shared" si="91"/>
        <v>317704</v>
      </c>
      <c r="AD97" s="11">
        <f t="shared" si="92"/>
        <v>15038187</v>
      </c>
      <c r="AE97" s="8">
        <f t="shared" si="93"/>
        <v>5324</v>
      </c>
      <c r="AF97" s="11">
        <f t="shared" si="94"/>
        <v>341923</v>
      </c>
      <c r="AG97" s="8">
        <f t="shared" si="95"/>
        <v>13821</v>
      </c>
      <c r="AH97" s="11">
        <f t="shared" si="96"/>
        <v>924472</v>
      </c>
      <c r="AI97" s="8">
        <f t="shared" si="97"/>
        <v>32</v>
      </c>
      <c r="AJ97" s="11">
        <f t="shared" si="98"/>
        <v>3208</v>
      </c>
      <c r="AK97" s="11">
        <f t="shared" si="99"/>
        <v>1292</v>
      </c>
      <c r="AL97" s="11">
        <f t="shared" si="100"/>
        <v>42077</v>
      </c>
      <c r="AM97" s="8">
        <f t="shared" si="102"/>
        <v>421268</v>
      </c>
      <c r="AN97" s="11">
        <f t="shared" si="101"/>
        <v>19426707</v>
      </c>
      <c r="AO97" s="2" t="str">
        <f t="shared" si="103"/>
        <v>CONMEX T6</v>
      </c>
    </row>
    <row r="98" spans="1:43" x14ac:dyDescent="0.25">
      <c r="A98" t="s">
        <v>101</v>
      </c>
      <c r="B98" s="2" t="s">
        <v>8</v>
      </c>
      <c r="C98" s="2">
        <v>2024</v>
      </c>
      <c r="D98" s="1">
        <v>38396</v>
      </c>
      <c r="E98" s="11">
        <v>1283882</v>
      </c>
      <c r="F98" s="1">
        <v>34596</v>
      </c>
      <c r="G98" s="11">
        <v>1303261</v>
      </c>
      <c r="H98" s="1">
        <v>7423</v>
      </c>
      <c r="I98" s="11">
        <v>390444</v>
      </c>
      <c r="J98" s="1">
        <v>307455</v>
      </c>
      <c r="K98" s="11">
        <v>14553084</v>
      </c>
      <c r="L98" s="8">
        <v>5152</v>
      </c>
      <c r="M98" s="11">
        <v>330893</v>
      </c>
      <c r="N98" s="8">
        <v>13375</v>
      </c>
      <c r="O98" s="11">
        <v>894650</v>
      </c>
      <c r="P98" s="8">
        <v>31</v>
      </c>
      <c r="Q98" s="11">
        <v>3105</v>
      </c>
      <c r="R98" s="8">
        <v>1250</v>
      </c>
      <c r="S98" s="11">
        <v>40720</v>
      </c>
      <c r="T98" s="53">
        <f t="shared" si="104"/>
        <v>407678</v>
      </c>
      <c r="U98" s="54">
        <f t="shared" si="86"/>
        <v>18800039</v>
      </c>
      <c r="V98" s="2" t="s">
        <v>93</v>
      </c>
      <c r="X98" t="str">
        <f t="shared" si="87"/>
        <v>Estimado</v>
      </c>
      <c r="Y98" s="2" t="str">
        <f t="shared" si="88"/>
        <v>ABRIL</v>
      </c>
      <c r="Z98" s="2">
        <v>2024</v>
      </c>
      <c r="AA98" s="1">
        <f t="shared" si="89"/>
        <v>80415</v>
      </c>
      <c r="AB98" s="11">
        <f t="shared" si="90"/>
        <v>2977587</v>
      </c>
      <c r="AC98" s="1">
        <f t="shared" si="91"/>
        <v>307455</v>
      </c>
      <c r="AD98" s="11">
        <f t="shared" si="92"/>
        <v>14553084</v>
      </c>
      <c r="AE98" s="8">
        <f t="shared" si="93"/>
        <v>5152</v>
      </c>
      <c r="AF98" s="11">
        <f t="shared" si="94"/>
        <v>330893</v>
      </c>
      <c r="AG98" s="8">
        <f t="shared" si="95"/>
        <v>13375</v>
      </c>
      <c r="AH98" s="11">
        <f t="shared" si="96"/>
        <v>894650</v>
      </c>
      <c r="AI98" s="8">
        <f t="shared" si="97"/>
        <v>31</v>
      </c>
      <c r="AJ98" s="11">
        <f t="shared" si="98"/>
        <v>3105</v>
      </c>
      <c r="AK98" s="11">
        <f t="shared" si="99"/>
        <v>1250</v>
      </c>
      <c r="AL98" s="11">
        <f t="shared" si="100"/>
        <v>40720</v>
      </c>
      <c r="AM98" s="8">
        <f t="shared" si="102"/>
        <v>407678</v>
      </c>
      <c r="AN98" s="11">
        <f t="shared" si="101"/>
        <v>18800039</v>
      </c>
      <c r="AO98" s="2" t="str">
        <f t="shared" si="103"/>
        <v>CONMEX T6</v>
      </c>
    </row>
    <row r="99" spans="1:43" x14ac:dyDescent="0.25">
      <c r="A99" t="s">
        <v>102</v>
      </c>
      <c r="B99" s="2" t="s">
        <v>8</v>
      </c>
      <c r="C99" s="2">
        <v>2024</v>
      </c>
      <c r="D99" s="1">
        <v>44974</v>
      </c>
      <c r="E99" s="11">
        <v>1558026</v>
      </c>
      <c r="F99" s="1">
        <v>32682</v>
      </c>
      <c r="G99" s="11">
        <v>1207699</v>
      </c>
      <c r="H99" s="1">
        <v>6895</v>
      </c>
      <c r="I99" s="11">
        <v>371679</v>
      </c>
      <c r="J99" s="1">
        <v>337203</v>
      </c>
      <c r="K99" s="11">
        <v>16054235</v>
      </c>
      <c r="L99" s="1">
        <v>4878</v>
      </c>
      <c r="M99" s="11">
        <v>313297</v>
      </c>
      <c r="N99" s="1">
        <v>13764</v>
      </c>
      <c r="O99" s="11">
        <v>889328</v>
      </c>
      <c r="P99" s="1">
        <v>33</v>
      </c>
      <c r="Q99" s="11">
        <v>2977</v>
      </c>
      <c r="R99" s="1">
        <v>1144</v>
      </c>
      <c r="S99" s="11">
        <v>38356</v>
      </c>
      <c r="T99" s="53">
        <f t="shared" ref="T99" si="105">N99+L99+J99+H99+D99+P99+F99+R99</f>
        <v>441573</v>
      </c>
      <c r="U99" s="82">
        <f t="shared" ref="U99" si="106">O99+M99+K99+I99+E99+Q99+G99+S99</f>
        <v>20435597</v>
      </c>
      <c r="V99" s="2" t="s">
        <v>93</v>
      </c>
      <c r="X99" t="str">
        <f t="shared" si="87"/>
        <v>Real</v>
      </c>
      <c r="Y99" s="2" t="str">
        <f t="shared" si="88"/>
        <v>ABRIL</v>
      </c>
      <c r="Z99" s="2">
        <v>2024</v>
      </c>
      <c r="AA99" s="1">
        <f t="shared" si="89"/>
        <v>84551</v>
      </c>
      <c r="AB99" s="11">
        <f t="shared" si="90"/>
        <v>3137404</v>
      </c>
      <c r="AC99" s="1">
        <f t="shared" si="91"/>
        <v>337203</v>
      </c>
      <c r="AD99" s="11">
        <f t="shared" si="92"/>
        <v>16054235</v>
      </c>
      <c r="AE99" s="8">
        <f t="shared" si="93"/>
        <v>4878</v>
      </c>
      <c r="AF99" s="11">
        <f t="shared" si="94"/>
        <v>313297</v>
      </c>
      <c r="AG99" s="8">
        <f t="shared" si="95"/>
        <v>13764</v>
      </c>
      <c r="AH99" s="11">
        <f t="shared" si="96"/>
        <v>889328</v>
      </c>
      <c r="AI99" s="8">
        <f t="shared" si="97"/>
        <v>33</v>
      </c>
      <c r="AJ99" s="11">
        <f t="shared" si="98"/>
        <v>2977</v>
      </c>
      <c r="AK99" s="11">
        <f t="shared" si="99"/>
        <v>1144</v>
      </c>
      <c r="AL99" s="11">
        <f t="shared" si="100"/>
        <v>38356</v>
      </c>
      <c r="AM99" s="8">
        <f t="shared" ref="AM99" si="107">AI99+AG99+AE99+AC99+AA99+AK99</f>
        <v>441573</v>
      </c>
      <c r="AN99" s="11">
        <f t="shared" ref="AN99" si="108">AJ99+AH99+AF99+AD99+AB99+AL99</f>
        <v>20435597</v>
      </c>
      <c r="AO99" s="2" t="str">
        <f t="shared" si="103"/>
        <v>CONMEX T6</v>
      </c>
    </row>
    <row r="100" spans="1:43" x14ac:dyDescent="0.25">
      <c r="A100" t="s">
        <v>101</v>
      </c>
      <c r="B100" s="2" t="s">
        <v>9</v>
      </c>
      <c r="C100" s="2">
        <v>2024</v>
      </c>
      <c r="D100" s="1">
        <v>42774</v>
      </c>
      <c r="E100" s="11">
        <v>1478661</v>
      </c>
      <c r="F100" s="1">
        <v>31083</v>
      </c>
      <c r="G100" s="11">
        <v>1146180</v>
      </c>
      <c r="H100" s="1">
        <v>6558</v>
      </c>
      <c r="I100" s="11">
        <v>352746</v>
      </c>
      <c r="J100" s="1">
        <v>307455</v>
      </c>
      <c r="K100" s="11">
        <v>14553084</v>
      </c>
      <c r="L100" s="1">
        <v>5152</v>
      </c>
      <c r="M100" s="11">
        <v>330893</v>
      </c>
      <c r="N100" s="1">
        <v>13375</v>
      </c>
      <c r="O100" s="11">
        <v>894650</v>
      </c>
      <c r="P100" s="1">
        <v>31</v>
      </c>
      <c r="Q100" s="11">
        <v>3105</v>
      </c>
      <c r="R100" s="1">
        <v>1250</v>
      </c>
      <c r="S100" s="11">
        <v>40720</v>
      </c>
      <c r="T100" s="53">
        <f t="shared" si="104"/>
        <v>407678</v>
      </c>
      <c r="U100" s="54">
        <f t="shared" si="86"/>
        <v>18800039</v>
      </c>
      <c r="V100" s="2" t="s">
        <v>93</v>
      </c>
      <c r="X100" t="str">
        <f t="shared" si="87"/>
        <v>Estimado</v>
      </c>
      <c r="Y100" s="2" t="str">
        <f t="shared" si="88"/>
        <v>MAYO</v>
      </c>
      <c r="Z100" s="2">
        <v>2024</v>
      </c>
      <c r="AA100" s="1">
        <f t="shared" si="89"/>
        <v>80415</v>
      </c>
      <c r="AB100" s="11">
        <f t="shared" si="90"/>
        <v>2977587</v>
      </c>
      <c r="AC100" s="1">
        <f t="shared" si="91"/>
        <v>307455</v>
      </c>
      <c r="AD100" s="11">
        <f t="shared" si="92"/>
        <v>14553084</v>
      </c>
      <c r="AE100" s="8">
        <f t="shared" si="93"/>
        <v>5152</v>
      </c>
      <c r="AF100" s="11">
        <f t="shared" si="94"/>
        <v>330893</v>
      </c>
      <c r="AG100" s="8">
        <f t="shared" si="95"/>
        <v>13375</v>
      </c>
      <c r="AH100" s="11">
        <f t="shared" si="96"/>
        <v>894650</v>
      </c>
      <c r="AI100" s="8">
        <f t="shared" si="97"/>
        <v>31</v>
      </c>
      <c r="AJ100" s="11">
        <f t="shared" si="98"/>
        <v>3105</v>
      </c>
      <c r="AK100" s="11">
        <f t="shared" si="99"/>
        <v>1250</v>
      </c>
      <c r="AL100" s="11">
        <f t="shared" si="100"/>
        <v>40720</v>
      </c>
      <c r="AM100" s="8">
        <f t="shared" ref="AM100" si="109">AI100+AG100+AE100+AC100+AA100+AK100</f>
        <v>407678</v>
      </c>
      <c r="AN100" s="11">
        <f t="shared" ref="AN100" si="110">AJ100+AH100+AF100+AD100+AB100+AL100</f>
        <v>18800039</v>
      </c>
      <c r="AO100" s="2" t="str">
        <f t="shared" si="103"/>
        <v>CONMEX T6</v>
      </c>
    </row>
    <row r="101" spans="1:43" x14ac:dyDescent="0.25">
      <c r="A101" t="s">
        <v>102</v>
      </c>
      <c r="B101" s="2" t="s">
        <v>9</v>
      </c>
      <c r="C101" s="2">
        <v>2024</v>
      </c>
      <c r="D101" s="1">
        <v>46010</v>
      </c>
      <c r="E101" s="11">
        <v>1600651</v>
      </c>
      <c r="F101" s="1">
        <v>33435</v>
      </c>
      <c r="G101" s="11">
        <v>1240739</v>
      </c>
      <c r="H101" s="1">
        <v>7054</v>
      </c>
      <c r="I101" s="11">
        <v>381847</v>
      </c>
      <c r="J101" s="1">
        <v>344970</v>
      </c>
      <c r="K101" s="11">
        <v>16493450</v>
      </c>
      <c r="L101" s="1">
        <v>4990</v>
      </c>
      <c r="M101" s="11">
        <v>321868</v>
      </c>
      <c r="N101" s="1">
        <v>14081</v>
      </c>
      <c r="O101" s="11">
        <v>913658</v>
      </c>
      <c r="P101" s="1">
        <v>34</v>
      </c>
      <c r="Q101" s="11">
        <v>3058</v>
      </c>
      <c r="R101" s="1">
        <v>1170</v>
      </c>
      <c r="S101" s="11">
        <v>39405</v>
      </c>
      <c r="T101" s="53">
        <f t="shared" ref="T101" si="111">N101+L101+J101+H101+D101+P101+F101+R101</f>
        <v>451744</v>
      </c>
      <c r="U101" s="82">
        <f t="shared" ref="U101" si="112">O101+M101+K101+I101+E101+Q101+G101+S101</f>
        <v>20994676</v>
      </c>
      <c r="V101" s="2" t="s">
        <v>93</v>
      </c>
      <c r="X101" t="str">
        <f t="shared" si="87"/>
        <v>Real</v>
      </c>
      <c r="Y101" s="2" t="str">
        <f t="shared" si="88"/>
        <v>MAYO</v>
      </c>
      <c r="Z101" s="2">
        <v>2024</v>
      </c>
      <c r="AA101" s="1">
        <f t="shared" si="89"/>
        <v>86499</v>
      </c>
      <c r="AB101" s="11">
        <f t="shared" si="90"/>
        <v>3223237</v>
      </c>
      <c r="AC101" s="1">
        <f t="shared" si="91"/>
        <v>344970</v>
      </c>
      <c r="AD101" s="11">
        <f t="shared" si="92"/>
        <v>16493450</v>
      </c>
      <c r="AE101" s="8">
        <f t="shared" si="93"/>
        <v>4990</v>
      </c>
      <c r="AF101" s="11">
        <f t="shared" si="94"/>
        <v>321868</v>
      </c>
      <c r="AG101" s="8">
        <f t="shared" si="95"/>
        <v>14081</v>
      </c>
      <c r="AH101" s="11">
        <f t="shared" si="96"/>
        <v>913658</v>
      </c>
      <c r="AI101" s="8">
        <f t="shared" si="97"/>
        <v>34</v>
      </c>
      <c r="AJ101" s="11">
        <f t="shared" si="98"/>
        <v>3058</v>
      </c>
      <c r="AK101" s="11">
        <f t="shared" si="99"/>
        <v>1170</v>
      </c>
      <c r="AL101" s="11">
        <f t="shared" si="100"/>
        <v>39405</v>
      </c>
      <c r="AM101" s="8">
        <f t="shared" ref="AM101" si="113">AI101+AG101+AE101+AC101+AA101+AK101</f>
        <v>451744</v>
      </c>
      <c r="AN101" s="11">
        <f t="shared" ref="AN101" si="114">AJ101+AH101+AF101+AD101+AB101+AL101</f>
        <v>20994676</v>
      </c>
      <c r="AO101" s="2" t="str">
        <f t="shared" si="103"/>
        <v>CONMEX T6</v>
      </c>
    </row>
    <row r="102" spans="1:43" x14ac:dyDescent="0.25">
      <c r="A102" t="s">
        <v>101</v>
      </c>
      <c r="B102" s="2" t="s">
        <v>10</v>
      </c>
      <c r="C102" s="2">
        <v>2024</v>
      </c>
      <c r="D102" s="1">
        <v>44526</v>
      </c>
      <c r="E102" s="11">
        <v>1549017</v>
      </c>
      <c r="F102" s="1">
        <v>32356</v>
      </c>
      <c r="G102" s="11">
        <v>1200716</v>
      </c>
      <c r="H102" s="1">
        <v>6826</v>
      </c>
      <c r="I102" s="11">
        <v>369530</v>
      </c>
      <c r="J102" s="1">
        <v>333842</v>
      </c>
      <c r="K102" s="11">
        <v>15961403</v>
      </c>
      <c r="L102" s="1">
        <v>4829</v>
      </c>
      <c r="M102" s="11">
        <v>311485</v>
      </c>
      <c r="N102" s="1">
        <v>13627</v>
      </c>
      <c r="O102" s="11">
        <v>884186</v>
      </c>
      <c r="P102" s="1">
        <v>33</v>
      </c>
      <c r="Q102" s="11">
        <v>2960</v>
      </c>
      <c r="R102" s="1">
        <v>1133</v>
      </c>
      <c r="S102" s="11">
        <v>38134</v>
      </c>
      <c r="T102" s="53">
        <f t="shared" si="104"/>
        <v>437172</v>
      </c>
      <c r="U102" s="54">
        <f t="shared" si="86"/>
        <v>20317431</v>
      </c>
      <c r="V102" s="2" t="s">
        <v>93</v>
      </c>
      <c r="X102" t="str">
        <f t="shared" si="87"/>
        <v>Estimado</v>
      </c>
      <c r="Y102" s="2" t="str">
        <f t="shared" si="88"/>
        <v>JUNIO</v>
      </c>
      <c r="Z102" s="2">
        <v>2024</v>
      </c>
      <c r="AA102" s="1">
        <f t="shared" si="89"/>
        <v>83708</v>
      </c>
      <c r="AB102" s="11">
        <f t="shared" si="90"/>
        <v>3119263</v>
      </c>
      <c r="AC102" s="1">
        <f t="shared" si="91"/>
        <v>333842</v>
      </c>
      <c r="AD102" s="11">
        <f t="shared" si="92"/>
        <v>15961403</v>
      </c>
      <c r="AE102" s="8">
        <f t="shared" si="93"/>
        <v>4829</v>
      </c>
      <c r="AF102" s="11">
        <f t="shared" si="94"/>
        <v>311485</v>
      </c>
      <c r="AG102" s="8">
        <f t="shared" si="95"/>
        <v>13627</v>
      </c>
      <c r="AH102" s="11">
        <f t="shared" si="96"/>
        <v>884186</v>
      </c>
      <c r="AI102" s="8">
        <f t="shared" si="97"/>
        <v>33</v>
      </c>
      <c r="AJ102" s="11">
        <f t="shared" si="98"/>
        <v>2960</v>
      </c>
      <c r="AK102" s="11">
        <f t="shared" si="99"/>
        <v>1133</v>
      </c>
      <c r="AL102" s="11">
        <f t="shared" si="100"/>
        <v>38134</v>
      </c>
      <c r="AM102" s="8">
        <f t="shared" si="102"/>
        <v>437172</v>
      </c>
      <c r="AN102" s="11">
        <f t="shared" si="101"/>
        <v>20317431</v>
      </c>
      <c r="AO102" s="2" t="str">
        <f t="shared" si="103"/>
        <v>CONMEX T6</v>
      </c>
    </row>
    <row r="103" spans="1:43" x14ac:dyDescent="0.25">
      <c r="A103" t="s">
        <v>102</v>
      </c>
      <c r="B103" s="2" t="s">
        <v>10</v>
      </c>
      <c r="C103" s="2">
        <v>2024</v>
      </c>
      <c r="D103" s="1">
        <v>43824</v>
      </c>
      <c r="E103" s="11">
        <v>1518182</v>
      </c>
      <c r="F103" s="1">
        <v>31846</v>
      </c>
      <c r="G103" s="11">
        <v>1176814</v>
      </c>
      <c r="H103" s="1">
        <v>6719</v>
      </c>
      <c r="I103" s="11">
        <v>362174</v>
      </c>
      <c r="J103" s="1">
        <v>328578</v>
      </c>
      <c r="K103" s="11">
        <v>15643671</v>
      </c>
      <c r="L103" s="1">
        <v>4753</v>
      </c>
      <c r="M103" s="11">
        <v>305285</v>
      </c>
      <c r="N103" s="1">
        <v>13412</v>
      </c>
      <c r="O103" s="11">
        <v>866585</v>
      </c>
      <c r="P103" s="1">
        <v>32</v>
      </c>
      <c r="Q103" s="11">
        <v>2901</v>
      </c>
      <c r="R103" s="1">
        <v>1115</v>
      </c>
      <c r="S103" s="11">
        <v>37375</v>
      </c>
      <c r="T103" s="53">
        <f t="shared" ref="T103" si="115">N103+L103+J103+H103+D103+P103+F103+R103</f>
        <v>430279</v>
      </c>
      <c r="U103" s="82">
        <f t="shared" ref="U103" si="116">O103+M103+K103+I103+E103+Q103+G103+S103</f>
        <v>19912987</v>
      </c>
      <c r="V103" s="2" t="s">
        <v>93</v>
      </c>
      <c r="X103" t="str">
        <f t="shared" si="87"/>
        <v>Real</v>
      </c>
      <c r="Y103" s="2" t="str">
        <f t="shared" si="88"/>
        <v>JUNIO</v>
      </c>
      <c r="Z103" s="2">
        <v>2024</v>
      </c>
      <c r="AA103" s="1">
        <f t="shared" si="89"/>
        <v>82389</v>
      </c>
      <c r="AB103" s="11">
        <f t="shared" si="90"/>
        <v>3057170</v>
      </c>
      <c r="AC103" s="1">
        <f t="shared" si="91"/>
        <v>328578</v>
      </c>
      <c r="AD103" s="11">
        <f t="shared" si="92"/>
        <v>15643671</v>
      </c>
      <c r="AE103" s="8">
        <f t="shared" si="93"/>
        <v>4753</v>
      </c>
      <c r="AF103" s="11">
        <f t="shared" si="94"/>
        <v>305285</v>
      </c>
      <c r="AG103" s="8">
        <f t="shared" si="95"/>
        <v>13412</v>
      </c>
      <c r="AH103" s="11">
        <f t="shared" si="96"/>
        <v>866585</v>
      </c>
      <c r="AI103" s="8">
        <f t="shared" si="97"/>
        <v>32</v>
      </c>
      <c r="AJ103" s="11">
        <f t="shared" si="98"/>
        <v>2901</v>
      </c>
      <c r="AK103" s="11">
        <f t="shared" si="99"/>
        <v>1115</v>
      </c>
      <c r="AL103" s="11">
        <f t="shared" si="100"/>
        <v>37375</v>
      </c>
      <c r="AM103" s="8">
        <f t="shared" ref="AM103" si="117">AI103+AG103+AE103+AC103+AA103+AK103</f>
        <v>430279</v>
      </c>
      <c r="AN103" s="11">
        <f t="shared" ref="AN103" si="118">AJ103+AH103+AF103+AD103+AB103+AL103</f>
        <v>19912987</v>
      </c>
      <c r="AO103" s="2" t="str">
        <f t="shared" si="103"/>
        <v>CONMEX T6</v>
      </c>
    </row>
    <row r="104" spans="1:43" x14ac:dyDescent="0.25">
      <c r="A104" t="s">
        <v>101</v>
      </c>
      <c r="B104" s="2" t="s">
        <v>11</v>
      </c>
      <c r="C104" s="2">
        <v>2024</v>
      </c>
      <c r="D104" s="1">
        <v>45284</v>
      </c>
      <c r="E104" s="11">
        <v>1568788</v>
      </c>
      <c r="F104" s="1">
        <v>32908</v>
      </c>
      <c r="G104" s="11">
        <v>1216041</v>
      </c>
      <c r="H104" s="1">
        <v>6943</v>
      </c>
      <c r="I104" s="11">
        <v>374246</v>
      </c>
      <c r="J104" s="1">
        <v>339531</v>
      </c>
      <c r="K104" s="11">
        <v>16165127</v>
      </c>
      <c r="L104" s="1">
        <v>4912</v>
      </c>
      <c r="M104" s="11">
        <v>315461</v>
      </c>
      <c r="N104" s="1">
        <v>13859</v>
      </c>
      <c r="O104" s="11">
        <v>895471</v>
      </c>
      <c r="P104" s="1">
        <v>33</v>
      </c>
      <c r="Q104" s="11">
        <v>2998</v>
      </c>
      <c r="R104" s="1">
        <v>1152</v>
      </c>
      <c r="S104" s="11">
        <v>38621</v>
      </c>
      <c r="T104" s="53">
        <f t="shared" si="104"/>
        <v>444622</v>
      </c>
      <c r="U104" s="54">
        <f t="shared" si="86"/>
        <v>20576753</v>
      </c>
      <c r="V104" s="2" t="s">
        <v>93</v>
      </c>
      <c r="X104" t="str">
        <f t="shared" si="87"/>
        <v>Estimado</v>
      </c>
      <c r="Y104" s="2" t="str">
        <f t="shared" si="88"/>
        <v>JULIO</v>
      </c>
      <c r="Z104" s="2">
        <v>2024</v>
      </c>
      <c r="AA104" s="1">
        <f t="shared" si="89"/>
        <v>85135</v>
      </c>
      <c r="AB104" s="11">
        <f t="shared" si="90"/>
        <v>3159075</v>
      </c>
      <c r="AC104" s="1">
        <f t="shared" si="91"/>
        <v>339531</v>
      </c>
      <c r="AD104" s="11">
        <f t="shared" si="92"/>
        <v>16165127</v>
      </c>
      <c r="AE104" s="8">
        <f t="shared" si="93"/>
        <v>4912</v>
      </c>
      <c r="AF104" s="11">
        <f t="shared" si="94"/>
        <v>315461</v>
      </c>
      <c r="AG104" s="8">
        <f t="shared" si="95"/>
        <v>13859</v>
      </c>
      <c r="AH104" s="11">
        <f t="shared" si="96"/>
        <v>895471</v>
      </c>
      <c r="AI104" s="8">
        <f t="shared" si="97"/>
        <v>33</v>
      </c>
      <c r="AJ104" s="11">
        <f t="shared" si="98"/>
        <v>2998</v>
      </c>
      <c r="AK104" s="11">
        <f t="shared" si="99"/>
        <v>1152</v>
      </c>
      <c r="AL104" s="11">
        <f t="shared" si="100"/>
        <v>38621</v>
      </c>
      <c r="AM104" s="8">
        <f t="shared" ref="AM104:AM107" si="119">AI104+AG104+AE104+AC104+AA104+AK104</f>
        <v>444622</v>
      </c>
      <c r="AN104" s="11">
        <f t="shared" ref="AN104:AN107" si="120">AJ104+AH104+AF104+AD104+AB104+AL104</f>
        <v>20576753</v>
      </c>
      <c r="AO104" s="2" t="str">
        <f t="shared" si="103"/>
        <v>CONMEX T6</v>
      </c>
    </row>
    <row r="105" spans="1:43" x14ac:dyDescent="0.25">
      <c r="A105" t="s">
        <v>102</v>
      </c>
      <c r="B105" s="2" t="s">
        <v>11</v>
      </c>
      <c r="C105" s="2">
        <v>2024</v>
      </c>
      <c r="D105" s="1">
        <v>46039</v>
      </c>
      <c r="E105" s="11">
        <v>1579932</v>
      </c>
      <c r="F105" s="1">
        <v>33456</v>
      </c>
      <c r="G105" s="11">
        <v>1224679</v>
      </c>
      <c r="H105" s="1">
        <v>7058</v>
      </c>
      <c r="I105" s="11">
        <v>376905</v>
      </c>
      <c r="J105" s="1">
        <v>345188</v>
      </c>
      <c r="K105" s="11">
        <v>16279957</v>
      </c>
      <c r="L105" s="1">
        <v>4994</v>
      </c>
      <c r="M105" s="11">
        <v>317702</v>
      </c>
      <c r="N105" s="1">
        <v>14090</v>
      </c>
      <c r="O105" s="11">
        <v>901832</v>
      </c>
      <c r="P105" s="1">
        <v>34</v>
      </c>
      <c r="Q105" s="11">
        <v>3019</v>
      </c>
      <c r="R105" s="1">
        <v>1171</v>
      </c>
      <c r="S105" s="11">
        <v>38895</v>
      </c>
      <c r="T105" s="53">
        <f t="shared" ref="T105" si="121">N105+L105+J105+H105+D105+P105+F105+R105</f>
        <v>452030</v>
      </c>
      <c r="U105" s="82">
        <f t="shared" ref="U105" si="122">O105+M105+K105+I105+E105+Q105+G105+S105</f>
        <v>20722921</v>
      </c>
      <c r="V105" s="2" t="s">
        <v>93</v>
      </c>
      <c r="X105" t="str">
        <f t="shared" si="87"/>
        <v>Real</v>
      </c>
      <c r="Y105" s="2" t="str">
        <f t="shared" si="88"/>
        <v>JULIO</v>
      </c>
      <c r="Z105" s="2">
        <v>2024</v>
      </c>
      <c r="AA105" s="1">
        <f t="shared" si="89"/>
        <v>86553</v>
      </c>
      <c r="AB105" s="11">
        <f t="shared" si="90"/>
        <v>3181516</v>
      </c>
      <c r="AC105" s="1">
        <f t="shared" si="91"/>
        <v>345188</v>
      </c>
      <c r="AD105" s="11">
        <f t="shared" si="92"/>
        <v>16279957</v>
      </c>
      <c r="AE105" s="8">
        <f t="shared" si="93"/>
        <v>4994</v>
      </c>
      <c r="AF105" s="11">
        <f t="shared" si="94"/>
        <v>317702</v>
      </c>
      <c r="AG105" s="8">
        <f t="shared" si="95"/>
        <v>14090</v>
      </c>
      <c r="AH105" s="11">
        <f t="shared" si="96"/>
        <v>901832</v>
      </c>
      <c r="AI105" s="8">
        <f t="shared" si="97"/>
        <v>34</v>
      </c>
      <c r="AJ105" s="11">
        <f t="shared" si="98"/>
        <v>3019</v>
      </c>
      <c r="AK105" s="11">
        <f t="shared" si="99"/>
        <v>1171</v>
      </c>
      <c r="AL105" s="11">
        <f t="shared" si="100"/>
        <v>38895</v>
      </c>
      <c r="AM105" s="8">
        <f t="shared" si="119"/>
        <v>452030</v>
      </c>
      <c r="AN105" s="11">
        <f t="shared" si="120"/>
        <v>20722921</v>
      </c>
      <c r="AO105" s="2" t="str">
        <f t="shared" si="103"/>
        <v>CONMEX T6</v>
      </c>
    </row>
    <row r="106" spans="1:43" x14ac:dyDescent="0.25">
      <c r="A106" t="s">
        <v>101</v>
      </c>
      <c r="B106" s="2" t="s">
        <v>4</v>
      </c>
      <c r="C106" s="2">
        <v>2024</v>
      </c>
      <c r="D106" s="1">
        <v>46039</v>
      </c>
      <c r="E106" s="11">
        <v>1579932</v>
      </c>
      <c r="F106" s="1">
        <v>33456</v>
      </c>
      <c r="G106" s="11">
        <v>1224679</v>
      </c>
      <c r="H106" s="1">
        <v>7058</v>
      </c>
      <c r="I106" s="11">
        <v>376905</v>
      </c>
      <c r="J106" s="1">
        <v>345188</v>
      </c>
      <c r="K106" s="11">
        <v>16279957</v>
      </c>
      <c r="L106" s="1">
        <v>4994</v>
      </c>
      <c r="M106" s="11">
        <v>317702</v>
      </c>
      <c r="N106" s="1">
        <v>14090</v>
      </c>
      <c r="O106" s="11">
        <v>901832</v>
      </c>
      <c r="P106" s="1">
        <v>34</v>
      </c>
      <c r="Q106" s="11">
        <v>3019</v>
      </c>
      <c r="R106" s="1">
        <v>1171</v>
      </c>
      <c r="S106" s="11">
        <v>38895</v>
      </c>
      <c r="T106" s="53">
        <f t="shared" si="104"/>
        <v>452030</v>
      </c>
      <c r="U106" s="54">
        <f t="shared" si="86"/>
        <v>20722921</v>
      </c>
      <c r="V106" s="2" t="s">
        <v>93</v>
      </c>
      <c r="X106" t="str">
        <f t="shared" si="87"/>
        <v>Estimado</v>
      </c>
      <c r="Y106" s="2" t="str">
        <f t="shared" si="88"/>
        <v>AGOSTO</v>
      </c>
      <c r="Z106" s="2">
        <v>2024</v>
      </c>
      <c r="AA106" s="1">
        <f t="shared" si="89"/>
        <v>86553</v>
      </c>
      <c r="AB106" s="11">
        <f t="shared" si="90"/>
        <v>3181516</v>
      </c>
      <c r="AC106" s="1">
        <f t="shared" si="91"/>
        <v>345188</v>
      </c>
      <c r="AD106" s="11">
        <f t="shared" si="92"/>
        <v>16279957</v>
      </c>
      <c r="AE106" s="8">
        <f t="shared" si="93"/>
        <v>4994</v>
      </c>
      <c r="AF106" s="11">
        <f t="shared" si="94"/>
        <v>317702</v>
      </c>
      <c r="AG106" s="8">
        <f t="shared" si="95"/>
        <v>14090</v>
      </c>
      <c r="AH106" s="11">
        <f t="shared" si="96"/>
        <v>901832</v>
      </c>
      <c r="AI106" s="8">
        <f t="shared" si="97"/>
        <v>34</v>
      </c>
      <c r="AJ106" s="11">
        <f t="shared" si="98"/>
        <v>3019</v>
      </c>
      <c r="AK106" s="11">
        <f t="shared" si="99"/>
        <v>1171</v>
      </c>
      <c r="AL106" s="11">
        <f t="shared" si="100"/>
        <v>38895</v>
      </c>
      <c r="AM106" s="8">
        <f t="shared" si="119"/>
        <v>452030</v>
      </c>
      <c r="AN106" s="11">
        <f t="shared" si="120"/>
        <v>20722921</v>
      </c>
      <c r="AO106" s="2" t="str">
        <f t="shared" si="103"/>
        <v>CONMEX T6</v>
      </c>
    </row>
    <row r="107" spans="1:43" x14ac:dyDescent="0.25">
      <c r="A107" t="s">
        <v>102</v>
      </c>
      <c r="B107" s="2" t="s">
        <v>4</v>
      </c>
      <c r="C107" s="2">
        <v>2024</v>
      </c>
      <c r="D107" s="1">
        <v>48299</v>
      </c>
      <c r="E107" s="11">
        <v>1631974</v>
      </c>
      <c r="F107" s="1">
        <v>35098</v>
      </c>
      <c r="G107" s="11">
        <v>1265019</v>
      </c>
      <c r="H107" s="1">
        <v>7404</v>
      </c>
      <c r="I107" s="11">
        <v>389320</v>
      </c>
      <c r="J107" s="1">
        <v>362131</v>
      </c>
      <c r="K107" s="11">
        <v>16816208</v>
      </c>
      <c r="L107" s="1">
        <v>5239</v>
      </c>
      <c r="M107" s="11">
        <v>328167</v>
      </c>
      <c r="N107" s="1">
        <v>14782</v>
      </c>
      <c r="O107" s="11">
        <v>931538</v>
      </c>
      <c r="P107" s="1">
        <v>36</v>
      </c>
      <c r="Q107" s="11">
        <v>3118</v>
      </c>
      <c r="R107" s="1">
        <v>1228</v>
      </c>
      <c r="S107" s="11">
        <v>40176</v>
      </c>
      <c r="T107" s="53">
        <f t="shared" ref="T107" si="123">N107+L107+J107+H107+D107+P107+F107+R107</f>
        <v>474217</v>
      </c>
      <c r="U107" s="82">
        <f t="shared" ref="U107" si="124">O107+M107+K107+I107+E107+Q107+G107+S107</f>
        <v>21405520</v>
      </c>
      <c r="V107" s="2" t="s">
        <v>93</v>
      </c>
      <c r="X107" t="str">
        <f t="shared" si="87"/>
        <v>Real</v>
      </c>
      <c r="Y107" s="2" t="str">
        <f t="shared" si="88"/>
        <v>AGOSTO</v>
      </c>
      <c r="Z107" s="2">
        <v>2024</v>
      </c>
      <c r="AA107" s="1">
        <f t="shared" si="89"/>
        <v>90801</v>
      </c>
      <c r="AB107" s="11">
        <f t="shared" si="90"/>
        <v>3286313</v>
      </c>
      <c r="AC107" s="1">
        <f t="shared" si="91"/>
        <v>362131</v>
      </c>
      <c r="AD107" s="11">
        <f t="shared" si="92"/>
        <v>16816208</v>
      </c>
      <c r="AE107" s="8">
        <f t="shared" si="93"/>
        <v>5239</v>
      </c>
      <c r="AF107" s="11">
        <f t="shared" si="94"/>
        <v>328167</v>
      </c>
      <c r="AG107" s="8">
        <f t="shared" si="95"/>
        <v>14782</v>
      </c>
      <c r="AH107" s="11">
        <f t="shared" si="96"/>
        <v>931538</v>
      </c>
      <c r="AI107" s="8">
        <f t="shared" si="97"/>
        <v>36</v>
      </c>
      <c r="AJ107" s="11">
        <f t="shared" si="98"/>
        <v>3118</v>
      </c>
      <c r="AK107" s="11">
        <f t="shared" si="99"/>
        <v>1228</v>
      </c>
      <c r="AL107" s="11">
        <f t="shared" si="100"/>
        <v>40176</v>
      </c>
      <c r="AM107" s="8">
        <f t="shared" si="119"/>
        <v>474217</v>
      </c>
      <c r="AN107" s="11">
        <f t="shared" si="120"/>
        <v>21405520</v>
      </c>
      <c r="AO107" s="2" t="str">
        <f t="shared" si="103"/>
        <v>CONMEX T6</v>
      </c>
    </row>
    <row r="108" spans="1:43" x14ac:dyDescent="0.25">
      <c r="A108" t="s">
        <v>101</v>
      </c>
      <c r="B108" s="2" t="s">
        <v>28</v>
      </c>
      <c r="C108" s="2">
        <v>2024</v>
      </c>
      <c r="D108" s="1">
        <v>46740</v>
      </c>
      <c r="E108" s="11">
        <v>1579330</v>
      </c>
      <c r="F108" s="1">
        <v>33966</v>
      </c>
      <c r="G108" s="11">
        <v>1224212</v>
      </c>
      <c r="H108" s="1">
        <v>7166</v>
      </c>
      <c r="I108" s="11">
        <v>376761</v>
      </c>
      <c r="J108" s="1">
        <v>350449</v>
      </c>
      <c r="K108" s="11">
        <v>16273750</v>
      </c>
      <c r="L108" s="1">
        <v>5070</v>
      </c>
      <c r="M108" s="11">
        <v>317581</v>
      </c>
      <c r="N108" s="1">
        <v>14305</v>
      </c>
      <c r="O108" s="11">
        <v>901488</v>
      </c>
      <c r="P108" s="1">
        <v>35</v>
      </c>
      <c r="Q108" s="11">
        <v>3017</v>
      </c>
      <c r="R108" s="1">
        <v>1188</v>
      </c>
      <c r="S108" s="11">
        <v>38880</v>
      </c>
      <c r="T108" s="53">
        <f t="shared" si="104"/>
        <v>458919</v>
      </c>
      <c r="U108" s="54">
        <f t="shared" si="86"/>
        <v>20715019</v>
      </c>
      <c r="V108" s="2" t="s">
        <v>93</v>
      </c>
      <c r="X108" t="str">
        <f t="shared" si="87"/>
        <v>Estimado</v>
      </c>
      <c r="Y108" s="2" t="str">
        <f t="shared" si="88"/>
        <v>SEPTIEMBRE</v>
      </c>
      <c r="Z108" s="2">
        <v>2024</v>
      </c>
      <c r="AA108" s="1">
        <f t="shared" si="89"/>
        <v>87872</v>
      </c>
      <c r="AB108" s="11">
        <f t="shared" si="90"/>
        <v>3180303</v>
      </c>
      <c r="AC108" s="1">
        <f t="shared" si="91"/>
        <v>350449</v>
      </c>
      <c r="AD108" s="11">
        <f t="shared" si="92"/>
        <v>16273750</v>
      </c>
      <c r="AE108" s="8">
        <f t="shared" si="93"/>
        <v>5070</v>
      </c>
      <c r="AF108" s="11">
        <f t="shared" si="94"/>
        <v>317581</v>
      </c>
      <c r="AG108" s="8">
        <f t="shared" si="95"/>
        <v>14305</v>
      </c>
      <c r="AH108" s="11">
        <f t="shared" si="96"/>
        <v>901488</v>
      </c>
      <c r="AI108" s="8">
        <f t="shared" si="97"/>
        <v>35</v>
      </c>
      <c r="AJ108" s="11">
        <f t="shared" si="98"/>
        <v>3017</v>
      </c>
      <c r="AK108" s="11">
        <f t="shared" si="99"/>
        <v>1188</v>
      </c>
      <c r="AL108" s="11">
        <f t="shared" si="100"/>
        <v>38880</v>
      </c>
      <c r="AM108" s="8">
        <f t="shared" ref="AM108:AM112" si="125">AI108+AG108+AE108+AC108+AA108+AK108</f>
        <v>458919</v>
      </c>
      <c r="AN108" s="11">
        <f t="shared" ref="AN108:AN112" si="126">AJ108+AH108+AF108+AD108+AB108+AL108</f>
        <v>20715019</v>
      </c>
      <c r="AO108" s="2" t="str">
        <f t="shared" si="103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2024</v>
      </c>
      <c r="D109" s="1">
        <v>46416</v>
      </c>
      <c r="E109" s="11">
        <v>1553839</v>
      </c>
      <c r="F109" s="1">
        <v>33730</v>
      </c>
      <c r="G109" s="11">
        <v>1204453</v>
      </c>
      <c r="H109" s="1">
        <v>7116</v>
      </c>
      <c r="I109" s="11">
        <v>370680</v>
      </c>
      <c r="J109" s="1">
        <v>348017</v>
      </c>
      <c r="K109" s="11">
        <v>16011090</v>
      </c>
      <c r="L109" s="1">
        <v>5035</v>
      </c>
      <c r="M109" s="11">
        <v>312455</v>
      </c>
      <c r="N109" s="1">
        <v>14205</v>
      </c>
      <c r="O109" s="11">
        <v>886938</v>
      </c>
      <c r="P109" s="1">
        <v>34</v>
      </c>
      <c r="Q109" s="11">
        <v>2969</v>
      </c>
      <c r="R109" s="1">
        <v>1181</v>
      </c>
      <c r="S109" s="11">
        <v>38254</v>
      </c>
      <c r="T109" s="53">
        <f t="shared" ref="T109" si="127">N109+L109+J109+H109+D109+P109+F109+R109</f>
        <v>455734</v>
      </c>
      <c r="U109" s="82">
        <f t="shared" ref="U109" si="128">O109+M109+K109+I109+E109+Q109+G109+S109</f>
        <v>20380678</v>
      </c>
      <c r="V109" s="2" t="s">
        <v>93</v>
      </c>
      <c r="X109" t="str">
        <f t="shared" si="87"/>
        <v>Real</v>
      </c>
      <c r="Y109" s="2" t="str">
        <f t="shared" si="88"/>
        <v>SEPTIEMBRE</v>
      </c>
      <c r="Z109" s="2">
        <v>2024</v>
      </c>
      <c r="AA109" s="1">
        <f t="shared" si="89"/>
        <v>87262</v>
      </c>
      <c r="AB109" s="11">
        <f t="shared" si="90"/>
        <v>3128972</v>
      </c>
      <c r="AC109" s="1">
        <f t="shared" si="91"/>
        <v>348017</v>
      </c>
      <c r="AD109" s="11">
        <f t="shared" si="92"/>
        <v>16011090</v>
      </c>
      <c r="AE109" s="8">
        <f t="shared" si="93"/>
        <v>5035</v>
      </c>
      <c r="AF109" s="11">
        <f t="shared" si="94"/>
        <v>312455</v>
      </c>
      <c r="AG109" s="8">
        <f t="shared" si="95"/>
        <v>14205</v>
      </c>
      <c r="AH109" s="11">
        <f t="shared" si="96"/>
        <v>886938</v>
      </c>
      <c r="AI109" s="8">
        <f t="shared" si="97"/>
        <v>34</v>
      </c>
      <c r="AJ109" s="11">
        <f t="shared" si="98"/>
        <v>2969</v>
      </c>
      <c r="AK109" s="11">
        <f t="shared" si="99"/>
        <v>1181</v>
      </c>
      <c r="AL109" s="11">
        <f t="shared" si="100"/>
        <v>38254</v>
      </c>
      <c r="AM109" s="8">
        <f t="shared" si="125"/>
        <v>455734</v>
      </c>
      <c r="AN109" s="11">
        <f t="shared" si="126"/>
        <v>20380678</v>
      </c>
      <c r="AO109" s="2" t="str">
        <f t="shared" si="103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2024</v>
      </c>
      <c r="D110" s="1">
        <v>47964</v>
      </c>
      <c r="E110" s="11">
        <v>1605634</v>
      </c>
      <c r="F110" s="1">
        <v>34855</v>
      </c>
      <c r="G110" s="11">
        <v>1244602</v>
      </c>
      <c r="H110" s="1">
        <v>7352</v>
      </c>
      <c r="I110" s="11">
        <v>383035</v>
      </c>
      <c r="J110" s="1">
        <v>359618</v>
      </c>
      <c r="K110" s="11">
        <v>16544793</v>
      </c>
      <c r="L110" s="1">
        <v>5203</v>
      </c>
      <c r="M110" s="11">
        <v>322870</v>
      </c>
      <c r="N110" s="1">
        <v>14679</v>
      </c>
      <c r="O110" s="11">
        <v>916503</v>
      </c>
      <c r="P110" s="1">
        <v>35</v>
      </c>
      <c r="Q110" s="11">
        <v>3068</v>
      </c>
      <c r="R110" s="1">
        <v>1220</v>
      </c>
      <c r="S110" s="11">
        <v>39529</v>
      </c>
      <c r="T110" s="53">
        <f>N110+L110+J110+H110+D110+P110+F110+R110</f>
        <v>470926</v>
      </c>
      <c r="U110" s="54">
        <f t="shared" si="86"/>
        <v>21060034</v>
      </c>
      <c r="V110" s="2" t="s">
        <v>93</v>
      </c>
      <c r="X110" t="str">
        <f t="shared" si="87"/>
        <v>Estimado</v>
      </c>
      <c r="Y110" s="2" t="str">
        <f t="shared" si="88"/>
        <v>OCTUBRE</v>
      </c>
      <c r="Z110" s="2">
        <v>2024</v>
      </c>
      <c r="AA110" s="1">
        <f t="shared" si="89"/>
        <v>90171</v>
      </c>
      <c r="AB110" s="11">
        <f t="shared" si="90"/>
        <v>3233271</v>
      </c>
      <c r="AC110" s="1">
        <f t="shared" si="91"/>
        <v>359618</v>
      </c>
      <c r="AD110" s="11">
        <f t="shared" si="92"/>
        <v>16544793</v>
      </c>
      <c r="AE110" s="8">
        <f t="shared" si="93"/>
        <v>5203</v>
      </c>
      <c r="AF110" s="11">
        <f t="shared" si="94"/>
        <v>322870</v>
      </c>
      <c r="AG110" s="8">
        <f t="shared" si="95"/>
        <v>14679</v>
      </c>
      <c r="AH110" s="11">
        <f t="shared" si="96"/>
        <v>916503</v>
      </c>
      <c r="AI110" s="8">
        <f t="shared" si="97"/>
        <v>35</v>
      </c>
      <c r="AJ110" s="11">
        <f t="shared" si="98"/>
        <v>3068</v>
      </c>
      <c r="AK110" s="11">
        <f t="shared" si="99"/>
        <v>1220</v>
      </c>
      <c r="AL110" s="11">
        <f t="shared" si="100"/>
        <v>39529</v>
      </c>
      <c r="AM110" s="8">
        <f t="shared" si="125"/>
        <v>470926</v>
      </c>
      <c r="AN110" s="11">
        <f t="shared" si="126"/>
        <v>21060034</v>
      </c>
      <c r="AO110" s="2" t="str">
        <f t="shared" si="103"/>
        <v>CONMEX T6</v>
      </c>
    </row>
    <row r="111" spans="1:43" x14ac:dyDescent="0.25">
      <c r="A111" t="s">
        <v>102</v>
      </c>
      <c r="B111" s="2" t="s">
        <v>29</v>
      </c>
      <c r="C111" s="2">
        <v>2024</v>
      </c>
      <c r="D111" s="1">
        <v>49343</v>
      </c>
      <c r="E111" s="11">
        <v>1656407</v>
      </c>
      <c r="F111" s="1">
        <v>35857</v>
      </c>
      <c r="G111" s="11">
        <v>1283958</v>
      </c>
      <c r="H111" s="1">
        <v>7563</v>
      </c>
      <c r="I111" s="11">
        <v>395148</v>
      </c>
      <c r="J111" s="1">
        <v>369957</v>
      </c>
      <c r="K111" s="11">
        <v>17067967</v>
      </c>
      <c r="L111" s="1">
        <v>5352</v>
      </c>
      <c r="M111" s="11">
        <v>333080</v>
      </c>
      <c r="N111" s="1">
        <v>15101</v>
      </c>
      <c r="O111" s="11">
        <v>945484</v>
      </c>
      <c r="P111" s="1">
        <v>36</v>
      </c>
      <c r="Q111" s="11">
        <v>3165</v>
      </c>
      <c r="R111" s="1">
        <v>1255</v>
      </c>
      <c r="S111" s="11">
        <v>40779</v>
      </c>
      <c r="T111" s="53">
        <f>N111+L111+J111+H111+D111+P111+F111+R111</f>
        <v>484464</v>
      </c>
      <c r="U111" s="82">
        <f t="shared" ref="U111" si="129">O111+M111+K111+I111+E111+Q111+G111+S111</f>
        <v>21725988</v>
      </c>
      <c r="V111" s="2" t="s">
        <v>93</v>
      </c>
      <c r="X111" t="str">
        <f t="shared" si="87"/>
        <v>Real</v>
      </c>
      <c r="Y111" s="2" t="str">
        <f t="shared" si="88"/>
        <v>OCTUBRE</v>
      </c>
      <c r="Z111" s="2">
        <v>2024</v>
      </c>
      <c r="AA111" s="1">
        <f t="shared" si="89"/>
        <v>92763</v>
      </c>
      <c r="AB111" s="11">
        <f t="shared" si="90"/>
        <v>3335513</v>
      </c>
      <c r="AC111" s="1">
        <f t="shared" si="91"/>
        <v>369957</v>
      </c>
      <c r="AD111" s="11">
        <f t="shared" si="92"/>
        <v>17067967</v>
      </c>
      <c r="AE111" s="8">
        <f t="shared" si="93"/>
        <v>5352</v>
      </c>
      <c r="AF111" s="11">
        <f t="shared" si="94"/>
        <v>333080</v>
      </c>
      <c r="AG111" s="8">
        <f t="shared" si="95"/>
        <v>15101</v>
      </c>
      <c r="AH111" s="11">
        <f t="shared" si="96"/>
        <v>945484</v>
      </c>
      <c r="AI111" s="8">
        <f t="shared" si="97"/>
        <v>36</v>
      </c>
      <c r="AJ111" s="11">
        <f t="shared" si="98"/>
        <v>3165</v>
      </c>
      <c r="AK111" s="11">
        <f t="shared" si="99"/>
        <v>1255</v>
      </c>
      <c r="AL111" s="11">
        <f t="shared" si="100"/>
        <v>40779</v>
      </c>
      <c r="AM111" s="8">
        <f t="shared" ref="AM111" si="130">AI111+AG111+AE111+AC111+AA111+AK111</f>
        <v>484464</v>
      </c>
      <c r="AN111" s="11">
        <f t="shared" ref="AN111" si="131">AJ111+AH111+AF111+AD111+AB111+AL111</f>
        <v>21725988</v>
      </c>
      <c r="AO111" s="2" t="str">
        <f t="shared" si="103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2024</v>
      </c>
      <c r="D112" s="1">
        <v>47751</v>
      </c>
      <c r="E112" s="11">
        <v>1602974</v>
      </c>
      <c r="F112" s="1">
        <v>34700</v>
      </c>
      <c r="G112" s="11">
        <v>1242540</v>
      </c>
      <c r="H112" s="1">
        <v>7320</v>
      </c>
      <c r="I112" s="11">
        <v>382402</v>
      </c>
      <c r="J112" s="1">
        <v>358022</v>
      </c>
      <c r="K112" s="11">
        <v>16517389</v>
      </c>
      <c r="L112" s="1">
        <v>5180</v>
      </c>
      <c r="M112" s="11">
        <v>322335</v>
      </c>
      <c r="N112" s="1">
        <v>14614</v>
      </c>
      <c r="O112" s="11">
        <v>914985</v>
      </c>
      <c r="P112" s="1">
        <v>35</v>
      </c>
      <c r="Q112" s="11">
        <v>3063</v>
      </c>
      <c r="R112" s="1">
        <v>1215</v>
      </c>
      <c r="S112" s="11">
        <v>39462</v>
      </c>
      <c r="T112" s="53">
        <f t="shared" ref="T112" si="132">N112+L112+J112+H112+D112+P112+F112+R112</f>
        <v>468837</v>
      </c>
      <c r="U112" s="54">
        <f t="shared" si="86"/>
        <v>21025150</v>
      </c>
      <c r="V112" s="2" t="s">
        <v>93</v>
      </c>
      <c r="X112" t="str">
        <f t="shared" si="87"/>
        <v>Estimado</v>
      </c>
      <c r="Y112" s="2" t="str">
        <f t="shared" si="88"/>
        <v>NOVIEMBRE</v>
      </c>
      <c r="Z112" s="2">
        <v>2024</v>
      </c>
      <c r="AA112" s="1">
        <f t="shared" si="89"/>
        <v>89771</v>
      </c>
      <c r="AB112" s="11">
        <f t="shared" si="90"/>
        <v>3227916</v>
      </c>
      <c r="AC112" s="1">
        <f t="shared" si="91"/>
        <v>358022</v>
      </c>
      <c r="AD112" s="11">
        <f t="shared" si="92"/>
        <v>16517389</v>
      </c>
      <c r="AE112" s="8">
        <f t="shared" si="93"/>
        <v>5180</v>
      </c>
      <c r="AF112" s="11">
        <f t="shared" si="94"/>
        <v>322335</v>
      </c>
      <c r="AG112" s="8">
        <f t="shared" si="95"/>
        <v>14614</v>
      </c>
      <c r="AH112" s="11">
        <f t="shared" si="96"/>
        <v>914985</v>
      </c>
      <c r="AI112" s="8">
        <f t="shared" si="97"/>
        <v>35</v>
      </c>
      <c r="AJ112" s="11">
        <f t="shared" si="98"/>
        <v>3063</v>
      </c>
      <c r="AK112" s="11">
        <f t="shared" si="99"/>
        <v>1215</v>
      </c>
      <c r="AL112" s="11">
        <f t="shared" si="100"/>
        <v>39462</v>
      </c>
      <c r="AM112" s="79">
        <f t="shared" si="125"/>
        <v>468837</v>
      </c>
      <c r="AN112" s="80">
        <f t="shared" si="126"/>
        <v>21025150</v>
      </c>
      <c r="AO112" s="2" t="str">
        <f t="shared" si="103"/>
        <v>CONMEX T6</v>
      </c>
    </row>
    <row r="113" spans="1:43" x14ac:dyDescent="0.25">
      <c r="A113" t="s">
        <v>102</v>
      </c>
      <c r="B113" s="2" t="s">
        <v>30</v>
      </c>
      <c r="C113" s="2">
        <v>2024</v>
      </c>
      <c r="D113" s="1">
        <v>48111</v>
      </c>
      <c r="E113" s="11">
        <v>1614310</v>
      </c>
      <c r="F113" s="1">
        <v>34962</v>
      </c>
      <c r="G113" s="11">
        <v>1251327</v>
      </c>
      <c r="H113" s="1">
        <v>7376</v>
      </c>
      <c r="I113" s="11">
        <v>385106</v>
      </c>
      <c r="J113" s="1">
        <v>360723</v>
      </c>
      <c r="K113" s="11">
        <v>16634198</v>
      </c>
      <c r="L113" s="1">
        <v>5219</v>
      </c>
      <c r="M113" s="11">
        <v>324615</v>
      </c>
      <c r="N113" s="1">
        <v>14724</v>
      </c>
      <c r="O113" s="11">
        <v>921455</v>
      </c>
      <c r="P113" s="1">
        <v>36</v>
      </c>
      <c r="Q113" s="11">
        <v>3085</v>
      </c>
      <c r="R113" s="1">
        <v>1224</v>
      </c>
      <c r="S113" s="11">
        <v>39741</v>
      </c>
      <c r="T113" s="53">
        <f t="shared" ref="T113" si="133">N113+L113+J113+H113+D113+P113+F113+R113</f>
        <v>472375</v>
      </c>
      <c r="U113" s="82">
        <f t="shared" ref="U113" si="134">O113+M113+K113+I113+E113+Q113+G113+S113</f>
        <v>21173837</v>
      </c>
      <c r="V113" s="2" t="s">
        <v>93</v>
      </c>
      <c r="X113" t="str">
        <f t="shared" si="87"/>
        <v>Real</v>
      </c>
      <c r="Y113" s="2" t="str">
        <f t="shared" si="88"/>
        <v>NOVIEMBRE</v>
      </c>
      <c r="Z113" s="2">
        <v>2024</v>
      </c>
      <c r="AA113" s="1">
        <f t="shared" si="89"/>
        <v>90449</v>
      </c>
      <c r="AB113" s="11">
        <f t="shared" si="90"/>
        <v>3250743</v>
      </c>
      <c r="AC113" s="1">
        <f t="shared" si="91"/>
        <v>360723</v>
      </c>
      <c r="AD113" s="11">
        <f t="shared" si="92"/>
        <v>16634198</v>
      </c>
      <c r="AE113" s="8">
        <f t="shared" si="93"/>
        <v>5219</v>
      </c>
      <c r="AF113" s="11">
        <f t="shared" si="94"/>
        <v>324615</v>
      </c>
      <c r="AG113" s="8">
        <f t="shared" si="95"/>
        <v>14724</v>
      </c>
      <c r="AH113" s="11">
        <f t="shared" si="96"/>
        <v>921455</v>
      </c>
      <c r="AI113" s="8">
        <f t="shared" si="97"/>
        <v>36</v>
      </c>
      <c r="AJ113" s="11">
        <f t="shared" si="98"/>
        <v>3085</v>
      </c>
      <c r="AK113" s="11">
        <f t="shared" si="99"/>
        <v>1224</v>
      </c>
      <c r="AL113" s="11">
        <f t="shared" si="100"/>
        <v>39741</v>
      </c>
      <c r="AM113" s="79">
        <f t="shared" ref="AM113" si="135">AI113+AG113+AE113+AC113+AA113+AK113</f>
        <v>472375</v>
      </c>
      <c r="AN113" s="80">
        <f t="shared" ref="AN113" si="136">AJ113+AH113+AF113+AD113+AB113+AL113</f>
        <v>21173837</v>
      </c>
      <c r="AO113" s="2" t="str">
        <f t="shared" si="103"/>
        <v>CONMEX T6</v>
      </c>
    </row>
    <row r="114" spans="1:43" x14ac:dyDescent="0.25">
      <c r="A114" t="s">
        <v>101</v>
      </c>
      <c r="B114" s="2" t="s">
        <v>31</v>
      </c>
      <c r="C114" s="2">
        <v>2024</v>
      </c>
      <c r="D114" s="1">
        <v>49715</v>
      </c>
      <c r="E114" s="11">
        <v>1668121</v>
      </c>
      <c r="F114" s="1">
        <v>36127</v>
      </c>
      <c r="G114" s="11">
        <v>1293038</v>
      </c>
      <c r="H114" s="1">
        <v>7622</v>
      </c>
      <c r="I114" s="11">
        <v>397943</v>
      </c>
      <c r="J114" s="1">
        <v>372748</v>
      </c>
      <c r="K114" s="11">
        <v>17188672</v>
      </c>
      <c r="L114" s="1">
        <v>5393</v>
      </c>
      <c r="M114" s="11">
        <v>335435</v>
      </c>
      <c r="N114" s="1">
        <v>15215</v>
      </c>
      <c r="O114" s="11">
        <v>952170</v>
      </c>
      <c r="P114" s="1">
        <v>37</v>
      </c>
      <c r="Q114" s="11">
        <v>3188</v>
      </c>
      <c r="R114" s="1">
        <v>1264</v>
      </c>
      <c r="S114" s="11">
        <v>41066</v>
      </c>
      <c r="T114" s="53">
        <f t="shared" ref="T114" si="137">N114+L114+J114+H114+D114+P114+F114+R114</f>
        <v>488121</v>
      </c>
      <c r="U114" s="54">
        <f t="shared" ref="U114" si="138">O114+M114+K114+I114+E114+Q114+G114+S114</f>
        <v>21879633</v>
      </c>
      <c r="V114" s="2" t="s">
        <v>93</v>
      </c>
      <c r="X114" t="str">
        <f t="shared" si="87"/>
        <v>Estimado</v>
      </c>
      <c r="Y114" s="2" t="str">
        <f t="shared" si="88"/>
        <v>DICIEMBRE</v>
      </c>
      <c r="Z114" s="2">
        <v>2024</v>
      </c>
      <c r="AA114" s="1">
        <f t="shared" si="89"/>
        <v>93464</v>
      </c>
      <c r="AB114" s="11">
        <f t="shared" si="90"/>
        <v>3359102</v>
      </c>
      <c r="AC114" s="1">
        <f t="shared" si="91"/>
        <v>372748</v>
      </c>
      <c r="AD114" s="11">
        <f t="shared" si="92"/>
        <v>17188672</v>
      </c>
      <c r="AE114" s="8">
        <f t="shared" si="93"/>
        <v>5393</v>
      </c>
      <c r="AF114" s="11">
        <f t="shared" si="94"/>
        <v>335435</v>
      </c>
      <c r="AG114" s="8">
        <f t="shared" si="95"/>
        <v>15215</v>
      </c>
      <c r="AH114" s="11">
        <f t="shared" si="96"/>
        <v>952170</v>
      </c>
      <c r="AI114" s="8">
        <f t="shared" si="97"/>
        <v>37</v>
      </c>
      <c r="AJ114" s="11">
        <f t="shared" si="98"/>
        <v>3188</v>
      </c>
      <c r="AK114" s="11">
        <f t="shared" si="99"/>
        <v>1264</v>
      </c>
      <c r="AL114" s="11">
        <f t="shared" si="100"/>
        <v>41066</v>
      </c>
      <c r="AM114" s="8">
        <f t="shared" ref="AM114" si="139">AI114+AG114+AE114+AC114+AA114+AK114</f>
        <v>488121</v>
      </c>
      <c r="AN114" s="11">
        <f t="shared" ref="AN114" si="140">AJ114+AH114+AF114+AD114+AB114+AL114</f>
        <v>21879633</v>
      </c>
      <c r="AO114" s="2" t="str">
        <f t="shared" si="103"/>
        <v>CONMEX T6</v>
      </c>
    </row>
    <row r="115" spans="1:43" x14ac:dyDescent="0.25">
      <c r="A115" t="s">
        <v>102</v>
      </c>
      <c r="B115" s="2" t="s">
        <v>31</v>
      </c>
      <c r="C115" s="2">
        <v>2024</v>
      </c>
      <c r="D115" s="1">
        <f>ROUND($D$119*D120,0)</f>
        <v>47310</v>
      </c>
      <c r="E115" s="11">
        <f>ROUND($E$119*E120,0)</f>
        <v>1582570</v>
      </c>
      <c r="F115" s="1">
        <f>ROUND($D$119*F120,0)</f>
        <v>34380</v>
      </c>
      <c r="G115" s="11">
        <f>ROUND($E$119*G120,0)</f>
        <v>1226724</v>
      </c>
      <c r="H115" s="1">
        <f>ROUND($D$119*H120,0)</f>
        <v>7253</v>
      </c>
      <c r="I115" s="11">
        <f>ROUND($E$119*I120,0)</f>
        <v>377534</v>
      </c>
      <c r="J115" s="1">
        <f>ROUND($D$119*J120,0)</f>
        <v>354717</v>
      </c>
      <c r="K115" s="11">
        <f>ROUND($E$119*K120,0)+1</f>
        <v>16307141</v>
      </c>
      <c r="L115" s="1">
        <f>ROUND($D$119*L120,0)</f>
        <v>5132</v>
      </c>
      <c r="M115" s="11">
        <f>ROUND($E$119*M120,0)</f>
        <v>318232</v>
      </c>
      <c r="N115" s="1">
        <f>ROUND($D$119*N120,0)</f>
        <v>14479</v>
      </c>
      <c r="O115" s="11">
        <f>ROUND($E$119*O120,0)</f>
        <v>903338</v>
      </c>
      <c r="P115" s="1">
        <f>ROUND($D$119*P120,0)</f>
        <v>35</v>
      </c>
      <c r="Q115" s="11">
        <f>ROUND($E$119*Q120,0)</f>
        <v>3024</v>
      </c>
      <c r="R115" s="1">
        <f>ROUND($D$119*R120,0)</f>
        <v>1203</v>
      </c>
      <c r="S115" s="11">
        <f>ROUND($E$119*S120,0)</f>
        <v>38960</v>
      </c>
      <c r="T115" s="53">
        <f t="shared" ref="T115" si="141">N115+L115+J115+H115+D115+P115+F115+R115</f>
        <v>464509</v>
      </c>
      <c r="U115" s="54">
        <f t="shared" ref="U115" si="142">O115+M115+K115+I115+E115+Q115+G115+S115</f>
        <v>20757523</v>
      </c>
      <c r="V115" s="2" t="s">
        <v>93</v>
      </c>
      <c r="X115" t="str">
        <f t="shared" si="87"/>
        <v>Real</v>
      </c>
      <c r="Y115" s="2" t="str">
        <f t="shared" si="88"/>
        <v>DICIEMBRE</v>
      </c>
      <c r="Z115" s="2">
        <v>2024</v>
      </c>
      <c r="AA115" s="1">
        <f t="shared" si="89"/>
        <v>88943</v>
      </c>
      <c r="AB115" s="11">
        <f t="shared" si="90"/>
        <v>3186828</v>
      </c>
      <c r="AC115" s="1">
        <f t="shared" si="91"/>
        <v>354717</v>
      </c>
      <c r="AD115" s="11">
        <f t="shared" si="92"/>
        <v>16307141</v>
      </c>
      <c r="AE115" s="8">
        <f t="shared" si="93"/>
        <v>5132</v>
      </c>
      <c r="AF115" s="11">
        <f t="shared" si="94"/>
        <v>318232</v>
      </c>
      <c r="AG115" s="8">
        <f t="shared" si="95"/>
        <v>14479</v>
      </c>
      <c r="AH115" s="11">
        <f t="shared" si="96"/>
        <v>903338</v>
      </c>
      <c r="AI115" s="8">
        <f t="shared" si="97"/>
        <v>35</v>
      </c>
      <c r="AJ115" s="11">
        <f t="shared" si="98"/>
        <v>3024</v>
      </c>
      <c r="AK115" s="11">
        <f t="shared" si="99"/>
        <v>1203</v>
      </c>
      <c r="AL115" s="11">
        <f t="shared" si="100"/>
        <v>38960</v>
      </c>
      <c r="AM115" s="8">
        <f t="shared" ref="AM115" si="143">AI115+AG115+AE115+AC115+AA115+AK115</f>
        <v>464509</v>
      </c>
      <c r="AN115" s="11">
        <f t="shared" ref="AN115" si="144">AJ115+AH115+AF115+AD115+AB115+AL115</f>
        <v>20757523</v>
      </c>
      <c r="AO115" s="2" t="str">
        <f t="shared" si="103"/>
        <v>CONMEX T6</v>
      </c>
    </row>
    <row r="117" spans="1:43" x14ac:dyDescent="0.25">
      <c r="B117" s="3" t="s">
        <v>12</v>
      </c>
      <c r="C117" s="3"/>
      <c r="D117" s="4">
        <f t="shared" ref="D117:U117" si="145">SUM(D92:D116)</f>
        <v>1088689</v>
      </c>
      <c r="E117" s="12">
        <f t="shared" si="145"/>
        <v>36878190</v>
      </c>
      <c r="F117" s="4">
        <f t="shared" si="145"/>
        <v>783150</v>
      </c>
      <c r="G117" s="12">
        <f t="shared" si="145"/>
        <v>28249850</v>
      </c>
      <c r="H117" s="4">
        <f t="shared" si="145"/>
        <v>166448</v>
      </c>
      <c r="I117" s="12">
        <f t="shared" si="145"/>
        <v>8878429</v>
      </c>
      <c r="J117" s="4">
        <f t="shared" si="145"/>
        <v>8123125</v>
      </c>
      <c r="K117" s="12">
        <f t="shared" si="145"/>
        <v>377891780</v>
      </c>
      <c r="L117" s="4">
        <f t="shared" si="145"/>
        <v>114801</v>
      </c>
      <c r="M117" s="12">
        <f t="shared" si="145"/>
        <v>7259552</v>
      </c>
      <c r="N117" s="4">
        <f t="shared" si="145"/>
        <v>336534</v>
      </c>
      <c r="O117" s="12">
        <f t="shared" si="145"/>
        <v>21521270</v>
      </c>
      <c r="P117" s="4">
        <f t="shared" si="145"/>
        <v>858</v>
      </c>
      <c r="Q117" s="12">
        <f t="shared" si="145"/>
        <v>79043</v>
      </c>
      <c r="R117" s="4">
        <f t="shared" si="145"/>
        <v>25122</v>
      </c>
      <c r="S117" s="12">
        <f t="shared" si="145"/>
        <v>821027</v>
      </c>
      <c r="T117" s="4">
        <f t="shared" si="145"/>
        <v>10638727</v>
      </c>
      <c r="U117" s="12">
        <f t="shared" si="145"/>
        <v>481579141</v>
      </c>
      <c r="V117" s="2" t="s">
        <v>120</v>
      </c>
      <c r="Y117" s="3" t="s">
        <v>12</v>
      </c>
      <c r="Z117" s="3"/>
      <c r="AA117" s="4">
        <f t="shared" ref="AA117:AN117" si="146">SUM(AA92:AA115)</f>
        <v>2038287</v>
      </c>
      <c r="AB117" s="12">
        <f t="shared" si="146"/>
        <v>74006469</v>
      </c>
      <c r="AC117" s="4">
        <f t="shared" si="146"/>
        <v>8123125</v>
      </c>
      <c r="AD117" s="12">
        <f t="shared" si="146"/>
        <v>377891780</v>
      </c>
      <c r="AE117" s="4">
        <f t="shared" si="146"/>
        <v>114801</v>
      </c>
      <c r="AF117" s="12">
        <f t="shared" si="146"/>
        <v>7259552</v>
      </c>
      <c r="AG117" s="4">
        <f t="shared" si="146"/>
        <v>336534</v>
      </c>
      <c r="AH117" s="12">
        <f t="shared" si="146"/>
        <v>21521270</v>
      </c>
      <c r="AI117" s="4">
        <f t="shared" si="146"/>
        <v>858</v>
      </c>
      <c r="AJ117" s="12">
        <f t="shared" si="146"/>
        <v>79043</v>
      </c>
      <c r="AK117" s="4">
        <f t="shared" si="146"/>
        <v>25122</v>
      </c>
      <c r="AL117" s="12">
        <f t="shared" si="146"/>
        <v>821027</v>
      </c>
      <c r="AM117" s="4">
        <f t="shared" si="146"/>
        <v>10638727</v>
      </c>
      <c r="AN117" s="12">
        <f t="shared" si="146"/>
        <v>481579141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3484</v>
      </c>
      <c r="M118" s="60">
        <f>AVERAGE(M93:M94)</f>
        <v>215405</v>
      </c>
      <c r="T118" s="15">
        <f>AVERAGE(T93:T94)</f>
        <v>400452</v>
      </c>
      <c r="U118" s="28">
        <f>AVERAGE(U93:U94)</f>
        <v>17396655.5</v>
      </c>
    </row>
    <row r="119" spans="1:43" x14ac:dyDescent="0.25">
      <c r="A119" s="67" t="s">
        <v>14</v>
      </c>
      <c r="D119" s="15">
        <v>464509</v>
      </c>
      <c r="E119" s="9">
        <v>20757523</v>
      </c>
      <c r="J119" s="46" t="str">
        <f>+$A$66</f>
        <v>Aforo e Ingreso - CONMEX</v>
      </c>
      <c r="K119" s="9" t="s">
        <v>85</v>
      </c>
      <c r="L119" s="26">
        <f>+L118/$L$371</f>
        <v>2.7041396466145864E-2</v>
      </c>
      <c r="M119" s="36">
        <f>+M118/$M$371</f>
        <v>1.0572041457737999E-2</v>
      </c>
      <c r="N119" s="18"/>
      <c r="O119" s="19"/>
      <c r="P119" s="19"/>
      <c r="Q119" s="19"/>
      <c r="R119" s="19"/>
      <c r="S119" s="19"/>
      <c r="T119" s="36">
        <f>+L118/T118</f>
        <v>8.700168809245552E-3</v>
      </c>
      <c r="U119" s="62">
        <f>+M118/U118</f>
        <v>1.2381977673812073E-2</v>
      </c>
    </row>
    <row r="120" spans="1:43" x14ac:dyDescent="0.25">
      <c r="A120" s="67" t="s">
        <v>32</v>
      </c>
      <c r="D120" s="26">
        <f>D105/$T$105</f>
        <v>0.1018494347720284</v>
      </c>
      <c r="E120" s="26">
        <f>+E105/$U$105</f>
        <v>7.6240796362636323E-2</v>
      </c>
      <c r="F120" s="26">
        <f>F105/$T$105</f>
        <v>7.4012786761940577E-2</v>
      </c>
      <c r="G120" s="26">
        <f>+G105/$U$105</f>
        <v>5.9097798037255463E-2</v>
      </c>
      <c r="H120" s="26">
        <f>H105/$T$105</f>
        <v>1.5614007919828331E-2</v>
      </c>
      <c r="I120" s="26">
        <f>+I105/$U$105</f>
        <v>1.8187831725073891E-2</v>
      </c>
      <c r="J120" s="26">
        <f>J105/$T$105</f>
        <v>0.76363958144370947</v>
      </c>
      <c r="K120" s="26">
        <f>+K105/$U$105</f>
        <v>0.78560146033467004</v>
      </c>
      <c r="L120" s="26">
        <f>L105/$T$105</f>
        <v>1.1047939296064421E-2</v>
      </c>
      <c r="M120" s="26">
        <f>+M105/$U$105</f>
        <v>1.533094682935866E-2</v>
      </c>
      <c r="N120" s="26">
        <f>N105/$T$105</f>
        <v>3.1170497533349557E-2</v>
      </c>
      <c r="O120" s="26">
        <f>+O105/$U$105</f>
        <v>4.3518575397744362E-2</v>
      </c>
      <c r="P120" s="26">
        <f>P105/$T$105</f>
        <v>7.5216246709289207E-5</v>
      </c>
      <c r="Q120" s="26">
        <f>+Q105/$U$105</f>
        <v>1.4568409540334588E-4</v>
      </c>
      <c r="R120" s="26">
        <f>R105/$T$105</f>
        <v>2.590536026369931E-3</v>
      </c>
      <c r="S120" s="26">
        <f>+S105/$U$105</f>
        <v>1.8769072178579458E-3</v>
      </c>
      <c r="T120" s="26">
        <f>R120+P120+N120+L120+J120+H120+F120+D120</f>
        <v>1</v>
      </c>
      <c r="U120" s="26">
        <f>S120+Q120+O120+M120+K120+I120+G120+E120</f>
        <v>1</v>
      </c>
    </row>
    <row r="121" spans="1:43" x14ac:dyDescent="0.25">
      <c r="B121" s="5"/>
    </row>
    <row r="122" spans="1:43" x14ac:dyDescent="0.25">
      <c r="D122" s="89" t="s">
        <v>15</v>
      </c>
      <c r="E122" s="90"/>
      <c r="F122" s="89" t="s">
        <v>71</v>
      </c>
      <c r="G122" s="90"/>
      <c r="H122" s="89" t="s">
        <v>16</v>
      </c>
      <c r="I122" s="90"/>
      <c r="J122" s="89" t="s">
        <v>17</v>
      </c>
      <c r="K122" s="93"/>
      <c r="L122" s="89" t="s">
        <v>18</v>
      </c>
      <c r="M122" s="93"/>
      <c r="N122" s="89" t="s">
        <v>13</v>
      </c>
      <c r="O122" s="93"/>
      <c r="P122" s="89" t="s">
        <v>34</v>
      </c>
      <c r="Q122" s="93"/>
      <c r="R122" s="89" t="s">
        <v>87</v>
      </c>
      <c r="S122" s="93"/>
      <c r="T122" s="89" t="s">
        <v>12</v>
      </c>
      <c r="U122" s="93"/>
      <c r="AA122" s="89" t="s">
        <v>69</v>
      </c>
      <c r="AB122" s="90"/>
      <c r="AC122" s="89" t="s">
        <v>17</v>
      </c>
      <c r="AD122" s="93"/>
      <c r="AE122" s="89" t="s">
        <v>18</v>
      </c>
      <c r="AF122" s="93"/>
      <c r="AG122" s="89" t="s">
        <v>13</v>
      </c>
      <c r="AH122" s="93"/>
      <c r="AI122" s="89" t="s">
        <v>34</v>
      </c>
      <c r="AJ122" s="93"/>
      <c r="AK122" s="89" t="s">
        <v>87</v>
      </c>
      <c r="AL122" s="93"/>
      <c r="AM122" s="89" t="s">
        <v>12</v>
      </c>
      <c r="AN122" s="93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2024</v>
      </c>
      <c r="D125" s="1">
        <v>15832</v>
      </c>
      <c r="E125" s="11">
        <v>2027246</v>
      </c>
      <c r="F125" s="1">
        <v>7720</v>
      </c>
      <c r="G125" s="11">
        <v>1619431</v>
      </c>
      <c r="H125" s="1">
        <v>3046</v>
      </c>
      <c r="I125" s="11">
        <v>588471</v>
      </c>
      <c r="J125" s="1">
        <v>238878</v>
      </c>
      <c r="K125" s="11">
        <v>49886088</v>
      </c>
      <c r="L125" s="8">
        <v>6200</v>
      </c>
      <c r="M125" s="11">
        <v>1563640</v>
      </c>
      <c r="N125" s="8">
        <v>12451</v>
      </c>
      <c r="O125" s="11">
        <v>2293024</v>
      </c>
      <c r="P125" s="8">
        <v>1</v>
      </c>
      <c r="Q125" s="11">
        <v>74</v>
      </c>
      <c r="R125" s="8">
        <v>200</v>
      </c>
      <c r="S125" s="11">
        <v>21532</v>
      </c>
      <c r="T125" s="53">
        <f>N125+L125+J125+H125+D125+P125+F125+R125</f>
        <v>284328</v>
      </c>
      <c r="U125" s="54">
        <f t="shared" ref="U125:U136" si="147">O125+M125+K125+I125+E125+Q125+G125+S125</f>
        <v>57999506</v>
      </c>
      <c r="V125" s="2" t="s">
        <v>60</v>
      </c>
      <c r="X125" s="13"/>
      <c r="Y125" s="2" t="s">
        <v>5</v>
      </c>
      <c r="Z125" s="2">
        <v>2024</v>
      </c>
      <c r="AA125" s="1">
        <f t="shared" ref="AA125:AA136" si="148">D125+H125+F125</f>
        <v>26598</v>
      </c>
      <c r="AB125" s="11">
        <f t="shared" ref="AB125:AB136" si="149">E125+I125+G125</f>
        <v>4235148</v>
      </c>
      <c r="AC125" s="1">
        <f t="shared" ref="AC125:AC136" si="150">+J125</f>
        <v>238878</v>
      </c>
      <c r="AD125" s="11">
        <f t="shared" ref="AD125:AD136" si="151">+K125</f>
        <v>49886088</v>
      </c>
      <c r="AE125" s="8">
        <f t="shared" ref="AE125:AE136" si="152">+L125</f>
        <v>6200</v>
      </c>
      <c r="AF125" s="11">
        <f t="shared" ref="AF125:AF136" si="153">+M125</f>
        <v>1563640</v>
      </c>
      <c r="AG125" s="8">
        <f t="shared" ref="AG125:AG136" si="154">+N125</f>
        <v>12451</v>
      </c>
      <c r="AH125" s="11">
        <f t="shared" ref="AH125:AH136" si="155">+O125</f>
        <v>2293024</v>
      </c>
      <c r="AI125" s="8">
        <f t="shared" ref="AI125:AI136" si="156">+P125</f>
        <v>1</v>
      </c>
      <c r="AJ125" s="11">
        <f t="shared" ref="AJ125:AJ136" si="157">+Q125</f>
        <v>74</v>
      </c>
      <c r="AK125" s="11">
        <f t="shared" ref="AK125:AK136" si="158">+R125</f>
        <v>200</v>
      </c>
      <c r="AL125" s="11">
        <f t="shared" ref="AL125:AL136" si="159">+S125</f>
        <v>21532</v>
      </c>
      <c r="AM125" s="8">
        <f>AI125+AG125+AE125+AC125+AA125+AK125</f>
        <v>284328</v>
      </c>
      <c r="AN125" s="11">
        <f t="shared" ref="AN125:AN136" si="160">AJ125+AH125+AF125+AD125+AB125+AL125</f>
        <v>57999506</v>
      </c>
      <c r="AO125" s="2" t="str">
        <f t="shared" ref="AO125:AO136" si="161">+V125</f>
        <v>LEP</v>
      </c>
      <c r="AP125" s="37">
        <f t="shared" ref="AP125:AP136" si="162">+AM125-T125</f>
        <v>0</v>
      </c>
      <c r="AQ125" s="37">
        <f t="shared" ref="AQ125:AQ136" si="163">+AN125-U125</f>
        <v>0</v>
      </c>
    </row>
    <row r="126" spans="1:43" x14ac:dyDescent="0.25">
      <c r="B126" s="2" t="s">
        <v>6</v>
      </c>
      <c r="C126" s="2">
        <v>2024</v>
      </c>
      <c r="D126" s="1">
        <v>14261</v>
      </c>
      <c r="E126" s="11">
        <v>1943441</v>
      </c>
      <c r="F126" s="1">
        <v>7629</v>
      </c>
      <c r="G126" s="11">
        <v>1641782</v>
      </c>
      <c r="H126" s="1">
        <v>3499</v>
      </c>
      <c r="I126" s="11">
        <v>674962</v>
      </c>
      <c r="J126" s="1">
        <v>232701</v>
      </c>
      <c r="K126" s="11">
        <v>50062404</v>
      </c>
      <c r="L126" s="8">
        <v>6064</v>
      </c>
      <c r="M126" s="11">
        <v>1555799</v>
      </c>
      <c r="N126" s="8">
        <v>13216</v>
      </c>
      <c r="O126" s="11">
        <v>2461062</v>
      </c>
      <c r="P126" s="8">
        <v>1</v>
      </c>
      <c r="Q126" s="11">
        <v>329</v>
      </c>
      <c r="R126" s="8">
        <v>255</v>
      </c>
      <c r="S126" s="11">
        <v>41783</v>
      </c>
      <c r="T126" s="53">
        <f t="shared" ref="T126:T136" si="164">N126+L126+J126+H126+D126+P126+F126+R126</f>
        <v>277626</v>
      </c>
      <c r="U126" s="54">
        <f t="shared" si="147"/>
        <v>58381562</v>
      </c>
      <c r="V126" s="2" t="s">
        <v>60</v>
      </c>
      <c r="X126" s="13"/>
      <c r="Y126" s="2" t="s">
        <v>6</v>
      </c>
      <c r="Z126" s="2">
        <v>2024</v>
      </c>
      <c r="AA126" s="1">
        <f t="shared" si="148"/>
        <v>25389</v>
      </c>
      <c r="AB126" s="11">
        <f t="shared" si="149"/>
        <v>4260185</v>
      </c>
      <c r="AC126" s="1">
        <f t="shared" si="150"/>
        <v>232701</v>
      </c>
      <c r="AD126" s="11">
        <f t="shared" si="151"/>
        <v>50062404</v>
      </c>
      <c r="AE126" s="8">
        <f t="shared" si="152"/>
        <v>6064</v>
      </c>
      <c r="AF126" s="11">
        <f t="shared" si="153"/>
        <v>1555799</v>
      </c>
      <c r="AG126" s="8">
        <f t="shared" si="154"/>
        <v>13216</v>
      </c>
      <c r="AH126" s="11">
        <f t="shared" si="155"/>
        <v>2461062</v>
      </c>
      <c r="AI126" s="8">
        <f t="shared" si="156"/>
        <v>1</v>
      </c>
      <c r="AJ126" s="11">
        <f t="shared" si="157"/>
        <v>329</v>
      </c>
      <c r="AK126" s="11">
        <f t="shared" si="158"/>
        <v>255</v>
      </c>
      <c r="AL126" s="11">
        <f t="shared" si="159"/>
        <v>41783</v>
      </c>
      <c r="AM126" s="8">
        <f t="shared" ref="AM126:AM136" si="165">AI126+AG126+AE126+AC126+AA126+AK126</f>
        <v>277626</v>
      </c>
      <c r="AN126" s="11">
        <f t="shared" si="160"/>
        <v>58381562</v>
      </c>
      <c r="AO126" s="2" t="str">
        <f t="shared" si="161"/>
        <v>LEP</v>
      </c>
      <c r="AP126" s="37">
        <f t="shared" si="162"/>
        <v>0</v>
      </c>
      <c r="AQ126" s="37">
        <f t="shared" si="163"/>
        <v>0</v>
      </c>
    </row>
    <row r="127" spans="1:43" x14ac:dyDescent="0.25">
      <c r="B127" s="2" t="s">
        <v>7</v>
      </c>
      <c r="C127" s="2">
        <v>2024</v>
      </c>
      <c r="D127" s="1">
        <v>18190</v>
      </c>
      <c r="E127" s="11">
        <v>2360446</v>
      </c>
      <c r="F127" s="1">
        <v>8677</v>
      </c>
      <c r="G127" s="11">
        <v>1831975</v>
      </c>
      <c r="H127" s="1">
        <v>3830</v>
      </c>
      <c r="I127" s="11">
        <v>753538</v>
      </c>
      <c r="J127" s="1">
        <v>253462</v>
      </c>
      <c r="K127" s="11">
        <v>53335608</v>
      </c>
      <c r="L127" s="8">
        <v>6548</v>
      </c>
      <c r="M127" s="11">
        <v>1700556</v>
      </c>
      <c r="N127" s="8">
        <v>13977</v>
      </c>
      <c r="O127" s="11">
        <v>2652507</v>
      </c>
      <c r="P127" s="8">
        <v>2</v>
      </c>
      <c r="Q127" s="11">
        <v>740</v>
      </c>
      <c r="R127" s="8">
        <v>422</v>
      </c>
      <c r="S127" s="11">
        <v>57206</v>
      </c>
      <c r="T127" s="53">
        <f t="shared" si="164"/>
        <v>305108</v>
      </c>
      <c r="U127" s="54">
        <f t="shared" si="147"/>
        <v>62692576</v>
      </c>
      <c r="V127" s="2" t="s">
        <v>60</v>
      </c>
      <c r="X127" s="13"/>
      <c r="Y127" s="2" t="s">
        <v>7</v>
      </c>
      <c r="Z127" s="2">
        <v>2024</v>
      </c>
      <c r="AA127" s="1">
        <f t="shared" si="148"/>
        <v>30697</v>
      </c>
      <c r="AB127" s="11">
        <f t="shared" si="149"/>
        <v>4945959</v>
      </c>
      <c r="AC127" s="1">
        <f t="shared" si="150"/>
        <v>253462</v>
      </c>
      <c r="AD127" s="11">
        <f t="shared" si="151"/>
        <v>53335608</v>
      </c>
      <c r="AE127" s="8">
        <f t="shared" si="152"/>
        <v>6548</v>
      </c>
      <c r="AF127" s="11">
        <f t="shared" si="153"/>
        <v>1700556</v>
      </c>
      <c r="AG127" s="8">
        <f t="shared" si="154"/>
        <v>13977</v>
      </c>
      <c r="AH127" s="11">
        <f t="shared" si="155"/>
        <v>2652507</v>
      </c>
      <c r="AI127" s="8">
        <f t="shared" si="156"/>
        <v>2</v>
      </c>
      <c r="AJ127" s="11">
        <f t="shared" si="157"/>
        <v>740</v>
      </c>
      <c r="AK127" s="11">
        <f t="shared" si="158"/>
        <v>422</v>
      </c>
      <c r="AL127" s="11">
        <f t="shared" si="159"/>
        <v>57206</v>
      </c>
      <c r="AM127" s="8">
        <f t="shared" si="165"/>
        <v>305108</v>
      </c>
      <c r="AN127" s="11">
        <f t="shared" si="160"/>
        <v>62692576</v>
      </c>
      <c r="AO127" s="2" t="str">
        <f t="shared" si="161"/>
        <v>LEP</v>
      </c>
      <c r="AP127" s="37">
        <f t="shared" si="162"/>
        <v>0</v>
      </c>
      <c r="AQ127" s="37">
        <f t="shared" si="163"/>
        <v>0</v>
      </c>
    </row>
    <row r="128" spans="1:43" x14ac:dyDescent="0.25">
      <c r="B128" s="2" t="s">
        <v>8</v>
      </c>
      <c r="C128" s="2">
        <v>2024</v>
      </c>
      <c r="D128" s="1">
        <v>16728</v>
      </c>
      <c r="E128" s="11">
        <v>2293335</v>
      </c>
      <c r="F128" s="1">
        <v>8516</v>
      </c>
      <c r="G128" s="11">
        <v>1936002</v>
      </c>
      <c r="H128" s="1">
        <v>3663</v>
      </c>
      <c r="I128" s="11">
        <v>716254</v>
      </c>
      <c r="J128" s="1">
        <v>250180</v>
      </c>
      <c r="K128" s="11">
        <v>54156036</v>
      </c>
      <c r="L128" s="8">
        <v>6684</v>
      </c>
      <c r="M128" s="11">
        <v>1733911</v>
      </c>
      <c r="N128" s="8">
        <v>14230</v>
      </c>
      <c r="O128" s="11">
        <v>2688856</v>
      </c>
      <c r="P128" s="8">
        <v>2</v>
      </c>
      <c r="Q128" s="11">
        <v>740</v>
      </c>
      <c r="R128" s="8">
        <v>519</v>
      </c>
      <c r="S128" s="11">
        <v>67260</v>
      </c>
      <c r="T128" s="53">
        <f t="shared" si="164"/>
        <v>300522</v>
      </c>
      <c r="U128" s="54">
        <f t="shared" si="147"/>
        <v>63592394</v>
      </c>
      <c r="V128" s="2" t="s">
        <v>60</v>
      </c>
      <c r="X128" s="13"/>
      <c r="Y128" s="2" t="s">
        <v>8</v>
      </c>
      <c r="Z128" s="2">
        <v>2024</v>
      </c>
      <c r="AA128" s="1">
        <f t="shared" si="148"/>
        <v>28907</v>
      </c>
      <c r="AB128" s="11">
        <f t="shared" si="149"/>
        <v>4945591</v>
      </c>
      <c r="AC128" s="1">
        <f t="shared" si="150"/>
        <v>250180</v>
      </c>
      <c r="AD128" s="11">
        <f t="shared" si="151"/>
        <v>54156036</v>
      </c>
      <c r="AE128" s="8">
        <f t="shared" si="152"/>
        <v>6684</v>
      </c>
      <c r="AF128" s="11">
        <f t="shared" si="153"/>
        <v>1733911</v>
      </c>
      <c r="AG128" s="8">
        <f t="shared" si="154"/>
        <v>14230</v>
      </c>
      <c r="AH128" s="11">
        <f t="shared" si="155"/>
        <v>2688856</v>
      </c>
      <c r="AI128" s="8">
        <f t="shared" si="156"/>
        <v>2</v>
      </c>
      <c r="AJ128" s="11">
        <f t="shared" si="157"/>
        <v>740</v>
      </c>
      <c r="AK128" s="11">
        <f t="shared" si="158"/>
        <v>519</v>
      </c>
      <c r="AL128" s="11">
        <f t="shared" si="159"/>
        <v>67260</v>
      </c>
      <c r="AM128" s="8">
        <f t="shared" si="165"/>
        <v>300522</v>
      </c>
      <c r="AN128" s="11">
        <f t="shared" si="160"/>
        <v>63592394</v>
      </c>
      <c r="AO128" s="2" t="str">
        <f t="shared" si="161"/>
        <v>LEP</v>
      </c>
      <c r="AP128" s="37">
        <f t="shared" si="162"/>
        <v>0</v>
      </c>
      <c r="AQ128" s="37">
        <f t="shared" si="163"/>
        <v>0</v>
      </c>
    </row>
    <row r="129" spans="1:43" x14ac:dyDescent="0.25">
      <c r="B129" s="2" t="s">
        <v>9</v>
      </c>
      <c r="C129" s="2">
        <v>2024</v>
      </c>
      <c r="D129" s="1">
        <v>16909</v>
      </c>
      <c r="E129" s="11">
        <v>2295300</v>
      </c>
      <c r="F129" s="1">
        <v>8978</v>
      </c>
      <c r="G129" s="11">
        <v>2033993</v>
      </c>
      <c r="H129" s="1">
        <v>3863</v>
      </c>
      <c r="I129" s="11">
        <v>733467</v>
      </c>
      <c r="J129" s="1">
        <v>261989</v>
      </c>
      <c r="K129" s="11">
        <v>56698574</v>
      </c>
      <c r="L129" s="8">
        <v>6804</v>
      </c>
      <c r="M129" s="11">
        <v>1754033</v>
      </c>
      <c r="N129" s="8">
        <v>14577</v>
      </c>
      <c r="O129" s="11">
        <v>2727706</v>
      </c>
      <c r="P129" s="8">
        <v>0</v>
      </c>
      <c r="Q129" s="11">
        <v>0</v>
      </c>
      <c r="R129" s="8">
        <v>517</v>
      </c>
      <c r="S129" s="11">
        <v>66739</v>
      </c>
      <c r="T129" s="53">
        <f t="shared" si="164"/>
        <v>313637</v>
      </c>
      <c r="U129" s="54">
        <f t="shared" si="147"/>
        <v>66309812</v>
      </c>
      <c r="V129" s="2" t="s">
        <v>60</v>
      </c>
      <c r="X129" s="13"/>
      <c r="Y129" s="2" t="s">
        <v>9</v>
      </c>
      <c r="Z129" s="2">
        <v>2024</v>
      </c>
      <c r="AA129" s="1">
        <f t="shared" si="148"/>
        <v>29750</v>
      </c>
      <c r="AB129" s="11">
        <f t="shared" si="149"/>
        <v>5062760</v>
      </c>
      <c r="AC129" s="1">
        <f t="shared" si="150"/>
        <v>261989</v>
      </c>
      <c r="AD129" s="11">
        <f t="shared" si="151"/>
        <v>56698574</v>
      </c>
      <c r="AE129" s="8">
        <f t="shared" si="152"/>
        <v>6804</v>
      </c>
      <c r="AF129" s="11">
        <f t="shared" si="153"/>
        <v>1754033</v>
      </c>
      <c r="AG129" s="8">
        <f t="shared" si="154"/>
        <v>14577</v>
      </c>
      <c r="AH129" s="11">
        <f t="shared" si="155"/>
        <v>2727706</v>
      </c>
      <c r="AI129" s="8">
        <f t="shared" si="156"/>
        <v>0</v>
      </c>
      <c r="AJ129" s="11">
        <f t="shared" si="157"/>
        <v>0</v>
      </c>
      <c r="AK129" s="11">
        <f t="shared" si="158"/>
        <v>517</v>
      </c>
      <c r="AL129" s="11">
        <f t="shared" si="159"/>
        <v>66739</v>
      </c>
      <c r="AM129" s="8">
        <f t="shared" si="165"/>
        <v>313637</v>
      </c>
      <c r="AN129" s="11">
        <f t="shared" si="160"/>
        <v>66309812</v>
      </c>
      <c r="AO129" s="2" t="str">
        <f t="shared" si="161"/>
        <v>LEP</v>
      </c>
      <c r="AP129" s="37">
        <f t="shared" si="162"/>
        <v>0</v>
      </c>
      <c r="AQ129" s="37">
        <f t="shared" si="163"/>
        <v>0</v>
      </c>
    </row>
    <row r="130" spans="1:43" x14ac:dyDescent="0.25">
      <c r="B130" s="2" t="s">
        <v>10</v>
      </c>
      <c r="C130" s="2">
        <v>2024</v>
      </c>
      <c r="D130" s="1">
        <v>15494</v>
      </c>
      <c r="E130" s="11">
        <v>2115194</v>
      </c>
      <c r="F130" s="1">
        <v>8310</v>
      </c>
      <c r="G130" s="11">
        <v>1832489</v>
      </c>
      <c r="H130" s="1">
        <v>3596</v>
      </c>
      <c r="I130" s="11">
        <v>696256</v>
      </c>
      <c r="J130" s="1">
        <v>246049</v>
      </c>
      <c r="K130" s="11">
        <v>53232362</v>
      </c>
      <c r="L130" s="8">
        <v>6248</v>
      </c>
      <c r="M130" s="11">
        <v>1621290</v>
      </c>
      <c r="N130" s="8">
        <v>13911</v>
      </c>
      <c r="O130" s="11">
        <v>2624647</v>
      </c>
      <c r="P130" s="8">
        <v>1</v>
      </c>
      <c r="Q130" s="11">
        <v>329</v>
      </c>
      <c r="R130" s="8">
        <v>513</v>
      </c>
      <c r="S130" s="11">
        <v>72835</v>
      </c>
      <c r="T130" s="53">
        <f t="shared" si="164"/>
        <v>294122</v>
      </c>
      <c r="U130" s="54">
        <f t="shared" si="147"/>
        <v>62195402</v>
      </c>
      <c r="V130" s="2" t="s">
        <v>60</v>
      </c>
      <c r="X130" s="13"/>
      <c r="Y130" s="2" t="s">
        <v>10</v>
      </c>
      <c r="Z130" s="2">
        <v>2024</v>
      </c>
      <c r="AA130" s="1">
        <f t="shared" si="148"/>
        <v>27400</v>
      </c>
      <c r="AB130" s="11">
        <f t="shared" si="149"/>
        <v>4643939</v>
      </c>
      <c r="AC130" s="1">
        <f t="shared" si="150"/>
        <v>246049</v>
      </c>
      <c r="AD130" s="11">
        <f t="shared" si="151"/>
        <v>53232362</v>
      </c>
      <c r="AE130" s="8">
        <f t="shared" si="152"/>
        <v>6248</v>
      </c>
      <c r="AF130" s="11">
        <f t="shared" si="153"/>
        <v>1621290</v>
      </c>
      <c r="AG130" s="8">
        <f t="shared" si="154"/>
        <v>13911</v>
      </c>
      <c r="AH130" s="11">
        <f t="shared" si="155"/>
        <v>2624647</v>
      </c>
      <c r="AI130" s="8">
        <f t="shared" si="156"/>
        <v>1</v>
      </c>
      <c r="AJ130" s="11">
        <f t="shared" si="157"/>
        <v>329</v>
      </c>
      <c r="AK130" s="11">
        <f t="shared" si="158"/>
        <v>513</v>
      </c>
      <c r="AL130" s="11">
        <f t="shared" si="159"/>
        <v>72835</v>
      </c>
      <c r="AM130" s="8">
        <f t="shared" si="165"/>
        <v>294122</v>
      </c>
      <c r="AN130" s="11">
        <f t="shared" si="160"/>
        <v>62195402</v>
      </c>
      <c r="AO130" s="2" t="str">
        <f t="shared" si="161"/>
        <v>LEP</v>
      </c>
      <c r="AP130" s="37">
        <f t="shared" si="162"/>
        <v>0</v>
      </c>
      <c r="AQ130" s="37">
        <f t="shared" si="163"/>
        <v>0</v>
      </c>
    </row>
    <row r="131" spans="1:43" x14ac:dyDescent="0.25">
      <c r="B131" s="2" t="s">
        <v>11</v>
      </c>
      <c r="C131" s="2">
        <v>2024</v>
      </c>
      <c r="D131" s="1">
        <v>18109</v>
      </c>
      <c r="E131" s="11">
        <v>2284921</v>
      </c>
      <c r="F131" s="1">
        <v>9055</v>
      </c>
      <c r="G131" s="11">
        <v>1855233</v>
      </c>
      <c r="H131" s="1">
        <v>4120</v>
      </c>
      <c r="I131" s="11">
        <v>733229</v>
      </c>
      <c r="J131" s="1">
        <v>268265</v>
      </c>
      <c r="K131" s="11">
        <v>55499207</v>
      </c>
      <c r="L131" s="8">
        <v>6977</v>
      </c>
      <c r="M131" s="11">
        <v>1753448</v>
      </c>
      <c r="N131" s="8">
        <v>16461</v>
      </c>
      <c r="O131" s="11">
        <v>2964662</v>
      </c>
      <c r="P131" s="8">
        <v>0</v>
      </c>
      <c r="Q131" s="11">
        <v>0</v>
      </c>
      <c r="R131" s="8">
        <v>686</v>
      </c>
      <c r="S131" s="11">
        <v>103681</v>
      </c>
      <c r="T131" s="53">
        <f t="shared" si="164"/>
        <v>323673</v>
      </c>
      <c r="U131" s="54">
        <f t="shared" si="147"/>
        <v>65194381</v>
      </c>
      <c r="V131" s="2" t="s">
        <v>60</v>
      </c>
      <c r="Y131" s="2" t="s">
        <v>11</v>
      </c>
      <c r="Z131" s="2">
        <v>2024</v>
      </c>
      <c r="AA131" s="1">
        <f t="shared" si="148"/>
        <v>31284</v>
      </c>
      <c r="AB131" s="11">
        <f t="shared" si="149"/>
        <v>4873383</v>
      </c>
      <c r="AC131" s="1">
        <f t="shared" si="150"/>
        <v>268265</v>
      </c>
      <c r="AD131" s="11">
        <f t="shared" si="151"/>
        <v>55499207</v>
      </c>
      <c r="AE131" s="8">
        <f t="shared" si="152"/>
        <v>6977</v>
      </c>
      <c r="AF131" s="11">
        <f t="shared" si="153"/>
        <v>1753448</v>
      </c>
      <c r="AG131" s="8">
        <f t="shared" si="154"/>
        <v>16461</v>
      </c>
      <c r="AH131" s="11">
        <f t="shared" si="155"/>
        <v>2964662</v>
      </c>
      <c r="AI131" s="8">
        <f t="shared" si="156"/>
        <v>0</v>
      </c>
      <c r="AJ131" s="11">
        <f t="shared" si="157"/>
        <v>0</v>
      </c>
      <c r="AK131" s="11">
        <f t="shared" si="158"/>
        <v>686</v>
      </c>
      <c r="AL131" s="11">
        <f t="shared" si="159"/>
        <v>103681</v>
      </c>
      <c r="AM131" s="8">
        <f t="shared" si="165"/>
        <v>323673</v>
      </c>
      <c r="AN131" s="11">
        <f t="shared" si="160"/>
        <v>65194381</v>
      </c>
      <c r="AO131" s="2" t="str">
        <f t="shared" si="161"/>
        <v>LEP</v>
      </c>
      <c r="AP131" s="37">
        <f t="shared" si="162"/>
        <v>0</v>
      </c>
      <c r="AQ131" s="37">
        <f t="shared" si="163"/>
        <v>0</v>
      </c>
    </row>
    <row r="132" spans="1:43" x14ac:dyDescent="0.25">
      <c r="B132" s="2" t="s">
        <v>4</v>
      </c>
      <c r="C132" s="2">
        <v>2024</v>
      </c>
      <c r="D132" s="1">
        <v>17194</v>
      </c>
      <c r="E132" s="11">
        <v>2247011</v>
      </c>
      <c r="F132" s="1">
        <v>8734</v>
      </c>
      <c r="G132" s="11">
        <v>1806714</v>
      </c>
      <c r="H132" s="1">
        <v>3963</v>
      </c>
      <c r="I132" s="11">
        <v>724790</v>
      </c>
      <c r="J132" s="1">
        <v>256511</v>
      </c>
      <c r="K132" s="11">
        <v>53628947</v>
      </c>
      <c r="L132" s="8">
        <v>6946</v>
      </c>
      <c r="M132" s="11">
        <v>1767316</v>
      </c>
      <c r="N132" s="8">
        <v>16271</v>
      </c>
      <c r="O132" s="11">
        <v>2974816</v>
      </c>
      <c r="P132" s="8">
        <v>1</v>
      </c>
      <c r="Q132" s="11">
        <v>329</v>
      </c>
      <c r="R132" s="8">
        <v>778</v>
      </c>
      <c r="S132" s="11">
        <v>106888</v>
      </c>
      <c r="T132" s="53">
        <f t="shared" si="164"/>
        <v>310398</v>
      </c>
      <c r="U132" s="54">
        <f t="shared" si="147"/>
        <v>63256811</v>
      </c>
      <c r="V132" s="2" t="s">
        <v>60</v>
      </c>
      <c r="Y132" s="2" t="s">
        <v>4</v>
      </c>
      <c r="Z132" s="2">
        <v>2024</v>
      </c>
      <c r="AA132" s="1">
        <f t="shared" si="148"/>
        <v>29891</v>
      </c>
      <c r="AB132" s="11">
        <f t="shared" si="149"/>
        <v>4778515</v>
      </c>
      <c r="AC132" s="1">
        <f t="shared" si="150"/>
        <v>256511</v>
      </c>
      <c r="AD132" s="11">
        <f t="shared" si="151"/>
        <v>53628947</v>
      </c>
      <c r="AE132" s="8">
        <f t="shared" si="152"/>
        <v>6946</v>
      </c>
      <c r="AF132" s="11">
        <f t="shared" si="153"/>
        <v>1767316</v>
      </c>
      <c r="AG132" s="8">
        <f t="shared" si="154"/>
        <v>16271</v>
      </c>
      <c r="AH132" s="11">
        <f t="shared" si="155"/>
        <v>2974816</v>
      </c>
      <c r="AI132" s="8">
        <f t="shared" si="156"/>
        <v>1</v>
      </c>
      <c r="AJ132" s="11">
        <f t="shared" si="157"/>
        <v>329</v>
      </c>
      <c r="AK132" s="11">
        <f t="shared" si="158"/>
        <v>778</v>
      </c>
      <c r="AL132" s="11">
        <f t="shared" si="159"/>
        <v>106888</v>
      </c>
      <c r="AM132" s="8">
        <f t="shared" si="165"/>
        <v>310398</v>
      </c>
      <c r="AN132" s="11">
        <f t="shared" si="160"/>
        <v>63256811</v>
      </c>
      <c r="AO132" s="2" t="str">
        <f t="shared" si="161"/>
        <v>LEP</v>
      </c>
      <c r="AP132" s="37">
        <f t="shared" si="162"/>
        <v>0</v>
      </c>
      <c r="AQ132" s="37">
        <f t="shared" si="163"/>
        <v>0</v>
      </c>
    </row>
    <row r="133" spans="1:43" x14ac:dyDescent="0.25">
      <c r="B133" s="2" t="s">
        <v>28</v>
      </c>
      <c r="C133" s="2">
        <v>2024</v>
      </c>
      <c r="D133" s="1">
        <v>15873</v>
      </c>
      <c r="E133" s="11">
        <v>2114884</v>
      </c>
      <c r="F133" s="1">
        <v>8360</v>
      </c>
      <c r="G133" s="11">
        <v>1720922</v>
      </c>
      <c r="H133" s="1">
        <v>3737</v>
      </c>
      <c r="I133" s="11">
        <v>690038</v>
      </c>
      <c r="J133" s="1">
        <v>246632</v>
      </c>
      <c r="K133" s="11">
        <v>51515084</v>
      </c>
      <c r="L133" s="8">
        <v>6433</v>
      </c>
      <c r="M133" s="11">
        <v>1605455</v>
      </c>
      <c r="N133" s="8">
        <v>15722</v>
      </c>
      <c r="O133" s="11">
        <v>2762374</v>
      </c>
      <c r="P133" s="8">
        <v>2</v>
      </c>
      <c r="Q133" s="11">
        <v>658</v>
      </c>
      <c r="R133" s="8">
        <v>671</v>
      </c>
      <c r="S133" s="11">
        <v>78320</v>
      </c>
      <c r="T133" s="53">
        <f t="shared" si="164"/>
        <v>297430</v>
      </c>
      <c r="U133" s="54">
        <f>O133+M133+K133+I133+E133+Q133+G133+S133</f>
        <v>60487735</v>
      </c>
      <c r="V133" s="2" t="s">
        <v>60</v>
      </c>
      <c r="Y133" s="2" t="s">
        <v>28</v>
      </c>
      <c r="Z133" s="2">
        <v>2024</v>
      </c>
      <c r="AA133" s="1">
        <f t="shared" si="148"/>
        <v>27970</v>
      </c>
      <c r="AB133" s="11">
        <f t="shared" si="149"/>
        <v>4525844</v>
      </c>
      <c r="AC133" s="1">
        <f t="shared" si="150"/>
        <v>246632</v>
      </c>
      <c r="AD133" s="11">
        <f t="shared" si="151"/>
        <v>51515084</v>
      </c>
      <c r="AE133" s="8">
        <f t="shared" si="152"/>
        <v>6433</v>
      </c>
      <c r="AF133" s="11">
        <f t="shared" si="153"/>
        <v>1605455</v>
      </c>
      <c r="AG133" s="8">
        <f t="shared" si="154"/>
        <v>15722</v>
      </c>
      <c r="AH133" s="11">
        <f t="shared" si="155"/>
        <v>2762374</v>
      </c>
      <c r="AI133" s="8">
        <f t="shared" si="156"/>
        <v>2</v>
      </c>
      <c r="AJ133" s="11">
        <f t="shared" si="157"/>
        <v>658</v>
      </c>
      <c r="AK133" s="11">
        <f t="shared" si="158"/>
        <v>671</v>
      </c>
      <c r="AL133" s="11">
        <f t="shared" si="159"/>
        <v>78320</v>
      </c>
      <c r="AM133" s="8">
        <f t="shared" si="165"/>
        <v>297430</v>
      </c>
      <c r="AN133" s="11">
        <f t="shared" si="160"/>
        <v>60487735</v>
      </c>
      <c r="AO133" s="2" t="str">
        <f t="shared" si="161"/>
        <v>LEP</v>
      </c>
      <c r="AP133" s="37">
        <f t="shared" si="162"/>
        <v>0</v>
      </c>
      <c r="AQ133" s="37">
        <f t="shared" si="163"/>
        <v>0</v>
      </c>
    </row>
    <row r="134" spans="1:43" x14ac:dyDescent="0.25">
      <c r="B134" s="2" t="s">
        <v>29</v>
      </c>
      <c r="C134" s="2">
        <v>2024</v>
      </c>
      <c r="D134" s="1">
        <v>16454</v>
      </c>
      <c r="E134" s="11">
        <v>2281522</v>
      </c>
      <c r="F134" s="1">
        <v>8796</v>
      </c>
      <c r="G134" s="11">
        <v>1886762</v>
      </c>
      <c r="H134" s="1">
        <v>4327</v>
      </c>
      <c r="I134" s="11">
        <v>773637</v>
      </c>
      <c r="J134" s="1">
        <v>256565</v>
      </c>
      <c r="K134" s="11">
        <v>54153029</v>
      </c>
      <c r="L134" s="8">
        <v>6891</v>
      </c>
      <c r="M134" s="11">
        <v>1729066</v>
      </c>
      <c r="N134" s="8">
        <v>16799</v>
      </c>
      <c r="O134" s="11">
        <v>2901647</v>
      </c>
      <c r="P134" s="8">
        <v>0</v>
      </c>
      <c r="Q134" s="11">
        <v>0</v>
      </c>
      <c r="R134" s="8">
        <v>805</v>
      </c>
      <c r="S134" s="11">
        <v>111795</v>
      </c>
      <c r="T134" s="53">
        <f>N134+L134+J134+H134+D134+P134+F134+R134</f>
        <v>310637</v>
      </c>
      <c r="U134" s="54">
        <f t="shared" si="147"/>
        <v>63837458</v>
      </c>
      <c r="V134" s="2" t="s">
        <v>60</v>
      </c>
      <c r="Y134" s="77" t="s">
        <v>29</v>
      </c>
      <c r="Z134" s="2">
        <v>2024</v>
      </c>
      <c r="AA134" s="1">
        <f t="shared" si="148"/>
        <v>29577</v>
      </c>
      <c r="AB134" s="11">
        <f t="shared" si="149"/>
        <v>4941921</v>
      </c>
      <c r="AC134" s="1">
        <f t="shared" si="150"/>
        <v>256565</v>
      </c>
      <c r="AD134" s="11">
        <f t="shared" si="151"/>
        <v>54153029</v>
      </c>
      <c r="AE134" s="8">
        <f t="shared" si="152"/>
        <v>6891</v>
      </c>
      <c r="AF134" s="11">
        <f t="shared" si="153"/>
        <v>1729066</v>
      </c>
      <c r="AG134" s="8">
        <f t="shared" si="154"/>
        <v>16799</v>
      </c>
      <c r="AH134" s="11">
        <f t="shared" si="155"/>
        <v>2901647</v>
      </c>
      <c r="AI134" s="8">
        <f t="shared" si="156"/>
        <v>0</v>
      </c>
      <c r="AJ134" s="11">
        <f t="shared" si="157"/>
        <v>0</v>
      </c>
      <c r="AK134" s="11">
        <f t="shared" si="158"/>
        <v>805</v>
      </c>
      <c r="AL134" s="11">
        <f t="shared" si="159"/>
        <v>111795</v>
      </c>
      <c r="AM134" s="8">
        <f t="shared" si="165"/>
        <v>310637</v>
      </c>
      <c r="AN134" s="11">
        <f t="shared" si="160"/>
        <v>63837458</v>
      </c>
      <c r="AO134" s="2" t="str">
        <f t="shared" si="161"/>
        <v>LEP</v>
      </c>
      <c r="AP134" s="37">
        <f t="shared" si="162"/>
        <v>0</v>
      </c>
      <c r="AQ134" s="37">
        <f t="shared" si="163"/>
        <v>0</v>
      </c>
    </row>
    <row r="135" spans="1:43" x14ac:dyDescent="0.25">
      <c r="B135" s="2" t="s">
        <v>30</v>
      </c>
      <c r="C135" s="2">
        <v>2024</v>
      </c>
      <c r="D135" s="1">
        <v>16928</v>
      </c>
      <c r="E135" s="11">
        <v>2198582</v>
      </c>
      <c r="F135" s="1">
        <v>8683</v>
      </c>
      <c r="G135" s="11">
        <v>1832252</v>
      </c>
      <c r="H135" s="1">
        <v>4077</v>
      </c>
      <c r="I135" s="11">
        <v>703921</v>
      </c>
      <c r="J135" s="1">
        <v>245530</v>
      </c>
      <c r="K135" s="11">
        <v>49424670</v>
      </c>
      <c r="L135" s="8">
        <v>6440</v>
      </c>
      <c r="M135" s="11">
        <v>1573108</v>
      </c>
      <c r="N135" s="8">
        <v>16122</v>
      </c>
      <c r="O135" s="11">
        <v>2757842</v>
      </c>
      <c r="P135" s="8">
        <v>4</v>
      </c>
      <c r="Q135" s="11">
        <v>1193</v>
      </c>
      <c r="R135" s="8">
        <v>865</v>
      </c>
      <c r="S135" s="11">
        <v>111268</v>
      </c>
      <c r="T135" s="53">
        <f t="shared" si="164"/>
        <v>298649</v>
      </c>
      <c r="U135" s="54">
        <f t="shared" si="147"/>
        <v>58602836</v>
      </c>
      <c r="V135" s="2" t="s">
        <v>60</v>
      </c>
      <c r="Y135" s="2" t="s">
        <v>30</v>
      </c>
      <c r="Z135" s="2">
        <v>2024</v>
      </c>
      <c r="AA135" s="1">
        <f t="shared" si="148"/>
        <v>29688</v>
      </c>
      <c r="AB135" s="11">
        <f t="shared" si="149"/>
        <v>4734755</v>
      </c>
      <c r="AC135" s="1">
        <f t="shared" si="150"/>
        <v>245530</v>
      </c>
      <c r="AD135" s="11">
        <f t="shared" si="151"/>
        <v>49424670</v>
      </c>
      <c r="AE135" s="8">
        <f t="shared" si="152"/>
        <v>6440</v>
      </c>
      <c r="AF135" s="11">
        <f t="shared" si="153"/>
        <v>1573108</v>
      </c>
      <c r="AG135" s="8">
        <f t="shared" si="154"/>
        <v>16122</v>
      </c>
      <c r="AH135" s="11">
        <f t="shared" si="155"/>
        <v>2757842</v>
      </c>
      <c r="AI135" s="8">
        <f t="shared" si="156"/>
        <v>4</v>
      </c>
      <c r="AJ135" s="11">
        <f t="shared" si="157"/>
        <v>1193</v>
      </c>
      <c r="AK135" s="11">
        <f t="shared" si="158"/>
        <v>865</v>
      </c>
      <c r="AL135" s="11">
        <f t="shared" si="159"/>
        <v>111268</v>
      </c>
      <c r="AM135" s="79">
        <f t="shared" si="165"/>
        <v>298649</v>
      </c>
      <c r="AN135" s="80">
        <f t="shared" si="160"/>
        <v>58602836</v>
      </c>
      <c r="AO135" s="2" t="str">
        <f t="shared" si="161"/>
        <v>LEP</v>
      </c>
      <c r="AP135" s="37">
        <f t="shared" si="162"/>
        <v>0</v>
      </c>
      <c r="AQ135" s="37">
        <f t="shared" si="163"/>
        <v>0</v>
      </c>
    </row>
    <row r="136" spans="1:43" x14ac:dyDescent="0.25">
      <c r="B136" s="2" t="s">
        <v>31</v>
      </c>
      <c r="C136" s="2">
        <v>2024</v>
      </c>
      <c r="D136" s="1">
        <v>21367</v>
      </c>
      <c r="E136" s="11">
        <v>2494479</v>
      </c>
      <c r="F136" s="1">
        <v>8860</v>
      </c>
      <c r="G136" s="11">
        <v>1796545</v>
      </c>
      <c r="H136" s="1">
        <v>4275</v>
      </c>
      <c r="I136" s="11">
        <v>732933</v>
      </c>
      <c r="J136" s="1">
        <v>256223</v>
      </c>
      <c r="K136" s="11">
        <v>48851771</v>
      </c>
      <c r="L136" s="8">
        <v>7095</v>
      </c>
      <c r="M136" s="11">
        <v>1588367</v>
      </c>
      <c r="N136" s="8">
        <v>16723</v>
      </c>
      <c r="O136" s="11">
        <v>2796169</v>
      </c>
      <c r="P136" s="8">
        <v>4</v>
      </c>
      <c r="Q136" s="11">
        <v>1069</v>
      </c>
      <c r="R136" s="8">
        <v>1137</v>
      </c>
      <c r="S136" s="11">
        <v>129109</v>
      </c>
      <c r="T136" s="53">
        <f t="shared" si="164"/>
        <v>315684</v>
      </c>
      <c r="U136" s="54">
        <f t="shared" si="147"/>
        <v>58390442</v>
      </c>
      <c r="V136" s="2" t="s">
        <v>60</v>
      </c>
      <c r="W136" s="13"/>
      <c r="Y136" s="2" t="s">
        <v>31</v>
      </c>
      <c r="Z136" s="2">
        <v>2024</v>
      </c>
      <c r="AA136" s="1">
        <f t="shared" si="148"/>
        <v>34502</v>
      </c>
      <c r="AB136" s="11">
        <f t="shared" si="149"/>
        <v>5023957</v>
      </c>
      <c r="AC136" s="1">
        <f t="shared" si="150"/>
        <v>256223</v>
      </c>
      <c r="AD136" s="11">
        <f t="shared" si="151"/>
        <v>48851771</v>
      </c>
      <c r="AE136" s="8">
        <f t="shared" si="152"/>
        <v>7095</v>
      </c>
      <c r="AF136" s="11">
        <f t="shared" si="153"/>
        <v>1588367</v>
      </c>
      <c r="AG136" s="8">
        <f t="shared" si="154"/>
        <v>16723</v>
      </c>
      <c r="AH136" s="11">
        <f t="shared" si="155"/>
        <v>2796169</v>
      </c>
      <c r="AI136" s="8">
        <f t="shared" si="156"/>
        <v>4</v>
      </c>
      <c r="AJ136" s="11">
        <f t="shared" si="157"/>
        <v>1069</v>
      </c>
      <c r="AK136" s="11">
        <f t="shared" si="158"/>
        <v>1137</v>
      </c>
      <c r="AL136" s="11">
        <f t="shared" si="159"/>
        <v>129109</v>
      </c>
      <c r="AM136" s="8">
        <f t="shared" si="165"/>
        <v>315684</v>
      </c>
      <c r="AN136" s="11">
        <f t="shared" si="160"/>
        <v>58390442</v>
      </c>
      <c r="AO136" s="2" t="str">
        <f t="shared" si="161"/>
        <v>LEP</v>
      </c>
      <c r="AP136" s="37">
        <f t="shared" si="162"/>
        <v>0</v>
      </c>
      <c r="AQ136" s="37">
        <f t="shared" si="163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166">SUM(D125:D137)</f>
        <v>203339</v>
      </c>
      <c r="E138" s="12">
        <f t="shared" si="166"/>
        <v>26656361</v>
      </c>
      <c r="F138" s="4">
        <f t="shared" si="166"/>
        <v>102318</v>
      </c>
      <c r="G138" s="12">
        <f t="shared" si="166"/>
        <v>21794100</v>
      </c>
      <c r="H138" s="4">
        <f t="shared" si="166"/>
        <v>45996</v>
      </c>
      <c r="I138" s="12">
        <f t="shared" si="166"/>
        <v>8521496</v>
      </c>
      <c r="J138" s="4">
        <f t="shared" si="166"/>
        <v>3012985</v>
      </c>
      <c r="K138" s="12">
        <f t="shared" si="166"/>
        <v>630443780</v>
      </c>
      <c r="L138" s="4">
        <f t="shared" si="166"/>
        <v>79330</v>
      </c>
      <c r="M138" s="12">
        <f t="shared" si="166"/>
        <v>19945989</v>
      </c>
      <c r="N138" s="4">
        <f t="shared" si="166"/>
        <v>180460</v>
      </c>
      <c r="O138" s="12">
        <f t="shared" si="166"/>
        <v>32605312</v>
      </c>
      <c r="P138" s="4">
        <f>SUM(P125:P137)</f>
        <v>18</v>
      </c>
      <c r="Q138" s="12">
        <f>SUM(Q125:Q137)</f>
        <v>5461</v>
      </c>
      <c r="R138" s="4">
        <f>SUM(R125:R137)</f>
        <v>7368</v>
      </c>
      <c r="S138" s="12">
        <f>SUM(S125:S137)</f>
        <v>968416</v>
      </c>
      <c r="T138" s="4">
        <f t="shared" si="166"/>
        <v>3631814</v>
      </c>
      <c r="U138" s="12">
        <f t="shared" si="166"/>
        <v>740940915</v>
      </c>
      <c r="V138" s="2" t="s">
        <v>121</v>
      </c>
      <c r="Y138" s="3" t="s">
        <v>12</v>
      </c>
      <c r="Z138" s="3"/>
      <c r="AA138" s="4">
        <f t="shared" ref="AA138:AN138" si="167">SUM(AA125:AA137)</f>
        <v>351653</v>
      </c>
      <c r="AB138" s="12">
        <f t="shared" si="167"/>
        <v>56971957</v>
      </c>
      <c r="AC138" s="4">
        <f t="shared" si="167"/>
        <v>3012985</v>
      </c>
      <c r="AD138" s="12">
        <f t="shared" si="167"/>
        <v>630443780</v>
      </c>
      <c r="AE138" s="4">
        <f t="shared" si="167"/>
        <v>79330</v>
      </c>
      <c r="AF138" s="12">
        <f t="shared" si="167"/>
        <v>19945989</v>
      </c>
      <c r="AG138" s="4">
        <f t="shared" si="167"/>
        <v>180460</v>
      </c>
      <c r="AH138" s="12">
        <f t="shared" si="167"/>
        <v>32605312</v>
      </c>
      <c r="AI138" s="4">
        <f t="shared" si="167"/>
        <v>18</v>
      </c>
      <c r="AJ138" s="12">
        <f t="shared" si="167"/>
        <v>5461</v>
      </c>
      <c r="AK138" s="4">
        <f t="shared" si="167"/>
        <v>7368</v>
      </c>
      <c r="AL138" s="12">
        <f t="shared" si="167"/>
        <v>968416</v>
      </c>
      <c r="AM138" s="4">
        <f t="shared" si="167"/>
        <v>3631814</v>
      </c>
      <c r="AN138" s="12">
        <f t="shared" si="167"/>
        <v>740940915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6132</v>
      </c>
      <c r="M139" s="60">
        <f>AVERAGE(M125:M126)</f>
        <v>1559719.5</v>
      </c>
      <c r="T139" s="15">
        <f t="shared" ref="T139:U139" si="168">AVERAGE(T125:T126)</f>
        <v>280977</v>
      </c>
      <c r="U139" s="28">
        <f t="shared" si="168"/>
        <v>58190534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4.7594099635593121E-2</v>
      </c>
      <c r="M140" s="36">
        <f>+M139/$M$371</f>
        <v>7.6550772806770431E-2</v>
      </c>
      <c r="N140" s="18"/>
      <c r="O140" s="19"/>
      <c r="P140" s="19"/>
      <c r="Q140" s="19"/>
      <c r="R140" s="19"/>
      <c r="S140" s="19"/>
      <c r="T140" s="36">
        <f>+L139/T139</f>
        <v>2.1823850350740453E-2</v>
      </c>
      <c r="U140" s="62">
        <f>+M139/U139</f>
        <v>2.6803663633676228E-2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0"/>
      <c r="F143" s="89" t="s">
        <v>71</v>
      </c>
      <c r="G143" s="90"/>
      <c r="H143" s="89" t="s">
        <v>16</v>
      </c>
      <c r="I143" s="90"/>
      <c r="J143" s="89" t="s">
        <v>17</v>
      </c>
      <c r="K143" s="93"/>
      <c r="L143" s="89" t="s">
        <v>18</v>
      </c>
      <c r="M143" s="93"/>
      <c r="N143" s="89" t="s">
        <v>13</v>
      </c>
      <c r="O143" s="93"/>
      <c r="P143" s="89" t="s">
        <v>34</v>
      </c>
      <c r="Q143" s="93"/>
      <c r="R143" s="89" t="s">
        <v>87</v>
      </c>
      <c r="S143" s="93"/>
      <c r="T143" s="89" t="s">
        <v>12</v>
      </c>
      <c r="U143" s="93"/>
      <c r="AA143" s="89" t="s">
        <v>69</v>
      </c>
      <c r="AB143" s="90"/>
      <c r="AC143" s="89" t="s">
        <v>17</v>
      </c>
      <c r="AD143" s="93"/>
      <c r="AE143" s="89" t="s">
        <v>18</v>
      </c>
      <c r="AF143" s="93"/>
      <c r="AG143" s="89" t="s">
        <v>13</v>
      </c>
      <c r="AH143" s="93"/>
      <c r="AI143" s="89" t="s">
        <v>34</v>
      </c>
      <c r="AJ143" s="93"/>
      <c r="AK143" s="89" t="s">
        <v>87</v>
      </c>
      <c r="AL143" s="93"/>
      <c r="AM143" s="89" t="s">
        <v>12</v>
      </c>
      <c r="AN143" s="93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2024</v>
      </c>
      <c r="D146" s="1">
        <v>32437</v>
      </c>
      <c r="E146" s="11">
        <v>4493075</v>
      </c>
      <c r="F146" s="1">
        <v>14106</v>
      </c>
      <c r="G146" s="11">
        <v>2370253</v>
      </c>
      <c r="H146" s="1">
        <v>49306</v>
      </c>
      <c r="I146" s="11">
        <v>7467756</v>
      </c>
      <c r="J146" s="1">
        <v>381422</v>
      </c>
      <c r="K146" s="11">
        <v>76505436</v>
      </c>
      <c r="L146" s="1">
        <v>13376</v>
      </c>
      <c r="M146" s="11">
        <v>2934464</v>
      </c>
      <c r="N146" s="1">
        <v>49656</v>
      </c>
      <c r="O146" s="11">
        <v>8578007</v>
      </c>
      <c r="P146" s="1">
        <v>7</v>
      </c>
      <c r="Q146" s="11">
        <v>1960</v>
      </c>
      <c r="R146" s="1">
        <v>55</v>
      </c>
      <c r="S146" s="11">
        <v>4855</v>
      </c>
      <c r="T146" s="53">
        <f t="shared" ref="T146:U157" si="169">N146+L146+J146+H146+D146+P146+F146+R146</f>
        <v>540365</v>
      </c>
      <c r="U146" s="54">
        <f t="shared" si="169"/>
        <v>102355806</v>
      </c>
      <c r="V146" s="2" t="s">
        <v>61</v>
      </c>
      <c r="W146" s="66"/>
      <c r="Y146" s="2" t="s">
        <v>5</v>
      </c>
      <c r="Z146" s="2">
        <v>2024</v>
      </c>
      <c r="AA146" s="1">
        <f t="shared" ref="AA146:AA157" si="170">D146+H146+F146</f>
        <v>95849</v>
      </c>
      <c r="AB146" s="11">
        <f t="shared" ref="AB146:AB157" si="171">E146+I146+G146</f>
        <v>14331084</v>
      </c>
      <c r="AC146" s="1">
        <f t="shared" ref="AC146:AC157" si="172">+J146</f>
        <v>381422</v>
      </c>
      <c r="AD146" s="11">
        <f t="shared" ref="AD146:AD157" si="173">+K146</f>
        <v>76505436</v>
      </c>
      <c r="AE146" s="8">
        <f t="shared" ref="AE146:AE157" si="174">+L146</f>
        <v>13376</v>
      </c>
      <c r="AF146" s="11">
        <f t="shared" ref="AF146:AF157" si="175">+M146</f>
        <v>2934464</v>
      </c>
      <c r="AG146" s="8">
        <f t="shared" ref="AG146:AG157" si="176">+N146</f>
        <v>49656</v>
      </c>
      <c r="AH146" s="11">
        <f t="shared" ref="AH146:AH157" si="177">+O146</f>
        <v>8578007</v>
      </c>
      <c r="AI146" s="8">
        <f t="shared" ref="AI146:AI157" si="178">+P146</f>
        <v>7</v>
      </c>
      <c r="AJ146" s="11">
        <f t="shared" ref="AJ146:AJ157" si="179">+Q146</f>
        <v>1960</v>
      </c>
      <c r="AK146" s="11">
        <f t="shared" ref="AK146:AK157" si="180">+R146</f>
        <v>55</v>
      </c>
      <c r="AL146" s="11">
        <f t="shared" ref="AL146:AL157" si="181">+S146</f>
        <v>4855</v>
      </c>
      <c r="AM146" s="8">
        <f>AI146+AG146+AE146+AC146+AA146+AK146</f>
        <v>540365</v>
      </c>
      <c r="AN146" s="11">
        <f t="shared" ref="AN146:AN157" si="182">AJ146+AH146+AF146+AD146+AB146+AL146</f>
        <v>102355806</v>
      </c>
      <c r="AO146" s="2" t="str">
        <f t="shared" ref="AO146:AO157" si="183">+V146</f>
        <v>GANA</v>
      </c>
      <c r="AP146" s="37">
        <f t="shared" ref="AP146:AP157" si="184">+AM146-T146</f>
        <v>0</v>
      </c>
      <c r="AQ146" s="37">
        <f t="shared" ref="AQ146:AQ157" si="185">+AN146-U146</f>
        <v>0</v>
      </c>
    </row>
    <row r="147" spans="2:44" x14ac:dyDescent="0.25">
      <c r="B147" s="2" t="s">
        <v>6</v>
      </c>
      <c r="C147" s="2">
        <v>2024</v>
      </c>
      <c r="D147" s="1">
        <v>29159</v>
      </c>
      <c r="E147" s="11">
        <v>4194621</v>
      </c>
      <c r="F147" s="1">
        <v>13557</v>
      </c>
      <c r="G147" s="11">
        <v>2231334</v>
      </c>
      <c r="H147" s="1">
        <v>40724</v>
      </c>
      <c r="I147" s="11">
        <v>6402800</v>
      </c>
      <c r="J147" s="1">
        <v>346542</v>
      </c>
      <c r="K147" s="11">
        <v>70324573</v>
      </c>
      <c r="L147" s="1">
        <v>11827</v>
      </c>
      <c r="M147" s="11">
        <v>2692726</v>
      </c>
      <c r="N147" s="1">
        <v>47181</v>
      </c>
      <c r="O147" s="11">
        <v>8235107</v>
      </c>
      <c r="P147" s="1">
        <v>8</v>
      </c>
      <c r="Q147" s="11">
        <v>1555</v>
      </c>
      <c r="R147" s="1">
        <v>195</v>
      </c>
      <c r="S147" s="11">
        <v>25277</v>
      </c>
      <c r="T147" s="53">
        <f t="shared" si="169"/>
        <v>489193</v>
      </c>
      <c r="U147" s="54">
        <f t="shared" si="169"/>
        <v>94107993</v>
      </c>
      <c r="V147" s="2" t="s">
        <v>61</v>
      </c>
      <c r="W147" s="66"/>
      <c r="Y147" s="2" t="s">
        <v>6</v>
      </c>
      <c r="Z147" s="2">
        <v>2024</v>
      </c>
      <c r="AA147" s="1">
        <f t="shared" si="170"/>
        <v>83440</v>
      </c>
      <c r="AB147" s="11">
        <f t="shared" si="171"/>
        <v>12828755</v>
      </c>
      <c r="AC147" s="1">
        <f t="shared" si="172"/>
        <v>346542</v>
      </c>
      <c r="AD147" s="11">
        <f t="shared" si="173"/>
        <v>70324573</v>
      </c>
      <c r="AE147" s="8">
        <f t="shared" si="174"/>
        <v>11827</v>
      </c>
      <c r="AF147" s="11">
        <f t="shared" si="175"/>
        <v>2692726</v>
      </c>
      <c r="AG147" s="8">
        <f t="shared" si="176"/>
        <v>47181</v>
      </c>
      <c r="AH147" s="11">
        <f t="shared" si="177"/>
        <v>8235107</v>
      </c>
      <c r="AI147" s="8">
        <f t="shared" si="178"/>
        <v>8</v>
      </c>
      <c r="AJ147" s="11">
        <f t="shared" si="179"/>
        <v>1555</v>
      </c>
      <c r="AK147" s="11">
        <f t="shared" si="180"/>
        <v>195</v>
      </c>
      <c r="AL147" s="11">
        <f t="shared" si="181"/>
        <v>25277</v>
      </c>
      <c r="AM147" s="8">
        <f t="shared" ref="AM147:AM157" si="186">AI147+AG147+AE147+AC147+AA147+AK147</f>
        <v>489193</v>
      </c>
      <c r="AN147" s="11">
        <f t="shared" si="182"/>
        <v>94107993</v>
      </c>
      <c r="AO147" s="2" t="str">
        <f t="shared" si="183"/>
        <v>GANA</v>
      </c>
      <c r="AP147" s="37">
        <f t="shared" si="184"/>
        <v>0</v>
      </c>
      <c r="AQ147" s="37">
        <f t="shared" si="185"/>
        <v>0</v>
      </c>
    </row>
    <row r="148" spans="2:44" x14ac:dyDescent="0.25">
      <c r="B148" s="2" t="s">
        <v>7</v>
      </c>
      <c r="C148" s="2">
        <v>2024</v>
      </c>
      <c r="D148" s="1">
        <v>37094</v>
      </c>
      <c r="E148" s="11">
        <v>5131057</v>
      </c>
      <c r="F148" s="1">
        <v>15688</v>
      </c>
      <c r="G148" s="11">
        <v>2424703</v>
      </c>
      <c r="H148" s="1">
        <v>57255</v>
      </c>
      <c r="I148" s="11">
        <v>8587138</v>
      </c>
      <c r="J148" s="1">
        <v>396858</v>
      </c>
      <c r="K148" s="11">
        <v>78386000</v>
      </c>
      <c r="L148" s="1">
        <v>12537</v>
      </c>
      <c r="M148" s="11">
        <v>2717295</v>
      </c>
      <c r="N148" s="1">
        <v>51437</v>
      </c>
      <c r="O148" s="11">
        <v>8671397</v>
      </c>
      <c r="P148" s="1">
        <v>11</v>
      </c>
      <c r="Q148" s="11">
        <v>2393</v>
      </c>
      <c r="R148" s="1">
        <v>566</v>
      </c>
      <c r="S148" s="11">
        <v>76743</v>
      </c>
      <c r="T148" s="53">
        <f t="shared" si="169"/>
        <v>571446</v>
      </c>
      <c r="U148" s="54">
        <f t="shared" si="169"/>
        <v>105996726</v>
      </c>
      <c r="V148" s="2" t="s">
        <v>61</v>
      </c>
      <c r="W148" s="66"/>
      <c r="X148" s="13"/>
      <c r="Y148" s="2" t="s">
        <v>7</v>
      </c>
      <c r="Z148" s="2">
        <v>2024</v>
      </c>
      <c r="AA148" s="1">
        <f t="shared" si="170"/>
        <v>110037</v>
      </c>
      <c r="AB148" s="11">
        <f t="shared" si="171"/>
        <v>16142898</v>
      </c>
      <c r="AC148" s="1">
        <f t="shared" si="172"/>
        <v>396858</v>
      </c>
      <c r="AD148" s="11">
        <f t="shared" si="173"/>
        <v>78386000</v>
      </c>
      <c r="AE148" s="8">
        <f t="shared" si="174"/>
        <v>12537</v>
      </c>
      <c r="AF148" s="11">
        <f t="shared" si="175"/>
        <v>2717295</v>
      </c>
      <c r="AG148" s="8">
        <f t="shared" si="176"/>
        <v>51437</v>
      </c>
      <c r="AH148" s="11">
        <f t="shared" si="177"/>
        <v>8671397</v>
      </c>
      <c r="AI148" s="8">
        <f t="shared" si="178"/>
        <v>11</v>
      </c>
      <c r="AJ148" s="11">
        <f t="shared" si="179"/>
        <v>2393</v>
      </c>
      <c r="AK148" s="11">
        <f t="shared" si="180"/>
        <v>566</v>
      </c>
      <c r="AL148" s="11">
        <f t="shared" si="181"/>
        <v>76743</v>
      </c>
      <c r="AM148" s="8">
        <f t="shared" si="186"/>
        <v>571446</v>
      </c>
      <c r="AN148" s="11">
        <f t="shared" si="182"/>
        <v>105996726</v>
      </c>
      <c r="AO148" s="2" t="str">
        <f t="shared" si="183"/>
        <v>GANA</v>
      </c>
      <c r="AP148" s="37">
        <f t="shared" si="184"/>
        <v>0</v>
      </c>
      <c r="AQ148" s="37">
        <f t="shared" si="185"/>
        <v>0</v>
      </c>
    </row>
    <row r="149" spans="2:44" x14ac:dyDescent="0.25">
      <c r="B149" s="2" t="s">
        <v>8</v>
      </c>
      <c r="C149" s="2">
        <v>2024</v>
      </c>
      <c r="D149" s="1">
        <v>34664</v>
      </c>
      <c r="E149" s="11">
        <v>4873879</v>
      </c>
      <c r="F149" s="1">
        <v>15676</v>
      </c>
      <c r="G149" s="11">
        <v>2483428</v>
      </c>
      <c r="H149" s="1">
        <v>56461</v>
      </c>
      <c r="I149" s="11">
        <v>8229391</v>
      </c>
      <c r="J149" s="1">
        <v>384510</v>
      </c>
      <c r="K149" s="11">
        <v>76854461</v>
      </c>
      <c r="L149" s="1">
        <v>13230</v>
      </c>
      <c r="M149" s="11">
        <v>2868425</v>
      </c>
      <c r="N149" s="1">
        <v>53649</v>
      </c>
      <c r="O149" s="11">
        <v>9030645</v>
      </c>
      <c r="P149" s="1">
        <v>9</v>
      </c>
      <c r="Q149" s="11">
        <v>1620</v>
      </c>
      <c r="R149" s="1">
        <v>738</v>
      </c>
      <c r="S149" s="11">
        <v>102220</v>
      </c>
      <c r="T149" s="53">
        <f t="shared" si="169"/>
        <v>558937</v>
      </c>
      <c r="U149" s="54">
        <f t="shared" si="169"/>
        <v>104444069</v>
      </c>
      <c r="V149" s="2" t="s">
        <v>61</v>
      </c>
      <c r="W149" s="66"/>
      <c r="X149" s="13"/>
      <c r="Y149" s="2" t="s">
        <v>8</v>
      </c>
      <c r="Z149" s="2">
        <v>2024</v>
      </c>
      <c r="AA149" s="1">
        <f t="shared" si="170"/>
        <v>106801</v>
      </c>
      <c r="AB149" s="11">
        <f t="shared" si="171"/>
        <v>15586698</v>
      </c>
      <c r="AC149" s="1">
        <f t="shared" si="172"/>
        <v>384510</v>
      </c>
      <c r="AD149" s="11">
        <f t="shared" si="173"/>
        <v>76854461</v>
      </c>
      <c r="AE149" s="8">
        <f t="shared" si="174"/>
        <v>13230</v>
      </c>
      <c r="AF149" s="11">
        <f t="shared" si="175"/>
        <v>2868425</v>
      </c>
      <c r="AG149" s="8">
        <f t="shared" si="176"/>
        <v>53649</v>
      </c>
      <c r="AH149" s="11">
        <f t="shared" si="177"/>
        <v>9030645</v>
      </c>
      <c r="AI149" s="8">
        <f t="shared" si="178"/>
        <v>9</v>
      </c>
      <c r="AJ149" s="11">
        <f t="shared" si="179"/>
        <v>1620</v>
      </c>
      <c r="AK149" s="11">
        <f t="shared" si="180"/>
        <v>738</v>
      </c>
      <c r="AL149" s="11">
        <f t="shared" si="181"/>
        <v>102220</v>
      </c>
      <c r="AM149" s="8">
        <f t="shared" si="186"/>
        <v>558937</v>
      </c>
      <c r="AN149" s="11">
        <f t="shared" si="182"/>
        <v>104444069</v>
      </c>
      <c r="AO149" s="2" t="str">
        <f t="shared" si="183"/>
        <v>GANA</v>
      </c>
      <c r="AP149" s="37">
        <f t="shared" si="184"/>
        <v>0</v>
      </c>
      <c r="AQ149" s="37">
        <f t="shared" si="185"/>
        <v>0</v>
      </c>
    </row>
    <row r="150" spans="2:44" x14ac:dyDescent="0.25">
      <c r="B150" s="2" t="s">
        <v>9</v>
      </c>
      <c r="C150" s="2">
        <v>2024</v>
      </c>
      <c r="D150" s="1">
        <v>35343</v>
      </c>
      <c r="E150" s="11">
        <v>4917325</v>
      </c>
      <c r="F150" s="1">
        <v>15458</v>
      </c>
      <c r="G150" s="11">
        <v>2518547</v>
      </c>
      <c r="H150" s="1">
        <v>54206</v>
      </c>
      <c r="I150" s="11">
        <v>7795957</v>
      </c>
      <c r="J150" s="1">
        <v>385042</v>
      </c>
      <c r="K150" s="11">
        <v>76622121</v>
      </c>
      <c r="L150" s="1">
        <v>14071</v>
      </c>
      <c r="M150" s="11">
        <v>3054108</v>
      </c>
      <c r="N150" s="1">
        <v>52730</v>
      </c>
      <c r="O150" s="11">
        <v>8640287</v>
      </c>
      <c r="P150" s="1">
        <v>6</v>
      </c>
      <c r="Q150" s="11">
        <v>1043</v>
      </c>
      <c r="R150" s="1">
        <v>702</v>
      </c>
      <c r="S150" s="11">
        <v>98199</v>
      </c>
      <c r="T150" s="53">
        <f t="shared" si="169"/>
        <v>557558</v>
      </c>
      <c r="U150" s="54">
        <f t="shared" si="169"/>
        <v>103647587</v>
      </c>
      <c r="V150" s="2" t="s">
        <v>61</v>
      </c>
      <c r="W150" s="66"/>
      <c r="X150" s="13"/>
      <c r="Y150" s="2" t="s">
        <v>9</v>
      </c>
      <c r="Z150" s="2">
        <v>2024</v>
      </c>
      <c r="AA150" s="1">
        <f t="shared" si="170"/>
        <v>105007</v>
      </c>
      <c r="AB150" s="11">
        <f t="shared" si="171"/>
        <v>15231829</v>
      </c>
      <c r="AC150" s="1">
        <f t="shared" si="172"/>
        <v>385042</v>
      </c>
      <c r="AD150" s="11">
        <f t="shared" si="173"/>
        <v>76622121</v>
      </c>
      <c r="AE150" s="8">
        <f t="shared" si="174"/>
        <v>14071</v>
      </c>
      <c r="AF150" s="11">
        <f t="shared" si="175"/>
        <v>3054108</v>
      </c>
      <c r="AG150" s="8">
        <f t="shared" si="176"/>
        <v>52730</v>
      </c>
      <c r="AH150" s="11">
        <f t="shared" si="177"/>
        <v>8640287</v>
      </c>
      <c r="AI150" s="8">
        <f t="shared" si="178"/>
        <v>6</v>
      </c>
      <c r="AJ150" s="11">
        <f t="shared" si="179"/>
        <v>1043</v>
      </c>
      <c r="AK150" s="11">
        <f t="shared" si="180"/>
        <v>702</v>
      </c>
      <c r="AL150" s="11">
        <f t="shared" si="181"/>
        <v>98199</v>
      </c>
      <c r="AM150" s="8">
        <f t="shared" si="186"/>
        <v>557558</v>
      </c>
      <c r="AN150" s="11">
        <f t="shared" si="182"/>
        <v>103647587</v>
      </c>
      <c r="AO150" s="2" t="str">
        <f t="shared" si="183"/>
        <v>GANA</v>
      </c>
      <c r="AP150" s="37">
        <f t="shared" si="184"/>
        <v>0</v>
      </c>
      <c r="AQ150" s="37">
        <f t="shared" si="185"/>
        <v>0</v>
      </c>
    </row>
    <row r="151" spans="2:44" x14ac:dyDescent="0.25">
      <c r="B151" s="2" t="s">
        <v>10</v>
      </c>
      <c r="C151" s="2">
        <v>2024</v>
      </c>
      <c r="D151" s="1">
        <v>33614</v>
      </c>
      <c r="E151" s="11">
        <v>4700113</v>
      </c>
      <c r="F151" s="1">
        <v>15110</v>
      </c>
      <c r="G151" s="11">
        <v>2474487</v>
      </c>
      <c r="H151" s="1">
        <v>53142</v>
      </c>
      <c r="I151" s="11">
        <v>7763108</v>
      </c>
      <c r="J151" s="1">
        <v>379877</v>
      </c>
      <c r="K151" s="11">
        <v>76985328</v>
      </c>
      <c r="L151" s="1">
        <v>14039</v>
      </c>
      <c r="M151" s="11">
        <v>3056683</v>
      </c>
      <c r="N151" s="1">
        <v>51445</v>
      </c>
      <c r="O151" s="11">
        <v>8401842</v>
      </c>
      <c r="P151" s="1">
        <v>0</v>
      </c>
      <c r="Q151" s="11">
        <v>0</v>
      </c>
      <c r="R151" s="1">
        <v>672</v>
      </c>
      <c r="S151" s="11">
        <v>91661</v>
      </c>
      <c r="T151" s="53">
        <f t="shared" si="169"/>
        <v>547899</v>
      </c>
      <c r="U151" s="54">
        <f t="shared" si="169"/>
        <v>103473222</v>
      </c>
      <c r="V151" s="2" t="s">
        <v>61</v>
      </c>
      <c r="W151" s="66"/>
      <c r="Y151" s="2" t="s">
        <v>10</v>
      </c>
      <c r="Z151" s="2">
        <v>2024</v>
      </c>
      <c r="AA151" s="1">
        <f t="shared" si="170"/>
        <v>101866</v>
      </c>
      <c r="AB151" s="11">
        <f t="shared" si="171"/>
        <v>14937708</v>
      </c>
      <c r="AC151" s="1">
        <f t="shared" si="172"/>
        <v>379877</v>
      </c>
      <c r="AD151" s="11">
        <f t="shared" si="173"/>
        <v>76985328</v>
      </c>
      <c r="AE151" s="8">
        <f t="shared" si="174"/>
        <v>14039</v>
      </c>
      <c r="AF151" s="11">
        <f t="shared" si="175"/>
        <v>3056683</v>
      </c>
      <c r="AG151" s="8">
        <f t="shared" si="176"/>
        <v>51445</v>
      </c>
      <c r="AH151" s="11">
        <f t="shared" si="177"/>
        <v>8401842</v>
      </c>
      <c r="AI151" s="8">
        <f t="shared" si="178"/>
        <v>0</v>
      </c>
      <c r="AJ151" s="11">
        <f t="shared" si="179"/>
        <v>0</v>
      </c>
      <c r="AK151" s="11">
        <f t="shared" si="180"/>
        <v>672</v>
      </c>
      <c r="AL151" s="11">
        <f t="shared" si="181"/>
        <v>91661</v>
      </c>
      <c r="AM151" s="8">
        <f t="shared" si="186"/>
        <v>547899</v>
      </c>
      <c r="AN151" s="11">
        <f t="shared" si="182"/>
        <v>103473222</v>
      </c>
      <c r="AO151" s="2" t="str">
        <f t="shared" si="183"/>
        <v>GANA</v>
      </c>
      <c r="AP151" s="37">
        <f t="shared" si="184"/>
        <v>0</v>
      </c>
      <c r="AQ151" s="37">
        <f t="shared" si="185"/>
        <v>0</v>
      </c>
    </row>
    <row r="152" spans="2:44" x14ac:dyDescent="0.25">
      <c r="B152" s="2" t="s">
        <v>11</v>
      </c>
      <c r="C152" s="2">
        <v>2024</v>
      </c>
      <c r="D152" s="1">
        <v>36544</v>
      </c>
      <c r="E152" s="11">
        <v>5107274</v>
      </c>
      <c r="F152" s="1">
        <v>16314</v>
      </c>
      <c r="G152" s="11">
        <v>2631418</v>
      </c>
      <c r="H152" s="1">
        <v>59032</v>
      </c>
      <c r="I152" s="11">
        <v>8624118</v>
      </c>
      <c r="J152" s="1">
        <v>400209</v>
      </c>
      <c r="K152" s="11">
        <v>78768954</v>
      </c>
      <c r="L152" s="1">
        <v>15098</v>
      </c>
      <c r="M152" s="11">
        <v>3233467</v>
      </c>
      <c r="N152" s="1">
        <v>55090</v>
      </c>
      <c r="O152" s="11">
        <v>8960266</v>
      </c>
      <c r="P152" s="1">
        <v>8</v>
      </c>
      <c r="Q152" s="11">
        <v>1482</v>
      </c>
      <c r="R152" s="1">
        <v>966</v>
      </c>
      <c r="S152" s="11">
        <v>126838</v>
      </c>
      <c r="T152" s="53">
        <f t="shared" si="169"/>
        <v>583261</v>
      </c>
      <c r="U152" s="54">
        <f t="shared" si="169"/>
        <v>107453817</v>
      </c>
      <c r="V152" s="2" t="s">
        <v>61</v>
      </c>
      <c r="W152" s="66"/>
      <c r="Y152" s="2" t="s">
        <v>11</v>
      </c>
      <c r="Z152" s="2">
        <v>2024</v>
      </c>
      <c r="AA152" s="1">
        <f t="shared" si="170"/>
        <v>111890</v>
      </c>
      <c r="AB152" s="11">
        <f t="shared" si="171"/>
        <v>16362810</v>
      </c>
      <c r="AC152" s="1">
        <f t="shared" si="172"/>
        <v>400209</v>
      </c>
      <c r="AD152" s="11">
        <f t="shared" si="173"/>
        <v>78768954</v>
      </c>
      <c r="AE152" s="8">
        <f t="shared" si="174"/>
        <v>15098</v>
      </c>
      <c r="AF152" s="11">
        <f t="shared" si="175"/>
        <v>3233467</v>
      </c>
      <c r="AG152" s="8">
        <f t="shared" si="176"/>
        <v>55090</v>
      </c>
      <c r="AH152" s="11">
        <f t="shared" si="177"/>
        <v>8960266</v>
      </c>
      <c r="AI152" s="8">
        <f t="shared" si="178"/>
        <v>8</v>
      </c>
      <c r="AJ152" s="11">
        <f t="shared" si="179"/>
        <v>1482</v>
      </c>
      <c r="AK152" s="11">
        <f t="shared" si="180"/>
        <v>966</v>
      </c>
      <c r="AL152" s="11">
        <f t="shared" si="181"/>
        <v>126838</v>
      </c>
      <c r="AM152" s="8">
        <f t="shared" si="186"/>
        <v>583261</v>
      </c>
      <c r="AN152" s="11">
        <f t="shared" si="182"/>
        <v>107453817</v>
      </c>
      <c r="AO152" s="2" t="str">
        <f t="shared" si="183"/>
        <v>GANA</v>
      </c>
      <c r="AP152" s="37">
        <f t="shared" si="184"/>
        <v>0</v>
      </c>
      <c r="AQ152" s="37">
        <f t="shared" si="185"/>
        <v>0</v>
      </c>
    </row>
    <row r="153" spans="2:44" x14ac:dyDescent="0.25">
      <c r="B153" s="2" t="s">
        <v>4</v>
      </c>
      <c r="C153" s="2">
        <v>2024</v>
      </c>
      <c r="D153" s="1">
        <v>37122</v>
      </c>
      <c r="E153" s="11">
        <v>5277518</v>
      </c>
      <c r="F153" s="1">
        <v>15838</v>
      </c>
      <c r="G153" s="11">
        <v>2560206</v>
      </c>
      <c r="H153" s="1">
        <v>52645</v>
      </c>
      <c r="I153" s="11">
        <v>8217671</v>
      </c>
      <c r="J153" s="1">
        <v>402117</v>
      </c>
      <c r="K153" s="11">
        <v>79419014</v>
      </c>
      <c r="L153" s="1">
        <v>14687</v>
      </c>
      <c r="M153" s="11">
        <v>3208547</v>
      </c>
      <c r="N153" s="1">
        <v>55337</v>
      </c>
      <c r="O153" s="11">
        <v>8939529</v>
      </c>
      <c r="P153" s="1">
        <v>0</v>
      </c>
      <c r="Q153" s="11">
        <v>0</v>
      </c>
      <c r="R153" s="1">
        <v>1421</v>
      </c>
      <c r="S153" s="11">
        <v>189719</v>
      </c>
      <c r="T153" s="53">
        <f t="shared" si="169"/>
        <v>579167</v>
      </c>
      <c r="U153" s="54">
        <f t="shared" si="169"/>
        <v>107812204</v>
      </c>
      <c r="V153" s="2" t="s">
        <v>61</v>
      </c>
      <c r="W153" s="66"/>
      <c r="Y153" s="2" t="s">
        <v>4</v>
      </c>
      <c r="Z153" s="2">
        <v>2024</v>
      </c>
      <c r="AA153" s="1">
        <f t="shared" si="170"/>
        <v>105605</v>
      </c>
      <c r="AB153" s="11">
        <f t="shared" si="171"/>
        <v>16055395</v>
      </c>
      <c r="AC153" s="1">
        <f t="shared" si="172"/>
        <v>402117</v>
      </c>
      <c r="AD153" s="11">
        <f t="shared" si="173"/>
        <v>79419014</v>
      </c>
      <c r="AE153" s="8">
        <f t="shared" si="174"/>
        <v>14687</v>
      </c>
      <c r="AF153" s="11">
        <f t="shared" si="175"/>
        <v>3208547</v>
      </c>
      <c r="AG153" s="8">
        <f t="shared" si="176"/>
        <v>55337</v>
      </c>
      <c r="AH153" s="11">
        <f t="shared" si="177"/>
        <v>8939529</v>
      </c>
      <c r="AI153" s="8">
        <f t="shared" si="178"/>
        <v>0</v>
      </c>
      <c r="AJ153" s="11">
        <f t="shared" si="179"/>
        <v>0</v>
      </c>
      <c r="AK153" s="11">
        <f t="shared" si="180"/>
        <v>1421</v>
      </c>
      <c r="AL153" s="11">
        <f t="shared" si="181"/>
        <v>189719</v>
      </c>
      <c r="AM153" s="8">
        <f t="shared" si="186"/>
        <v>579167</v>
      </c>
      <c r="AN153" s="11">
        <f t="shared" si="182"/>
        <v>107812204</v>
      </c>
      <c r="AO153" s="2" t="str">
        <f t="shared" si="183"/>
        <v>GANA</v>
      </c>
      <c r="AP153" s="37">
        <f t="shared" si="184"/>
        <v>0</v>
      </c>
      <c r="AQ153" s="37">
        <f t="shared" si="185"/>
        <v>0</v>
      </c>
      <c r="AR153" s="13"/>
    </row>
    <row r="154" spans="2:44" x14ac:dyDescent="0.25">
      <c r="B154" s="2" t="s">
        <v>28</v>
      </c>
      <c r="C154" s="2">
        <v>2024</v>
      </c>
      <c r="D154" s="1">
        <v>33931</v>
      </c>
      <c r="E154" s="11">
        <v>4843094</v>
      </c>
      <c r="F154" s="1">
        <v>16139</v>
      </c>
      <c r="G154" s="11">
        <v>2577048</v>
      </c>
      <c r="H154" s="1">
        <v>55373</v>
      </c>
      <c r="I154" s="11">
        <v>8140409</v>
      </c>
      <c r="J154" s="1">
        <v>369682</v>
      </c>
      <c r="K154" s="11">
        <v>72447768</v>
      </c>
      <c r="L154" s="1">
        <v>13419</v>
      </c>
      <c r="M154" s="11">
        <v>2820894</v>
      </c>
      <c r="N154" s="1">
        <v>51820</v>
      </c>
      <c r="O154" s="11">
        <v>8144908</v>
      </c>
      <c r="P154" s="1">
        <v>0</v>
      </c>
      <c r="Q154" s="11">
        <v>0</v>
      </c>
      <c r="R154" s="1">
        <v>1367</v>
      </c>
      <c r="S154" s="11">
        <v>179950</v>
      </c>
      <c r="T154" s="53">
        <f t="shared" si="169"/>
        <v>541731</v>
      </c>
      <c r="U154" s="54">
        <f t="shared" si="169"/>
        <v>99154071</v>
      </c>
      <c r="V154" s="2" t="s">
        <v>61</v>
      </c>
      <c r="W154" s="66"/>
      <c r="Y154" s="2" t="s">
        <v>28</v>
      </c>
      <c r="Z154" s="2">
        <v>2024</v>
      </c>
      <c r="AA154" s="1">
        <f t="shared" si="170"/>
        <v>105443</v>
      </c>
      <c r="AB154" s="11">
        <f t="shared" si="171"/>
        <v>15560551</v>
      </c>
      <c r="AC154" s="1">
        <f t="shared" si="172"/>
        <v>369682</v>
      </c>
      <c r="AD154" s="11">
        <f t="shared" si="173"/>
        <v>72447768</v>
      </c>
      <c r="AE154" s="8">
        <f t="shared" si="174"/>
        <v>13419</v>
      </c>
      <c r="AF154" s="11">
        <f t="shared" si="175"/>
        <v>2820894</v>
      </c>
      <c r="AG154" s="8">
        <f t="shared" si="176"/>
        <v>51820</v>
      </c>
      <c r="AH154" s="11">
        <f t="shared" si="177"/>
        <v>8144908</v>
      </c>
      <c r="AI154" s="8">
        <f t="shared" si="178"/>
        <v>0</v>
      </c>
      <c r="AJ154" s="11">
        <f t="shared" si="179"/>
        <v>0</v>
      </c>
      <c r="AK154" s="11">
        <f t="shared" si="180"/>
        <v>1367</v>
      </c>
      <c r="AL154" s="11">
        <f t="shared" si="181"/>
        <v>179950</v>
      </c>
      <c r="AM154" s="8">
        <f t="shared" si="186"/>
        <v>541731</v>
      </c>
      <c r="AN154" s="11">
        <f t="shared" si="182"/>
        <v>99154071</v>
      </c>
      <c r="AO154" s="2" t="str">
        <f t="shared" si="183"/>
        <v>GANA</v>
      </c>
      <c r="AP154" s="37">
        <f t="shared" si="184"/>
        <v>0</v>
      </c>
      <c r="AQ154" s="37">
        <f t="shared" si="185"/>
        <v>0</v>
      </c>
      <c r="AR154" s="13"/>
    </row>
    <row r="155" spans="2:44" x14ac:dyDescent="0.25">
      <c r="B155" s="2" t="s">
        <v>29</v>
      </c>
      <c r="C155" s="2">
        <v>2024</v>
      </c>
      <c r="D155" s="1">
        <v>35074</v>
      </c>
      <c r="E155" s="11">
        <v>4997926</v>
      </c>
      <c r="F155" s="1">
        <v>15015</v>
      </c>
      <c r="G155" s="11">
        <v>2631271</v>
      </c>
      <c r="H155" s="1">
        <v>62074</v>
      </c>
      <c r="I155" s="11">
        <v>8906972</v>
      </c>
      <c r="J155" s="1">
        <v>424101</v>
      </c>
      <c r="K155" s="11">
        <v>88024384</v>
      </c>
      <c r="L155" s="1">
        <v>16632</v>
      </c>
      <c r="M155" s="11">
        <v>3682542</v>
      </c>
      <c r="N155" s="1">
        <v>56302</v>
      </c>
      <c r="O155" s="11">
        <v>9254111</v>
      </c>
      <c r="P155" s="1">
        <v>20</v>
      </c>
      <c r="Q155" s="11">
        <v>4968</v>
      </c>
      <c r="R155" s="1">
        <v>1591</v>
      </c>
      <c r="S155" s="11">
        <v>217735</v>
      </c>
      <c r="T155" s="53">
        <f t="shared" si="169"/>
        <v>610809</v>
      </c>
      <c r="U155" s="54">
        <f t="shared" si="169"/>
        <v>117719909</v>
      </c>
      <c r="V155" s="2" t="s">
        <v>61</v>
      </c>
      <c r="W155" s="66"/>
      <c r="Y155" s="2" t="s">
        <v>29</v>
      </c>
      <c r="Z155" s="2">
        <v>2024</v>
      </c>
      <c r="AA155" s="1">
        <f t="shared" si="170"/>
        <v>112163</v>
      </c>
      <c r="AB155" s="11">
        <f t="shared" si="171"/>
        <v>16536169</v>
      </c>
      <c r="AC155" s="1">
        <f t="shared" si="172"/>
        <v>424101</v>
      </c>
      <c r="AD155" s="11">
        <f t="shared" si="173"/>
        <v>88024384</v>
      </c>
      <c r="AE155" s="8">
        <f t="shared" si="174"/>
        <v>16632</v>
      </c>
      <c r="AF155" s="11">
        <f t="shared" si="175"/>
        <v>3682542</v>
      </c>
      <c r="AG155" s="8">
        <f t="shared" si="176"/>
        <v>56302</v>
      </c>
      <c r="AH155" s="11">
        <f t="shared" si="177"/>
        <v>9254111</v>
      </c>
      <c r="AI155" s="8">
        <f t="shared" si="178"/>
        <v>20</v>
      </c>
      <c r="AJ155" s="11">
        <f t="shared" si="179"/>
        <v>4968</v>
      </c>
      <c r="AK155" s="11">
        <f t="shared" si="180"/>
        <v>1591</v>
      </c>
      <c r="AL155" s="11">
        <f t="shared" si="181"/>
        <v>217735</v>
      </c>
      <c r="AM155" s="8">
        <f t="shared" si="186"/>
        <v>610809</v>
      </c>
      <c r="AN155" s="11">
        <f t="shared" si="182"/>
        <v>117719909</v>
      </c>
      <c r="AO155" s="2" t="str">
        <f t="shared" si="183"/>
        <v>GANA</v>
      </c>
      <c r="AP155" s="37">
        <f t="shared" si="184"/>
        <v>0</v>
      </c>
      <c r="AQ155" s="37">
        <f t="shared" si="185"/>
        <v>0</v>
      </c>
      <c r="AR155" s="13"/>
    </row>
    <row r="156" spans="2:44" x14ac:dyDescent="0.25">
      <c r="B156" s="2" t="s">
        <v>30</v>
      </c>
      <c r="C156" s="2">
        <v>2024</v>
      </c>
      <c r="D156" s="1">
        <v>40481</v>
      </c>
      <c r="E156" s="11">
        <v>6172494</v>
      </c>
      <c r="F156" s="1">
        <v>19094</v>
      </c>
      <c r="G156" s="11">
        <v>3931172</v>
      </c>
      <c r="H156" s="1">
        <v>59966</v>
      </c>
      <c r="I156" s="11">
        <v>8747477</v>
      </c>
      <c r="J156" s="1">
        <v>553702</v>
      </c>
      <c r="K156" s="11">
        <v>124876450</v>
      </c>
      <c r="L156" s="1">
        <v>20952</v>
      </c>
      <c r="M156" s="11">
        <v>4904053</v>
      </c>
      <c r="N156" s="1">
        <v>64270</v>
      </c>
      <c r="O156" s="11">
        <v>11598640</v>
      </c>
      <c r="P156" s="1">
        <v>6</v>
      </c>
      <c r="Q156" s="11">
        <v>1595</v>
      </c>
      <c r="R156" s="1">
        <v>1962</v>
      </c>
      <c r="S156" s="11">
        <v>289717</v>
      </c>
      <c r="T156" s="53">
        <f t="shared" si="169"/>
        <v>760433</v>
      </c>
      <c r="U156" s="54">
        <f t="shared" si="169"/>
        <v>160521598</v>
      </c>
      <c r="V156" s="2" t="s">
        <v>61</v>
      </c>
      <c r="W156" s="66"/>
      <c r="Y156" s="2" t="s">
        <v>30</v>
      </c>
      <c r="Z156" s="2">
        <v>2024</v>
      </c>
      <c r="AA156" s="1">
        <f t="shared" si="170"/>
        <v>119541</v>
      </c>
      <c r="AB156" s="11">
        <f t="shared" si="171"/>
        <v>18851143</v>
      </c>
      <c r="AC156" s="1">
        <f t="shared" si="172"/>
        <v>553702</v>
      </c>
      <c r="AD156" s="11">
        <f t="shared" si="173"/>
        <v>124876450</v>
      </c>
      <c r="AE156" s="8">
        <f t="shared" si="174"/>
        <v>20952</v>
      </c>
      <c r="AF156" s="11">
        <f t="shared" si="175"/>
        <v>4904053</v>
      </c>
      <c r="AG156" s="8">
        <f t="shared" si="176"/>
        <v>64270</v>
      </c>
      <c r="AH156" s="11">
        <f t="shared" si="177"/>
        <v>11598640</v>
      </c>
      <c r="AI156" s="8">
        <f t="shared" si="178"/>
        <v>6</v>
      </c>
      <c r="AJ156" s="11">
        <f t="shared" si="179"/>
        <v>1595</v>
      </c>
      <c r="AK156" s="11">
        <f t="shared" si="180"/>
        <v>1962</v>
      </c>
      <c r="AL156" s="11">
        <f t="shared" si="181"/>
        <v>289717</v>
      </c>
      <c r="AM156" s="79">
        <f t="shared" si="186"/>
        <v>760433</v>
      </c>
      <c r="AN156" s="80">
        <f t="shared" si="182"/>
        <v>160521598</v>
      </c>
      <c r="AO156" s="2" t="str">
        <f t="shared" si="183"/>
        <v>GANA</v>
      </c>
      <c r="AP156" s="37">
        <f t="shared" si="184"/>
        <v>0</v>
      </c>
      <c r="AQ156" s="37">
        <f t="shared" si="185"/>
        <v>0</v>
      </c>
    </row>
    <row r="157" spans="2:44" x14ac:dyDescent="0.25">
      <c r="B157" s="2" t="s">
        <v>31</v>
      </c>
      <c r="C157" s="2">
        <v>2024</v>
      </c>
      <c r="D157" s="1">
        <v>44103</v>
      </c>
      <c r="E157" s="11">
        <v>6597609</v>
      </c>
      <c r="F157" s="1">
        <v>18538</v>
      </c>
      <c r="G157" s="11">
        <v>3854664</v>
      </c>
      <c r="H157" s="1">
        <v>54948</v>
      </c>
      <c r="I157" s="11">
        <v>8703088</v>
      </c>
      <c r="J157" s="1">
        <v>538531</v>
      </c>
      <c r="K157" s="11">
        <v>118892766</v>
      </c>
      <c r="L157" s="1">
        <v>20601</v>
      </c>
      <c r="M157" s="11">
        <v>4790370</v>
      </c>
      <c r="N157" s="1">
        <v>60837</v>
      </c>
      <c r="O157" s="11">
        <v>11166617</v>
      </c>
      <c r="P157" s="1">
        <v>6</v>
      </c>
      <c r="Q157" s="11">
        <v>1198</v>
      </c>
      <c r="R157" s="1">
        <v>2348</v>
      </c>
      <c r="S157" s="11">
        <v>328481</v>
      </c>
      <c r="T157" s="53">
        <f t="shared" si="169"/>
        <v>739912</v>
      </c>
      <c r="U157" s="54">
        <f t="shared" si="169"/>
        <v>154334793</v>
      </c>
      <c r="V157" s="2" t="s">
        <v>61</v>
      </c>
      <c r="W157" s="66"/>
      <c r="Y157" s="2" t="s">
        <v>31</v>
      </c>
      <c r="Z157" s="2">
        <v>2024</v>
      </c>
      <c r="AA157" s="1">
        <f t="shared" si="170"/>
        <v>117589</v>
      </c>
      <c r="AB157" s="11">
        <f t="shared" si="171"/>
        <v>19155361</v>
      </c>
      <c r="AC157" s="1">
        <f t="shared" si="172"/>
        <v>538531</v>
      </c>
      <c r="AD157" s="11">
        <f t="shared" si="173"/>
        <v>118892766</v>
      </c>
      <c r="AE157" s="8">
        <f t="shared" si="174"/>
        <v>20601</v>
      </c>
      <c r="AF157" s="11">
        <f t="shared" si="175"/>
        <v>4790370</v>
      </c>
      <c r="AG157" s="8">
        <f t="shared" si="176"/>
        <v>60837</v>
      </c>
      <c r="AH157" s="11">
        <f t="shared" si="177"/>
        <v>11166617</v>
      </c>
      <c r="AI157" s="8">
        <f t="shared" si="178"/>
        <v>6</v>
      </c>
      <c r="AJ157" s="11">
        <f t="shared" si="179"/>
        <v>1198</v>
      </c>
      <c r="AK157" s="11">
        <f t="shared" si="180"/>
        <v>2348</v>
      </c>
      <c r="AL157" s="11">
        <f t="shared" si="181"/>
        <v>328481</v>
      </c>
      <c r="AM157" s="8">
        <f t="shared" si="186"/>
        <v>739912</v>
      </c>
      <c r="AN157" s="11">
        <f t="shared" si="182"/>
        <v>154334793</v>
      </c>
      <c r="AO157" s="2" t="str">
        <f t="shared" si="183"/>
        <v>GANA</v>
      </c>
      <c r="AP157" s="37">
        <f t="shared" si="184"/>
        <v>0</v>
      </c>
      <c r="AQ157" s="37">
        <f t="shared" si="185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187">SUM(D146:D158)</f>
        <v>429566</v>
      </c>
      <c r="E159" s="12">
        <f t="shared" si="187"/>
        <v>61305985</v>
      </c>
      <c r="F159" s="4">
        <f t="shared" si="187"/>
        <v>190533</v>
      </c>
      <c r="G159" s="12">
        <f t="shared" si="187"/>
        <v>32688531</v>
      </c>
      <c r="H159" s="4">
        <f t="shared" si="187"/>
        <v>655132</v>
      </c>
      <c r="I159" s="12">
        <f t="shared" si="187"/>
        <v>97585885</v>
      </c>
      <c r="J159" s="4">
        <f t="shared" si="187"/>
        <v>4962593</v>
      </c>
      <c r="K159" s="12">
        <f t="shared" si="187"/>
        <v>1018107255</v>
      </c>
      <c r="L159" s="4">
        <f t="shared" si="187"/>
        <v>180469</v>
      </c>
      <c r="M159" s="12">
        <f t="shared" si="187"/>
        <v>39963574</v>
      </c>
      <c r="N159" s="4">
        <f t="shared" si="187"/>
        <v>649754</v>
      </c>
      <c r="O159" s="12">
        <f t="shared" si="187"/>
        <v>109621356</v>
      </c>
      <c r="P159" s="4">
        <f t="shared" si="187"/>
        <v>81</v>
      </c>
      <c r="Q159" s="12">
        <f t="shared" si="187"/>
        <v>17814</v>
      </c>
      <c r="R159" s="4">
        <f t="shared" si="187"/>
        <v>12583</v>
      </c>
      <c r="S159" s="12">
        <f t="shared" si="187"/>
        <v>1731395</v>
      </c>
      <c r="T159" s="4">
        <f t="shared" si="187"/>
        <v>7080711</v>
      </c>
      <c r="U159" s="12">
        <f t="shared" si="187"/>
        <v>1361021795</v>
      </c>
      <c r="V159" s="2" t="s">
        <v>122</v>
      </c>
      <c r="Y159" s="3" t="s">
        <v>12</v>
      </c>
      <c r="Z159" s="3"/>
      <c r="AA159" s="4">
        <f t="shared" ref="AA159:AN159" si="188">SUM(AA146:AA158)</f>
        <v>1275231</v>
      </c>
      <c r="AB159" s="12">
        <f t="shared" si="188"/>
        <v>191580401</v>
      </c>
      <c r="AC159" s="4">
        <f t="shared" si="188"/>
        <v>4962593</v>
      </c>
      <c r="AD159" s="12">
        <f t="shared" si="188"/>
        <v>1018107255</v>
      </c>
      <c r="AE159" s="4">
        <f t="shared" si="188"/>
        <v>180469</v>
      </c>
      <c r="AF159" s="12">
        <f t="shared" si="188"/>
        <v>39963574</v>
      </c>
      <c r="AG159" s="4">
        <f t="shared" si="188"/>
        <v>649754</v>
      </c>
      <c r="AH159" s="12">
        <f t="shared" si="188"/>
        <v>109621356</v>
      </c>
      <c r="AI159" s="4">
        <f t="shared" si="188"/>
        <v>81</v>
      </c>
      <c r="AJ159" s="12">
        <f t="shared" si="188"/>
        <v>17814</v>
      </c>
      <c r="AK159" s="4">
        <f t="shared" si="188"/>
        <v>12583</v>
      </c>
      <c r="AL159" s="12">
        <f t="shared" si="188"/>
        <v>1731395</v>
      </c>
      <c r="AM159" s="4">
        <f t="shared" si="188"/>
        <v>7080711</v>
      </c>
      <c r="AN159" s="12">
        <f t="shared" si="188"/>
        <v>1361021795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12601.5</v>
      </c>
      <c r="M160" s="60">
        <f>AVERAGE(M146:M147)</f>
        <v>2813595</v>
      </c>
      <c r="T160" s="15">
        <f t="shared" ref="T160:U160" si="189">AVERAGE(T146:T147)</f>
        <v>514779</v>
      </c>
      <c r="U160" s="28">
        <f t="shared" si="189"/>
        <v>98231899.5</v>
      </c>
    </row>
    <row r="161" spans="1:43" x14ac:dyDescent="0.25">
      <c r="A161" s="67" t="s">
        <v>14</v>
      </c>
      <c r="J161" s="46" t="str">
        <f>+$A$141</f>
        <v>Aforo e Ingreso - GANA</v>
      </c>
      <c r="K161" s="9" t="s">
        <v>85</v>
      </c>
      <c r="L161" s="26">
        <f>+L160/$L$371</f>
        <v>9.7807737533908465E-2</v>
      </c>
      <c r="M161" s="36">
        <f>+M160/$M$371</f>
        <v>0.13809077312636359</v>
      </c>
      <c r="N161" s="26"/>
      <c r="O161" s="19"/>
      <c r="P161" s="19"/>
      <c r="Q161" s="19"/>
      <c r="R161" s="19"/>
      <c r="S161" s="19"/>
      <c r="T161" s="36">
        <f>+L160/T160</f>
        <v>2.447943680686275E-2</v>
      </c>
      <c r="U161" s="62">
        <f>+M160/U160</f>
        <v>2.8642375993146708E-2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0"/>
      <c r="F164" s="89" t="s">
        <v>71</v>
      </c>
      <c r="G164" s="90"/>
      <c r="H164" s="89" t="s">
        <v>16</v>
      </c>
      <c r="I164" s="90"/>
      <c r="J164" s="89" t="s">
        <v>17</v>
      </c>
      <c r="K164" s="93"/>
      <c r="L164" s="89" t="s">
        <v>18</v>
      </c>
      <c r="M164" s="93"/>
      <c r="N164" s="89" t="s">
        <v>13</v>
      </c>
      <c r="O164" s="93"/>
      <c r="P164" s="89" t="s">
        <v>34</v>
      </c>
      <c r="Q164" s="93"/>
      <c r="R164" s="89" t="s">
        <v>87</v>
      </c>
      <c r="S164" s="93"/>
      <c r="T164" s="89" t="s">
        <v>12</v>
      </c>
      <c r="U164" s="93"/>
      <c r="AA164" s="89" t="s">
        <v>69</v>
      </c>
      <c r="AB164" s="90"/>
      <c r="AC164" s="89" t="s">
        <v>17</v>
      </c>
      <c r="AD164" s="93"/>
      <c r="AE164" s="89" t="s">
        <v>18</v>
      </c>
      <c r="AF164" s="93"/>
      <c r="AG164" s="89" t="s">
        <v>13</v>
      </c>
      <c r="AH164" s="93"/>
      <c r="AI164" s="89" t="s">
        <v>34</v>
      </c>
      <c r="AJ164" s="93"/>
      <c r="AK164" s="89" t="s">
        <v>87</v>
      </c>
      <c r="AL164" s="93"/>
      <c r="AM164" s="89" t="s">
        <v>12</v>
      </c>
      <c r="AN164" s="93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2024</v>
      </c>
      <c r="D167" s="1">
        <v>27896</v>
      </c>
      <c r="E167" s="11">
        <v>3598774</v>
      </c>
      <c r="F167" s="1">
        <v>10432</v>
      </c>
      <c r="G167" s="11">
        <v>1845355</v>
      </c>
      <c r="H167" s="1">
        <v>11889</v>
      </c>
      <c r="I167" s="11">
        <v>2467944</v>
      </c>
      <c r="J167" s="45">
        <v>0</v>
      </c>
      <c r="K167" s="11">
        <v>0</v>
      </c>
      <c r="L167" s="45">
        <v>0</v>
      </c>
      <c r="M167" s="11">
        <v>0</v>
      </c>
      <c r="N167" s="1">
        <v>17967</v>
      </c>
      <c r="O167" s="11">
        <v>3668300</v>
      </c>
      <c r="P167" s="1">
        <v>30</v>
      </c>
      <c r="Q167" s="11">
        <v>7267</v>
      </c>
      <c r="R167" s="1">
        <v>377</v>
      </c>
      <c r="S167" s="11">
        <v>43640</v>
      </c>
      <c r="T167" s="53">
        <f>N167+L167+J167+H167+D167+P167+F167+R167</f>
        <v>68591</v>
      </c>
      <c r="U167" s="54">
        <f t="shared" ref="U167:U178" si="190">O167+M167+K167+I167+E167+Q167+G167+S167</f>
        <v>11631280</v>
      </c>
      <c r="V167" s="2" t="s">
        <v>62</v>
      </c>
      <c r="Y167" s="2" t="s">
        <v>5</v>
      </c>
      <c r="Z167" s="2">
        <v>2024</v>
      </c>
      <c r="AA167" s="1">
        <f t="shared" ref="AA167:AA178" si="191">D167+H167+F167</f>
        <v>50217</v>
      </c>
      <c r="AB167" s="11">
        <f t="shared" ref="AB167:AB178" si="192">E167+I167+G167</f>
        <v>7912073</v>
      </c>
      <c r="AC167" s="1">
        <f t="shared" ref="AC167:AC178" si="193">+J167</f>
        <v>0</v>
      </c>
      <c r="AD167" s="11">
        <f t="shared" ref="AD167:AD178" si="194">+K167</f>
        <v>0</v>
      </c>
      <c r="AE167" s="8">
        <f t="shared" ref="AE167:AE178" si="195">+L167</f>
        <v>0</v>
      </c>
      <c r="AF167" s="11">
        <f t="shared" ref="AF167:AF178" si="196">+M167</f>
        <v>0</v>
      </c>
      <c r="AG167" s="8">
        <f t="shared" ref="AG167:AG178" si="197">+N167</f>
        <v>17967</v>
      </c>
      <c r="AH167" s="11">
        <f t="shared" ref="AH167:AH178" si="198">+O167</f>
        <v>3668300</v>
      </c>
      <c r="AI167" s="8">
        <f t="shared" ref="AI167:AI178" si="199">+P167</f>
        <v>30</v>
      </c>
      <c r="AJ167" s="11">
        <f t="shared" ref="AJ167:AJ178" si="200">+Q167</f>
        <v>7267</v>
      </c>
      <c r="AK167" s="11">
        <f t="shared" ref="AK167:AK178" si="201">+R167</f>
        <v>377</v>
      </c>
      <c r="AL167" s="11">
        <f t="shared" ref="AL167:AL178" si="202">+S167</f>
        <v>43640</v>
      </c>
      <c r="AM167" s="8">
        <f>AI167+AG167+AE167+AC167+AA167+AK167</f>
        <v>68591</v>
      </c>
      <c r="AN167" s="11">
        <f t="shared" ref="AN167:AN178" si="203">AJ167+AH167+AF167+AD167+AB167+AL167</f>
        <v>11631280</v>
      </c>
      <c r="AO167" s="2" t="str">
        <f t="shared" ref="AO167:AO178" si="204">+V167</f>
        <v>CAMS</v>
      </c>
      <c r="AP167" s="37">
        <f t="shared" ref="AP167:AP178" si="205">+AM167-T167</f>
        <v>0</v>
      </c>
      <c r="AQ167" s="37">
        <f t="shared" ref="AQ167:AQ178" si="206">+AN167-U167</f>
        <v>0</v>
      </c>
    </row>
    <row r="168" spans="1:43" x14ac:dyDescent="0.25">
      <c r="B168" s="2" t="s">
        <v>6</v>
      </c>
      <c r="C168" s="2">
        <v>2024</v>
      </c>
      <c r="D168" s="1">
        <v>26999</v>
      </c>
      <c r="E168" s="11">
        <v>3492201</v>
      </c>
      <c r="F168" s="1">
        <v>10862</v>
      </c>
      <c r="G168" s="11">
        <v>1904110</v>
      </c>
      <c r="H168" s="1">
        <v>12152</v>
      </c>
      <c r="I168" s="11">
        <v>2555908</v>
      </c>
      <c r="J168" s="45">
        <v>0</v>
      </c>
      <c r="K168" s="11">
        <v>0</v>
      </c>
      <c r="L168" s="45">
        <v>0</v>
      </c>
      <c r="M168" s="11">
        <v>0</v>
      </c>
      <c r="N168" s="1">
        <v>17251</v>
      </c>
      <c r="O168" s="11">
        <v>3536346</v>
      </c>
      <c r="P168" s="1">
        <v>2</v>
      </c>
      <c r="Q168" s="11">
        <v>388</v>
      </c>
      <c r="R168" s="1">
        <v>437</v>
      </c>
      <c r="S168" s="11">
        <v>55626</v>
      </c>
      <c r="T168" s="53">
        <f t="shared" ref="T168:T178" si="207">N168+L168+J168+H168+D168+P168+F168+R168</f>
        <v>67703</v>
      </c>
      <c r="U168" s="54">
        <f t="shared" si="190"/>
        <v>11544579</v>
      </c>
      <c r="V168" s="2" t="s">
        <v>62</v>
      </c>
      <c r="Y168" s="2" t="s">
        <v>6</v>
      </c>
      <c r="Z168" s="2">
        <v>2024</v>
      </c>
      <c r="AA168" s="1">
        <f t="shared" si="191"/>
        <v>50013</v>
      </c>
      <c r="AB168" s="11">
        <f t="shared" si="192"/>
        <v>7952219</v>
      </c>
      <c r="AC168" s="1">
        <f t="shared" si="193"/>
        <v>0</v>
      </c>
      <c r="AD168" s="11">
        <f t="shared" si="194"/>
        <v>0</v>
      </c>
      <c r="AE168" s="8">
        <f t="shared" si="195"/>
        <v>0</v>
      </c>
      <c r="AF168" s="11">
        <f t="shared" si="196"/>
        <v>0</v>
      </c>
      <c r="AG168" s="8">
        <f t="shared" si="197"/>
        <v>17251</v>
      </c>
      <c r="AH168" s="11">
        <f t="shared" si="198"/>
        <v>3536346</v>
      </c>
      <c r="AI168" s="8">
        <f t="shared" si="199"/>
        <v>2</v>
      </c>
      <c r="AJ168" s="11">
        <f t="shared" si="200"/>
        <v>388</v>
      </c>
      <c r="AK168" s="11">
        <f t="shared" si="201"/>
        <v>437</v>
      </c>
      <c r="AL168" s="11">
        <f t="shared" si="202"/>
        <v>55626</v>
      </c>
      <c r="AM168" s="8">
        <f t="shared" ref="AM168:AM178" si="208">AI168+AG168+AE168+AC168+AA168+AK168</f>
        <v>67703</v>
      </c>
      <c r="AN168" s="11">
        <f t="shared" si="203"/>
        <v>11544579</v>
      </c>
      <c r="AO168" s="2" t="str">
        <f t="shared" si="204"/>
        <v>CAMS</v>
      </c>
      <c r="AP168" s="37">
        <f t="shared" si="205"/>
        <v>0</v>
      </c>
      <c r="AQ168" s="37">
        <f t="shared" si="206"/>
        <v>0</v>
      </c>
    </row>
    <row r="169" spans="1:43" x14ac:dyDescent="0.25">
      <c r="B169" s="2" t="s">
        <v>7</v>
      </c>
      <c r="C169" s="2">
        <v>2024</v>
      </c>
      <c r="D169" s="1">
        <v>31853</v>
      </c>
      <c r="E169" s="11">
        <v>4064279</v>
      </c>
      <c r="F169" s="1">
        <v>12303</v>
      </c>
      <c r="G169" s="11">
        <v>2152048</v>
      </c>
      <c r="H169" s="1">
        <v>12349</v>
      </c>
      <c r="I169" s="11">
        <v>2585075</v>
      </c>
      <c r="J169" s="45">
        <v>0</v>
      </c>
      <c r="K169" s="11">
        <v>0</v>
      </c>
      <c r="L169" s="45">
        <v>0</v>
      </c>
      <c r="M169" s="11">
        <v>0</v>
      </c>
      <c r="N169" s="1">
        <v>17927</v>
      </c>
      <c r="O169" s="11">
        <v>3634212</v>
      </c>
      <c r="P169" s="1">
        <v>18</v>
      </c>
      <c r="Q169" s="11">
        <v>2504</v>
      </c>
      <c r="R169" s="1">
        <v>1225</v>
      </c>
      <c r="S169" s="11">
        <v>118936</v>
      </c>
      <c r="T169" s="53">
        <f t="shared" si="207"/>
        <v>75675</v>
      </c>
      <c r="U169" s="54">
        <f t="shared" si="190"/>
        <v>12557054</v>
      </c>
      <c r="V169" s="2" t="s">
        <v>62</v>
      </c>
      <c r="Y169" s="2" t="s">
        <v>7</v>
      </c>
      <c r="Z169" s="2">
        <v>2024</v>
      </c>
      <c r="AA169" s="1">
        <f t="shared" si="191"/>
        <v>56505</v>
      </c>
      <c r="AB169" s="11">
        <f t="shared" si="192"/>
        <v>8801402</v>
      </c>
      <c r="AC169" s="1">
        <f t="shared" si="193"/>
        <v>0</v>
      </c>
      <c r="AD169" s="11">
        <f t="shared" si="194"/>
        <v>0</v>
      </c>
      <c r="AE169" s="8">
        <f t="shared" si="195"/>
        <v>0</v>
      </c>
      <c r="AF169" s="11">
        <f t="shared" si="196"/>
        <v>0</v>
      </c>
      <c r="AG169" s="8">
        <f t="shared" si="197"/>
        <v>17927</v>
      </c>
      <c r="AH169" s="11">
        <f t="shared" si="198"/>
        <v>3634212</v>
      </c>
      <c r="AI169" s="8">
        <f t="shared" si="199"/>
        <v>18</v>
      </c>
      <c r="AJ169" s="11">
        <f t="shared" si="200"/>
        <v>2504</v>
      </c>
      <c r="AK169" s="11">
        <f t="shared" si="201"/>
        <v>1225</v>
      </c>
      <c r="AL169" s="11">
        <f t="shared" si="202"/>
        <v>118936</v>
      </c>
      <c r="AM169" s="8">
        <f t="shared" si="208"/>
        <v>75675</v>
      </c>
      <c r="AN169" s="11">
        <f t="shared" si="203"/>
        <v>12557054</v>
      </c>
      <c r="AO169" s="2" t="str">
        <f t="shared" si="204"/>
        <v>CAMS</v>
      </c>
      <c r="AP169" s="37">
        <f t="shared" si="205"/>
        <v>0</v>
      </c>
      <c r="AQ169" s="37">
        <f t="shared" si="206"/>
        <v>0</v>
      </c>
    </row>
    <row r="170" spans="1:43" x14ac:dyDescent="0.25">
      <c r="B170" s="2" t="s">
        <v>8</v>
      </c>
      <c r="C170" s="2">
        <v>2024</v>
      </c>
      <c r="D170" s="1">
        <v>32437</v>
      </c>
      <c r="E170" s="11">
        <v>4227678</v>
      </c>
      <c r="F170" s="1">
        <v>13065</v>
      </c>
      <c r="G170" s="11">
        <v>2301924</v>
      </c>
      <c r="H170" s="1">
        <v>16106</v>
      </c>
      <c r="I170" s="11">
        <v>3401600</v>
      </c>
      <c r="J170" s="45">
        <v>0</v>
      </c>
      <c r="K170" s="11">
        <v>0</v>
      </c>
      <c r="L170" s="45">
        <v>0</v>
      </c>
      <c r="M170" s="11">
        <v>0</v>
      </c>
      <c r="N170" s="1">
        <v>18654</v>
      </c>
      <c r="O170" s="11">
        <v>3786994</v>
      </c>
      <c r="P170" s="1">
        <v>5</v>
      </c>
      <c r="Q170" s="11">
        <v>522</v>
      </c>
      <c r="R170" s="1">
        <v>1972</v>
      </c>
      <c r="S170" s="11">
        <v>181110</v>
      </c>
      <c r="T170" s="53">
        <f t="shared" si="207"/>
        <v>82239</v>
      </c>
      <c r="U170" s="54">
        <f t="shared" si="190"/>
        <v>13899828</v>
      </c>
      <c r="V170" s="2" t="s">
        <v>62</v>
      </c>
      <c r="Y170" s="2" t="s">
        <v>8</v>
      </c>
      <c r="Z170" s="2">
        <v>2024</v>
      </c>
      <c r="AA170" s="1">
        <f t="shared" si="191"/>
        <v>61608</v>
      </c>
      <c r="AB170" s="11">
        <f t="shared" si="192"/>
        <v>9931202</v>
      </c>
      <c r="AC170" s="1">
        <f t="shared" si="193"/>
        <v>0</v>
      </c>
      <c r="AD170" s="11">
        <f t="shared" si="194"/>
        <v>0</v>
      </c>
      <c r="AE170" s="8">
        <f t="shared" si="195"/>
        <v>0</v>
      </c>
      <c r="AF170" s="11">
        <f t="shared" si="196"/>
        <v>0</v>
      </c>
      <c r="AG170" s="8">
        <f t="shared" si="197"/>
        <v>18654</v>
      </c>
      <c r="AH170" s="11">
        <f t="shared" si="198"/>
        <v>3786994</v>
      </c>
      <c r="AI170" s="8">
        <f t="shared" si="199"/>
        <v>5</v>
      </c>
      <c r="AJ170" s="11">
        <f t="shared" si="200"/>
        <v>522</v>
      </c>
      <c r="AK170" s="11">
        <f t="shared" si="201"/>
        <v>1972</v>
      </c>
      <c r="AL170" s="11">
        <f t="shared" si="202"/>
        <v>181110</v>
      </c>
      <c r="AM170" s="8">
        <f t="shared" si="208"/>
        <v>82239</v>
      </c>
      <c r="AN170" s="11">
        <f t="shared" si="203"/>
        <v>13899828</v>
      </c>
      <c r="AO170" s="2" t="str">
        <f t="shared" si="204"/>
        <v>CAMS</v>
      </c>
      <c r="AP170" s="37">
        <f t="shared" si="205"/>
        <v>0</v>
      </c>
      <c r="AQ170" s="37">
        <f t="shared" si="206"/>
        <v>0</v>
      </c>
    </row>
    <row r="171" spans="1:43" x14ac:dyDescent="0.25">
      <c r="B171" s="2" t="s">
        <v>9</v>
      </c>
      <c r="C171" s="2">
        <v>2024</v>
      </c>
      <c r="D171" s="1">
        <v>31528</v>
      </c>
      <c r="E171" s="11">
        <v>4194404</v>
      </c>
      <c r="F171" s="1">
        <v>14235</v>
      </c>
      <c r="G171" s="11">
        <v>2565798</v>
      </c>
      <c r="H171" s="1">
        <v>18432</v>
      </c>
      <c r="I171" s="11">
        <v>3967460</v>
      </c>
      <c r="J171" s="45">
        <v>0</v>
      </c>
      <c r="K171" s="11">
        <v>0</v>
      </c>
      <c r="L171" s="45">
        <v>0</v>
      </c>
      <c r="M171" s="11">
        <v>0</v>
      </c>
      <c r="N171" s="1">
        <v>18536</v>
      </c>
      <c r="O171" s="11">
        <v>3808973</v>
      </c>
      <c r="P171" s="1">
        <v>3</v>
      </c>
      <c r="Q171" s="11">
        <v>310</v>
      </c>
      <c r="R171" s="1">
        <v>2042</v>
      </c>
      <c r="S171" s="11">
        <v>198331</v>
      </c>
      <c r="T171" s="53">
        <f t="shared" si="207"/>
        <v>84776</v>
      </c>
      <c r="U171" s="54">
        <f t="shared" si="190"/>
        <v>14735276</v>
      </c>
      <c r="V171" s="2" t="s">
        <v>62</v>
      </c>
      <c r="Y171" s="2" t="s">
        <v>9</v>
      </c>
      <c r="Z171" s="2">
        <v>2024</v>
      </c>
      <c r="AA171" s="1">
        <f t="shared" si="191"/>
        <v>64195</v>
      </c>
      <c r="AB171" s="11">
        <f t="shared" si="192"/>
        <v>10727662</v>
      </c>
      <c r="AC171" s="1">
        <f t="shared" si="193"/>
        <v>0</v>
      </c>
      <c r="AD171" s="11">
        <f t="shared" si="194"/>
        <v>0</v>
      </c>
      <c r="AE171" s="8">
        <f t="shared" si="195"/>
        <v>0</v>
      </c>
      <c r="AF171" s="11">
        <f t="shared" si="196"/>
        <v>0</v>
      </c>
      <c r="AG171" s="8">
        <f t="shared" si="197"/>
        <v>18536</v>
      </c>
      <c r="AH171" s="11">
        <f t="shared" si="198"/>
        <v>3808973</v>
      </c>
      <c r="AI171" s="8">
        <f t="shared" si="199"/>
        <v>3</v>
      </c>
      <c r="AJ171" s="11">
        <f t="shared" si="200"/>
        <v>310</v>
      </c>
      <c r="AK171" s="11">
        <f t="shared" si="201"/>
        <v>2042</v>
      </c>
      <c r="AL171" s="11">
        <f t="shared" si="202"/>
        <v>198331</v>
      </c>
      <c r="AM171" s="8">
        <f t="shared" si="208"/>
        <v>84776</v>
      </c>
      <c r="AN171" s="11">
        <f t="shared" si="203"/>
        <v>14735276</v>
      </c>
      <c r="AO171" s="2" t="str">
        <f t="shared" si="204"/>
        <v>CAMS</v>
      </c>
      <c r="AP171" s="37">
        <f t="shared" si="205"/>
        <v>0</v>
      </c>
      <c r="AQ171" s="37">
        <f t="shared" si="206"/>
        <v>0</v>
      </c>
    </row>
    <row r="172" spans="1:43" x14ac:dyDescent="0.25">
      <c r="B172" s="2" t="s">
        <v>10</v>
      </c>
      <c r="C172" s="2">
        <v>2024</v>
      </c>
      <c r="D172" s="1">
        <v>26141</v>
      </c>
      <c r="E172" s="11">
        <v>3588985</v>
      </c>
      <c r="F172" s="1">
        <v>11577</v>
      </c>
      <c r="G172" s="11">
        <v>2126574</v>
      </c>
      <c r="H172" s="1">
        <v>15126</v>
      </c>
      <c r="I172" s="11">
        <v>3345300</v>
      </c>
      <c r="J172" s="45">
        <v>0</v>
      </c>
      <c r="K172" s="11">
        <v>0</v>
      </c>
      <c r="L172" s="45">
        <v>0</v>
      </c>
      <c r="M172" s="11">
        <v>0</v>
      </c>
      <c r="N172" s="1">
        <v>16040</v>
      </c>
      <c r="O172" s="11">
        <v>3293561</v>
      </c>
      <c r="P172" s="1">
        <v>7</v>
      </c>
      <c r="Q172" s="11">
        <v>737</v>
      </c>
      <c r="R172" s="1">
        <v>1715</v>
      </c>
      <c r="S172" s="11">
        <v>163375</v>
      </c>
      <c r="T172" s="53">
        <f t="shared" si="207"/>
        <v>70606</v>
      </c>
      <c r="U172" s="54">
        <f t="shared" si="190"/>
        <v>12518532</v>
      </c>
      <c r="V172" s="2" t="s">
        <v>62</v>
      </c>
      <c r="Y172" s="2" t="s">
        <v>10</v>
      </c>
      <c r="Z172" s="2">
        <v>2024</v>
      </c>
      <c r="AA172" s="1">
        <f t="shared" si="191"/>
        <v>52844</v>
      </c>
      <c r="AB172" s="11">
        <f t="shared" si="192"/>
        <v>9060859</v>
      </c>
      <c r="AC172" s="1">
        <f t="shared" si="193"/>
        <v>0</v>
      </c>
      <c r="AD172" s="11">
        <f t="shared" si="194"/>
        <v>0</v>
      </c>
      <c r="AE172" s="8">
        <f t="shared" si="195"/>
        <v>0</v>
      </c>
      <c r="AF172" s="11">
        <f t="shared" si="196"/>
        <v>0</v>
      </c>
      <c r="AG172" s="8">
        <f t="shared" si="197"/>
        <v>16040</v>
      </c>
      <c r="AH172" s="11">
        <f t="shared" si="198"/>
        <v>3293561</v>
      </c>
      <c r="AI172" s="8">
        <f t="shared" si="199"/>
        <v>7</v>
      </c>
      <c r="AJ172" s="11">
        <f t="shared" si="200"/>
        <v>737</v>
      </c>
      <c r="AK172" s="11">
        <f t="shared" si="201"/>
        <v>1715</v>
      </c>
      <c r="AL172" s="11">
        <f t="shared" si="202"/>
        <v>163375</v>
      </c>
      <c r="AM172" s="8">
        <f t="shared" si="208"/>
        <v>70606</v>
      </c>
      <c r="AN172" s="11">
        <f t="shared" si="203"/>
        <v>12518532</v>
      </c>
      <c r="AO172" s="2" t="str">
        <f t="shared" si="204"/>
        <v>CAMS</v>
      </c>
      <c r="AP172" s="37">
        <f t="shared" si="205"/>
        <v>0</v>
      </c>
      <c r="AQ172" s="37">
        <f t="shared" si="206"/>
        <v>0</v>
      </c>
    </row>
    <row r="173" spans="1:43" x14ac:dyDescent="0.25">
      <c r="B173" s="2" t="s">
        <v>11</v>
      </c>
      <c r="C173" s="2">
        <v>2024</v>
      </c>
      <c r="D173" s="1">
        <v>38303</v>
      </c>
      <c r="E173" s="11">
        <v>5082722</v>
      </c>
      <c r="F173" s="1">
        <v>15055</v>
      </c>
      <c r="G173" s="11">
        <v>2680449</v>
      </c>
      <c r="H173" s="1">
        <v>19044</v>
      </c>
      <c r="I173" s="11">
        <v>4069980</v>
      </c>
      <c r="J173" s="45">
        <v>0</v>
      </c>
      <c r="K173" s="11">
        <v>0</v>
      </c>
      <c r="L173" s="45">
        <v>0</v>
      </c>
      <c r="M173" s="11">
        <v>0</v>
      </c>
      <c r="N173" s="1">
        <v>22263</v>
      </c>
      <c r="O173" s="11">
        <v>4546830</v>
      </c>
      <c r="P173" s="1">
        <v>5</v>
      </c>
      <c r="Q173" s="11">
        <v>559</v>
      </c>
      <c r="R173" s="1">
        <v>3050</v>
      </c>
      <c r="S173" s="11">
        <v>288238</v>
      </c>
      <c r="T173" s="53">
        <f t="shared" si="207"/>
        <v>97720</v>
      </c>
      <c r="U173" s="54">
        <f t="shared" si="190"/>
        <v>16668778</v>
      </c>
      <c r="V173" s="2" t="s">
        <v>62</v>
      </c>
      <c r="Y173" s="2" t="s">
        <v>11</v>
      </c>
      <c r="Z173" s="2">
        <v>2024</v>
      </c>
      <c r="AA173" s="1">
        <f t="shared" si="191"/>
        <v>72402</v>
      </c>
      <c r="AB173" s="11">
        <f t="shared" si="192"/>
        <v>11833151</v>
      </c>
      <c r="AC173" s="1">
        <f t="shared" si="193"/>
        <v>0</v>
      </c>
      <c r="AD173" s="11">
        <f t="shared" si="194"/>
        <v>0</v>
      </c>
      <c r="AE173" s="8">
        <f t="shared" si="195"/>
        <v>0</v>
      </c>
      <c r="AF173" s="11">
        <f t="shared" si="196"/>
        <v>0</v>
      </c>
      <c r="AG173" s="8">
        <f t="shared" si="197"/>
        <v>22263</v>
      </c>
      <c r="AH173" s="11">
        <f t="shared" si="198"/>
        <v>4546830</v>
      </c>
      <c r="AI173" s="8">
        <f t="shared" si="199"/>
        <v>5</v>
      </c>
      <c r="AJ173" s="11">
        <f t="shared" si="200"/>
        <v>559</v>
      </c>
      <c r="AK173" s="11">
        <f t="shared" si="201"/>
        <v>3050</v>
      </c>
      <c r="AL173" s="11">
        <f t="shared" si="202"/>
        <v>288238</v>
      </c>
      <c r="AM173" s="8">
        <f t="shared" si="208"/>
        <v>97720</v>
      </c>
      <c r="AN173" s="11">
        <f t="shared" si="203"/>
        <v>16668778</v>
      </c>
      <c r="AO173" s="2" t="str">
        <f t="shared" si="204"/>
        <v>CAMS</v>
      </c>
      <c r="AP173" s="37">
        <f t="shared" si="205"/>
        <v>0</v>
      </c>
      <c r="AQ173" s="37">
        <f t="shared" si="206"/>
        <v>0</v>
      </c>
    </row>
    <row r="174" spans="1:43" x14ac:dyDescent="0.25">
      <c r="B174" s="2" t="s">
        <v>4</v>
      </c>
      <c r="C174" s="2">
        <v>2024</v>
      </c>
      <c r="D174" s="1">
        <v>37199</v>
      </c>
      <c r="E174" s="11">
        <v>5020994</v>
      </c>
      <c r="F174" s="1">
        <v>13989</v>
      </c>
      <c r="G174" s="11">
        <v>2500670</v>
      </c>
      <c r="H174" s="1">
        <v>17344</v>
      </c>
      <c r="I174" s="11">
        <v>3613441</v>
      </c>
      <c r="J174" s="45">
        <v>0</v>
      </c>
      <c r="K174" s="11">
        <v>0</v>
      </c>
      <c r="L174" s="45">
        <v>0</v>
      </c>
      <c r="M174" s="11">
        <v>0</v>
      </c>
      <c r="N174" s="1">
        <v>21368</v>
      </c>
      <c r="O174" s="11">
        <v>4362723</v>
      </c>
      <c r="P174" s="1">
        <v>18</v>
      </c>
      <c r="Q174" s="11">
        <v>2105</v>
      </c>
      <c r="R174" s="1">
        <v>3391</v>
      </c>
      <c r="S174" s="11">
        <v>324036</v>
      </c>
      <c r="T174" s="53">
        <f t="shared" si="207"/>
        <v>93309</v>
      </c>
      <c r="U174" s="54">
        <f t="shared" si="190"/>
        <v>15823969</v>
      </c>
      <c r="V174" s="2" t="s">
        <v>62</v>
      </c>
      <c r="Y174" s="2" t="s">
        <v>4</v>
      </c>
      <c r="Z174" s="2">
        <v>2024</v>
      </c>
      <c r="AA174" s="1">
        <f t="shared" si="191"/>
        <v>68532</v>
      </c>
      <c r="AB174" s="11">
        <f t="shared" si="192"/>
        <v>11135105</v>
      </c>
      <c r="AC174" s="1">
        <f t="shared" si="193"/>
        <v>0</v>
      </c>
      <c r="AD174" s="11">
        <f t="shared" si="194"/>
        <v>0</v>
      </c>
      <c r="AE174" s="8">
        <f t="shared" si="195"/>
        <v>0</v>
      </c>
      <c r="AF174" s="11">
        <f t="shared" si="196"/>
        <v>0</v>
      </c>
      <c r="AG174" s="8">
        <f t="shared" si="197"/>
        <v>21368</v>
      </c>
      <c r="AH174" s="11">
        <f t="shared" si="198"/>
        <v>4362723</v>
      </c>
      <c r="AI174" s="8">
        <f t="shared" si="199"/>
        <v>18</v>
      </c>
      <c r="AJ174" s="11">
        <f t="shared" si="200"/>
        <v>2105</v>
      </c>
      <c r="AK174" s="11">
        <f t="shared" si="201"/>
        <v>3391</v>
      </c>
      <c r="AL174" s="11">
        <f t="shared" si="202"/>
        <v>324036</v>
      </c>
      <c r="AM174" s="8">
        <f t="shared" si="208"/>
        <v>93309</v>
      </c>
      <c r="AN174" s="11">
        <f t="shared" si="203"/>
        <v>15823969</v>
      </c>
      <c r="AO174" s="2" t="str">
        <f t="shared" si="204"/>
        <v>CAMS</v>
      </c>
      <c r="AP174" s="37">
        <f t="shared" si="205"/>
        <v>0</v>
      </c>
      <c r="AQ174" s="37">
        <f t="shared" si="206"/>
        <v>0</v>
      </c>
    </row>
    <row r="175" spans="1:43" x14ac:dyDescent="0.25">
      <c r="B175" s="2" t="s">
        <v>28</v>
      </c>
      <c r="C175" s="2">
        <v>2024</v>
      </c>
      <c r="D175" s="1">
        <v>34188</v>
      </c>
      <c r="E175" s="11">
        <v>4643753</v>
      </c>
      <c r="F175" s="1">
        <v>13026</v>
      </c>
      <c r="G175" s="11">
        <v>2337669</v>
      </c>
      <c r="H175" s="1">
        <v>16954</v>
      </c>
      <c r="I175" s="11">
        <v>3563645</v>
      </c>
      <c r="J175" s="45">
        <v>558</v>
      </c>
      <c r="K175" s="11">
        <v>71512</v>
      </c>
      <c r="L175" s="45">
        <v>24</v>
      </c>
      <c r="M175" s="11">
        <v>2940</v>
      </c>
      <c r="N175" s="1">
        <v>18757</v>
      </c>
      <c r="O175" s="11">
        <v>3864021</v>
      </c>
      <c r="P175" s="1">
        <v>14</v>
      </c>
      <c r="Q175" s="11">
        <v>2550</v>
      </c>
      <c r="R175" s="1">
        <v>3535</v>
      </c>
      <c r="S175" s="11">
        <v>335656</v>
      </c>
      <c r="T175" s="53">
        <f t="shared" si="207"/>
        <v>87056</v>
      </c>
      <c r="U175" s="54">
        <f t="shared" si="190"/>
        <v>14821746</v>
      </c>
      <c r="V175" s="2" t="s">
        <v>62</v>
      </c>
      <c r="Y175" s="2" t="s">
        <v>28</v>
      </c>
      <c r="Z175" s="2">
        <v>2024</v>
      </c>
      <c r="AA175" s="1">
        <f t="shared" si="191"/>
        <v>64168</v>
      </c>
      <c r="AB175" s="11">
        <f t="shared" si="192"/>
        <v>10545067</v>
      </c>
      <c r="AC175" s="1">
        <f t="shared" si="193"/>
        <v>558</v>
      </c>
      <c r="AD175" s="11">
        <f t="shared" si="194"/>
        <v>71512</v>
      </c>
      <c r="AE175" s="8">
        <f t="shared" si="195"/>
        <v>24</v>
      </c>
      <c r="AF175" s="11">
        <f t="shared" si="196"/>
        <v>2940</v>
      </c>
      <c r="AG175" s="8">
        <f t="shared" si="197"/>
        <v>18757</v>
      </c>
      <c r="AH175" s="11">
        <f t="shared" si="198"/>
        <v>3864021</v>
      </c>
      <c r="AI175" s="8">
        <f t="shared" si="199"/>
        <v>14</v>
      </c>
      <c r="AJ175" s="11">
        <f t="shared" si="200"/>
        <v>2550</v>
      </c>
      <c r="AK175" s="11">
        <f t="shared" si="201"/>
        <v>3535</v>
      </c>
      <c r="AL175" s="11">
        <f t="shared" si="202"/>
        <v>335656</v>
      </c>
      <c r="AM175" s="8">
        <f t="shared" si="208"/>
        <v>87056</v>
      </c>
      <c r="AN175" s="11">
        <f t="shared" si="203"/>
        <v>14821746</v>
      </c>
      <c r="AO175" s="2" t="str">
        <f t="shared" si="204"/>
        <v>CAMS</v>
      </c>
      <c r="AP175" s="37">
        <f t="shared" si="205"/>
        <v>0</v>
      </c>
      <c r="AQ175" s="37">
        <f t="shared" si="206"/>
        <v>0</v>
      </c>
    </row>
    <row r="176" spans="1:43" x14ac:dyDescent="0.25">
      <c r="B176" s="2" t="s">
        <v>29</v>
      </c>
      <c r="C176" s="2">
        <v>2024</v>
      </c>
      <c r="D176" s="1">
        <v>33954</v>
      </c>
      <c r="E176" s="11">
        <v>4699644</v>
      </c>
      <c r="F176" s="1">
        <v>13881</v>
      </c>
      <c r="G176" s="11">
        <v>2504319</v>
      </c>
      <c r="H176" s="1">
        <v>15879</v>
      </c>
      <c r="I176" s="11">
        <v>3265092</v>
      </c>
      <c r="J176" s="45">
        <v>0</v>
      </c>
      <c r="K176" s="11">
        <v>0</v>
      </c>
      <c r="L176" s="45">
        <v>0</v>
      </c>
      <c r="M176" s="11">
        <v>0</v>
      </c>
      <c r="N176" s="1">
        <v>20050</v>
      </c>
      <c r="O176" s="11">
        <v>4198884</v>
      </c>
      <c r="P176" s="1">
        <v>15</v>
      </c>
      <c r="Q176" s="11">
        <v>2286</v>
      </c>
      <c r="R176" s="1">
        <v>3996</v>
      </c>
      <c r="S176" s="11">
        <v>394945</v>
      </c>
      <c r="T176" s="53">
        <f>N176+L176+J176+H176+D176+P176+F176+R176</f>
        <v>87775</v>
      </c>
      <c r="U176" s="54">
        <f>O176+M176+K176+I176+E176+Q176+G176+S176</f>
        <v>15065170</v>
      </c>
      <c r="V176" s="2" t="s">
        <v>62</v>
      </c>
      <c r="Y176" s="2" t="s">
        <v>29</v>
      </c>
      <c r="Z176" s="2">
        <v>2024</v>
      </c>
      <c r="AA176" s="1">
        <f t="shared" si="191"/>
        <v>63714</v>
      </c>
      <c r="AB176" s="11">
        <f t="shared" si="192"/>
        <v>10469055</v>
      </c>
      <c r="AC176" s="1">
        <f t="shared" si="193"/>
        <v>0</v>
      </c>
      <c r="AD176" s="11">
        <f t="shared" si="194"/>
        <v>0</v>
      </c>
      <c r="AE176" s="8">
        <f t="shared" si="195"/>
        <v>0</v>
      </c>
      <c r="AF176" s="11">
        <f t="shared" si="196"/>
        <v>0</v>
      </c>
      <c r="AG176" s="8">
        <f t="shared" si="197"/>
        <v>20050</v>
      </c>
      <c r="AH176" s="11">
        <f t="shared" si="198"/>
        <v>4198884</v>
      </c>
      <c r="AI176" s="8">
        <f t="shared" si="199"/>
        <v>15</v>
      </c>
      <c r="AJ176" s="11">
        <f t="shared" si="200"/>
        <v>2286</v>
      </c>
      <c r="AK176" s="11">
        <f t="shared" si="201"/>
        <v>3996</v>
      </c>
      <c r="AL176" s="11">
        <f t="shared" si="202"/>
        <v>394945</v>
      </c>
      <c r="AM176" s="8">
        <f t="shared" si="208"/>
        <v>87775</v>
      </c>
      <c r="AN176" s="11">
        <f t="shared" si="203"/>
        <v>15065170</v>
      </c>
      <c r="AO176" s="2" t="str">
        <f t="shared" si="204"/>
        <v>CAMS</v>
      </c>
      <c r="AP176" s="37">
        <f t="shared" si="205"/>
        <v>0</v>
      </c>
      <c r="AQ176" s="37">
        <f t="shared" si="206"/>
        <v>0</v>
      </c>
    </row>
    <row r="177" spans="1:43" x14ac:dyDescent="0.25">
      <c r="B177" s="2" t="s">
        <v>30</v>
      </c>
      <c r="C177" s="2">
        <v>2024</v>
      </c>
      <c r="D177" s="1">
        <v>36086</v>
      </c>
      <c r="E177" s="11">
        <v>5021805</v>
      </c>
      <c r="F177" s="1">
        <v>13119</v>
      </c>
      <c r="G177" s="11">
        <v>2331900</v>
      </c>
      <c r="H177" s="1">
        <v>15799</v>
      </c>
      <c r="I177" s="11">
        <v>3200167</v>
      </c>
      <c r="J177" s="1">
        <v>0</v>
      </c>
      <c r="K177" s="11">
        <v>0</v>
      </c>
      <c r="L177" s="1">
        <v>0</v>
      </c>
      <c r="M177" s="11">
        <v>0</v>
      </c>
      <c r="N177" s="1">
        <v>19223</v>
      </c>
      <c r="O177" s="11">
        <v>4040181</v>
      </c>
      <c r="P177" s="1">
        <v>107</v>
      </c>
      <c r="Q177" s="11">
        <v>24935</v>
      </c>
      <c r="R177" s="1">
        <v>4582</v>
      </c>
      <c r="S177" s="11">
        <v>464746</v>
      </c>
      <c r="T177" s="53">
        <f t="shared" si="207"/>
        <v>88916</v>
      </c>
      <c r="U177" s="54">
        <f t="shared" si="190"/>
        <v>15083734</v>
      </c>
      <c r="V177" s="2" t="s">
        <v>62</v>
      </c>
      <c r="Y177" s="2" t="s">
        <v>30</v>
      </c>
      <c r="Z177" s="2">
        <v>2024</v>
      </c>
      <c r="AA177" s="1">
        <f t="shared" si="191"/>
        <v>65004</v>
      </c>
      <c r="AB177" s="11">
        <f t="shared" si="192"/>
        <v>10553872</v>
      </c>
      <c r="AC177" s="1">
        <f t="shared" si="193"/>
        <v>0</v>
      </c>
      <c r="AD177" s="11">
        <f t="shared" si="194"/>
        <v>0</v>
      </c>
      <c r="AE177" s="8">
        <f t="shared" si="195"/>
        <v>0</v>
      </c>
      <c r="AF177" s="11">
        <f t="shared" si="196"/>
        <v>0</v>
      </c>
      <c r="AG177" s="8">
        <f t="shared" si="197"/>
        <v>19223</v>
      </c>
      <c r="AH177" s="11">
        <f t="shared" si="198"/>
        <v>4040181</v>
      </c>
      <c r="AI177" s="8">
        <f t="shared" si="199"/>
        <v>107</v>
      </c>
      <c r="AJ177" s="11">
        <f t="shared" si="200"/>
        <v>24935</v>
      </c>
      <c r="AK177" s="11">
        <f t="shared" si="201"/>
        <v>4582</v>
      </c>
      <c r="AL177" s="11">
        <f t="shared" si="202"/>
        <v>464746</v>
      </c>
      <c r="AM177" s="79">
        <f t="shared" si="208"/>
        <v>88916</v>
      </c>
      <c r="AN177" s="80">
        <f t="shared" si="203"/>
        <v>15083734</v>
      </c>
      <c r="AO177" s="2" t="str">
        <f t="shared" si="204"/>
        <v>CAMS</v>
      </c>
      <c r="AP177" s="37">
        <f t="shared" si="205"/>
        <v>0</v>
      </c>
      <c r="AQ177" s="37">
        <f t="shared" si="206"/>
        <v>0</v>
      </c>
    </row>
    <row r="178" spans="1:43" x14ac:dyDescent="0.25">
      <c r="B178" s="2" t="s">
        <v>31</v>
      </c>
      <c r="C178" s="2">
        <v>2024</v>
      </c>
      <c r="D178" s="1">
        <v>36499</v>
      </c>
      <c r="E178" s="11">
        <v>4876919</v>
      </c>
      <c r="F178" s="1">
        <v>11169</v>
      </c>
      <c r="G178" s="11">
        <v>1966996</v>
      </c>
      <c r="H178" s="1">
        <v>13841</v>
      </c>
      <c r="I178" s="11">
        <v>2743465</v>
      </c>
      <c r="J178" s="1">
        <v>0</v>
      </c>
      <c r="K178" s="11">
        <v>0</v>
      </c>
      <c r="L178" s="1">
        <v>0</v>
      </c>
      <c r="M178" s="11">
        <v>0</v>
      </c>
      <c r="N178" s="1">
        <v>16782</v>
      </c>
      <c r="O178" s="11">
        <v>3510394</v>
      </c>
      <c r="P178" s="1">
        <v>198</v>
      </c>
      <c r="Q178" s="11">
        <v>49469</v>
      </c>
      <c r="R178" s="1">
        <v>4498</v>
      </c>
      <c r="S178" s="11">
        <v>433794</v>
      </c>
      <c r="T178" s="53">
        <f t="shared" si="207"/>
        <v>82987</v>
      </c>
      <c r="U178" s="54">
        <f t="shared" si="190"/>
        <v>13581037</v>
      </c>
      <c r="V178" s="2" t="s">
        <v>62</v>
      </c>
      <c r="W178" s="13"/>
      <c r="Y178" s="2" t="s">
        <v>31</v>
      </c>
      <c r="Z178" s="2">
        <v>2024</v>
      </c>
      <c r="AA178" s="1">
        <f t="shared" si="191"/>
        <v>61509</v>
      </c>
      <c r="AB178" s="11">
        <f t="shared" si="192"/>
        <v>9587380</v>
      </c>
      <c r="AC178" s="1">
        <f t="shared" si="193"/>
        <v>0</v>
      </c>
      <c r="AD178" s="11">
        <f t="shared" si="194"/>
        <v>0</v>
      </c>
      <c r="AE178" s="8">
        <f t="shared" si="195"/>
        <v>0</v>
      </c>
      <c r="AF178" s="11">
        <f t="shared" si="196"/>
        <v>0</v>
      </c>
      <c r="AG178" s="8">
        <f t="shared" si="197"/>
        <v>16782</v>
      </c>
      <c r="AH178" s="11">
        <f t="shared" si="198"/>
        <v>3510394</v>
      </c>
      <c r="AI178" s="8">
        <f t="shared" si="199"/>
        <v>198</v>
      </c>
      <c r="AJ178" s="11">
        <f t="shared" si="200"/>
        <v>49469</v>
      </c>
      <c r="AK178" s="11">
        <f t="shared" si="201"/>
        <v>4498</v>
      </c>
      <c r="AL178" s="11">
        <f t="shared" si="202"/>
        <v>433794</v>
      </c>
      <c r="AM178" s="8">
        <f t="shared" si="208"/>
        <v>82987</v>
      </c>
      <c r="AN178" s="11">
        <f t="shared" si="203"/>
        <v>13581037</v>
      </c>
      <c r="AO178" s="2" t="str">
        <f t="shared" si="204"/>
        <v>CAMS</v>
      </c>
      <c r="AP178" s="37">
        <f t="shared" si="205"/>
        <v>0</v>
      </c>
      <c r="AQ178" s="37">
        <f t="shared" si="206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209">SUM(D167:D179)</f>
        <v>393083</v>
      </c>
      <c r="E180" s="12">
        <f t="shared" si="209"/>
        <v>52512158</v>
      </c>
      <c r="F180" s="4">
        <f t="shared" si="209"/>
        <v>152713</v>
      </c>
      <c r="G180" s="12">
        <f t="shared" si="209"/>
        <v>27217812</v>
      </c>
      <c r="H180" s="4">
        <f t="shared" si="209"/>
        <v>184915</v>
      </c>
      <c r="I180" s="12">
        <f t="shared" si="209"/>
        <v>38779077</v>
      </c>
      <c r="J180" s="4">
        <f t="shared" si="209"/>
        <v>558</v>
      </c>
      <c r="K180" s="12">
        <f t="shared" si="209"/>
        <v>71512</v>
      </c>
      <c r="L180" s="4">
        <f t="shared" si="209"/>
        <v>24</v>
      </c>
      <c r="M180" s="12">
        <f t="shared" si="209"/>
        <v>2940</v>
      </c>
      <c r="N180" s="4">
        <f t="shared" si="209"/>
        <v>224818</v>
      </c>
      <c r="O180" s="12">
        <f t="shared" si="209"/>
        <v>46251419</v>
      </c>
      <c r="P180" s="4">
        <f>SUM(P167:P179)</f>
        <v>422</v>
      </c>
      <c r="Q180" s="12">
        <f>SUM(Q167:Q179)</f>
        <v>93632</v>
      </c>
      <c r="R180" s="4">
        <f>SUM(R167:R179)</f>
        <v>30820</v>
      </c>
      <c r="S180" s="12">
        <f>SUM(S167:S179)</f>
        <v>3002433</v>
      </c>
      <c r="T180" s="4">
        <f t="shared" si="209"/>
        <v>987353</v>
      </c>
      <c r="U180" s="12">
        <f t="shared" si="209"/>
        <v>167930983</v>
      </c>
      <c r="V180" s="2" t="s">
        <v>123</v>
      </c>
      <c r="Y180" s="3" t="s">
        <v>12</v>
      </c>
      <c r="Z180" s="3"/>
      <c r="AA180" s="4">
        <f t="shared" ref="AA180:AN180" si="210">SUM(AA167:AA179)</f>
        <v>730711</v>
      </c>
      <c r="AB180" s="12">
        <f t="shared" si="210"/>
        <v>118509047</v>
      </c>
      <c r="AC180" s="4">
        <f t="shared" si="210"/>
        <v>558</v>
      </c>
      <c r="AD180" s="12">
        <f t="shared" si="210"/>
        <v>71512</v>
      </c>
      <c r="AE180" s="4">
        <f t="shared" si="210"/>
        <v>24</v>
      </c>
      <c r="AF180" s="12">
        <f t="shared" si="210"/>
        <v>2940</v>
      </c>
      <c r="AG180" s="4">
        <f t="shared" si="210"/>
        <v>224818</v>
      </c>
      <c r="AH180" s="12">
        <f t="shared" si="210"/>
        <v>46251419</v>
      </c>
      <c r="AI180" s="4">
        <f t="shared" si="210"/>
        <v>422</v>
      </c>
      <c r="AJ180" s="12">
        <f t="shared" si="210"/>
        <v>93632</v>
      </c>
      <c r="AK180" s="4">
        <f t="shared" si="210"/>
        <v>30820</v>
      </c>
      <c r="AL180" s="12">
        <f t="shared" si="210"/>
        <v>3002433</v>
      </c>
      <c r="AM180" s="4">
        <f t="shared" si="210"/>
        <v>987353</v>
      </c>
      <c r="AN180" s="12">
        <f t="shared" si="210"/>
        <v>167930983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68147</v>
      </c>
      <c r="U181" s="28">
        <f>AVERAGE(U167:U168)</f>
        <v>11587929.5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0"/>
      <c r="F185" s="89" t="s">
        <v>71</v>
      </c>
      <c r="G185" s="90"/>
      <c r="H185" s="89" t="s">
        <v>16</v>
      </c>
      <c r="I185" s="90"/>
      <c r="J185" s="89" t="s">
        <v>17</v>
      </c>
      <c r="K185" s="93"/>
      <c r="L185" s="89" t="s">
        <v>18</v>
      </c>
      <c r="M185" s="93"/>
      <c r="N185" s="89" t="s">
        <v>13</v>
      </c>
      <c r="O185" s="93"/>
      <c r="P185" s="89" t="s">
        <v>34</v>
      </c>
      <c r="Q185" s="93"/>
      <c r="R185" s="89" t="s">
        <v>87</v>
      </c>
      <c r="S185" s="93"/>
      <c r="T185" s="89" t="s">
        <v>12</v>
      </c>
      <c r="U185" s="93"/>
      <c r="AA185" s="89" t="s">
        <v>69</v>
      </c>
      <c r="AB185" s="90"/>
      <c r="AC185" s="89" t="s">
        <v>17</v>
      </c>
      <c r="AD185" s="93"/>
      <c r="AE185" s="89" t="s">
        <v>18</v>
      </c>
      <c r="AF185" s="93"/>
      <c r="AG185" s="89" t="s">
        <v>13</v>
      </c>
      <c r="AH185" s="93"/>
      <c r="AI185" s="89" t="s">
        <v>34</v>
      </c>
      <c r="AJ185" s="93"/>
      <c r="AK185" s="89" t="s">
        <v>87</v>
      </c>
      <c r="AL185" s="93"/>
      <c r="AM185" s="89" t="s">
        <v>12</v>
      </c>
      <c r="AN185" s="93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2024</v>
      </c>
      <c r="D188" s="1">
        <v>1179</v>
      </c>
      <c r="E188" s="11">
        <v>387690</v>
      </c>
      <c r="F188" s="8">
        <v>932</v>
      </c>
      <c r="G188" s="11">
        <v>334141</v>
      </c>
      <c r="H188" s="1">
        <v>520</v>
      </c>
      <c r="I188" s="11">
        <v>216124</v>
      </c>
      <c r="J188" s="1">
        <v>47188</v>
      </c>
      <c r="K188" s="11">
        <v>18961525</v>
      </c>
      <c r="L188" s="1">
        <v>1871</v>
      </c>
      <c r="M188" s="11">
        <v>796609</v>
      </c>
      <c r="N188" s="1">
        <v>1633</v>
      </c>
      <c r="O188" s="11">
        <v>649613</v>
      </c>
      <c r="P188" s="8">
        <v>0</v>
      </c>
      <c r="Q188" s="11">
        <v>0</v>
      </c>
      <c r="R188" s="8">
        <v>48</v>
      </c>
      <c r="S188" s="11">
        <v>15677</v>
      </c>
      <c r="T188" s="53">
        <f>N188+L188+J188+H188+D188+P188+F188+R188</f>
        <v>53371</v>
      </c>
      <c r="U188" s="54">
        <f t="shared" ref="U188:U199" si="211">O188+M188+K188+I188+E188+Q188+G188+S188</f>
        <v>21361379</v>
      </c>
      <c r="V188" s="2" t="s">
        <v>63</v>
      </c>
      <c r="Y188" s="2" t="s">
        <v>5</v>
      </c>
      <c r="Z188" s="2">
        <v>2024</v>
      </c>
      <c r="AA188" s="1">
        <f t="shared" ref="AA188:AA199" si="212">D188+H188+F188</f>
        <v>2631</v>
      </c>
      <c r="AB188" s="11">
        <f t="shared" ref="AB188:AB199" si="213">E188+I188+G188</f>
        <v>937955</v>
      </c>
      <c r="AC188" s="1">
        <f t="shared" ref="AC188:AC199" si="214">+J188</f>
        <v>47188</v>
      </c>
      <c r="AD188" s="11">
        <f t="shared" ref="AD188:AD199" si="215">+K188</f>
        <v>18961525</v>
      </c>
      <c r="AE188" s="8">
        <f t="shared" ref="AE188:AE199" si="216">+L188</f>
        <v>1871</v>
      </c>
      <c r="AF188" s="11">
        <f t="shared" ref="AF188:AF199" si="217">+M188</f>
        <v>796609</v>
      </c>
      <c r="AG188" s="8">
        <f t="shared" ref="AG188:AG199" si="218">+N188</f>
        <v>1633</v>
      </c>
      <c r="AH188" s="11">
        <f t="shared" ref="AH188:AH199" si="219">+O188</f>
        <v>649613</v>
      </c>
      <c r="AI188" s="8">
        <f t="shared" ref="AI188:AI199" si="220">+P188</f>
        <v>0</v>
      </c>
      <c r="AJ188" s="11">
        <f t="shared" ref="AJ188:AJ199" si="221">+Q188</f>
        <v>0</v>
      </c>
      <c r="AK188" s="11">
        <f t="shared" ref="AK188:AK199" si="222">+R188</f>
        <v>48</v>
      </c>
      <c r="AL188" s="11">
        <f t="shared" ref="AL188:AL199" si="223">+S188</f>
        <v>15677</v>
      </c>
      <c r="AM188" s="8">
        <f>AI188+AG188+AE188+AC188+AA188+AK188</f>
        <v>53371</v>
      </c>
      <c r="AN188" s="11">
        <f t="shared" ref="AN188:AN199" si="224">AJ188+AH188+AF188+AD188+AB188+AL188</f>
        <v>21361379</v>
      </c>
      <c r="AO188" s="2" t="str">
        <f t="shared" ref="AO188:AO199" si="225">+V188</f>
        <v>CALH</v>
      </c>
      <c r="AP188" s="37">
        <f t="shared" ref="AP188:AP199" si="226">+AM188-T188</f>
        <v>0</v>
      </c>
      <c r="AQ188" s="37">
        <f t="shared" ref="AQ188:AQ199" si="227">+AN188-U188</f>
        <v>0</v>
      </c>
    </row>
    <row r="189" spans="1:43" x14ac:dyDescent="0.25">
      <c r="B189" s="2" t="s">
        <v>6</v>
      </c>
      <c r="C189" s="2">
        <v>2024</v>
      </c>
      <c r="D189" s="1">
        <v>1009</v>
      </c>
      <c r="E189" s="11">
        <v>387422</v>
      </c>
      <c r="F189" s="8">
        <v>862</v>
      </c>
      <c r="G189" s="11">
        <v>304181</v>
      </c>
      <c r="H189" s="1">
        <v>576</v>
      </c>
      <c r="I189" s="11">
        <v>261451</v>
      </c>
      <c r="J189" s="1">
        <v>47374</v>
      </c>
      <c r="K189" s="11">
        <v>19594421</v>
      </c>
      <c r="L189" s="1">
        <v>1852</v>
      </c>
      <c r="M189" s="11">
        <v>818215</v>
      </c>
      <c r="N189" s="1">
        <v>1582</v>
      </c>
      <c r="O189" s="11">
        <v>633621</v>
      </c>
      <c r="P189" s="8">
        <v>0</v>
      </c>
      <c r="Q189" s="11">
        <v>0</v>
      </c>
      <c r="R189" s="8">
        <v>33</v>
      </c>
      <c r="S189" s="11">
        <v>13299</v>
      </c>
      <c r="T189" s="53">
        <f t="shared" ref="T189:T199" si="228">N189+L189+J189+H189+D189+P189+F189+R189</f>
        <v>53288</v>
      </c>
      <c r="U189" s="54">
        <f t="shared" si="211"/>
        <v>22012610</v>
      </c>
      <c r="V189" s="2" t="s">
        <v>63</v>
      </c>
      <c r="Y189" s="2" t="s">
        <v>6</v>
      </c>
      <c r="Z189" s="2">
        <v>2024</v>
      </c>
      <c r="AA189" s="1">
        <f t="shared" si="212"/>
        <v>2447</v>
      </c>
      <c r="AB189" s="11">
        <f t="shared" si="213"/>
        <v>953054</v>
      </c>
      <c r="AC189" s="1">
        <f t="shared" si="214"/>
        <v>47374</v>
      </c>
      <c r="AD189" s="11">
        <f t="shared" si="215"/>
        <v>19594421</v>
      </c>
      <c r="AE189" s="8">
        <f t="shared" si="216"/>
        <v>1852</v>
      </c>
      <c r="AF189" s="11">
        <f t="shared" si="217"/>
        <v>818215</v>
      </c>
      <c r="AG189" s="8">
        <f t="shared" si="218"/>
        <v>1582</v>
      </c>
      <c r="AH189" s="11">
        <f t="shared" si="219"/>
        <v>633621</v>
      </c>
      <c r="AI189" s="8">
        <f t="shared" si="220"/>
        <v>0</v>
      </c>
      <c r="AJ189" s="11">
        <f t="shared" si="221"/>
        <v>0</v>
      </c>
      <c r="AK189" s="11">
        <f t="shared" si="222"/>
        <v>33</v>
      </c>
      <c r="AL189" s="11">
        <f t="shared" si="223"/>
        <v>13299</v>
      </c>
      <c r="AM189" s="8">
        <f t="shared" ref="AM189:AM199" si="229">AI189+AG189+AE189+AC189+AA189+AK189</f>
        <v>53288</v>
      </c>
      <c r="AN189" s="11">
        <f t="shared" si="224"/>
        <v>22012610</v>
      </c>
      <c r="AO189" s="2" t="str">
        <f t="shared" si="225"/>
        <v>CALH</v>
      </c>
      <c r="AP189" s="37">
        <f t="shared" si="226"/>
        <v>0</v>
      </c>
      <c r="AQ189" s="37">
        <f t="shared" si="227"/>
        <v>0</v>
      </c>
    </row>
    <row r="190" spans="1:43" x14ac:dyDescent="0.25">
      <c r="B190" s="2" t="s">
        <v>7</v>
      </c>
      <c r="C190" s="2">
        <v>2024</v>
      </c>
      <c r="D190" s="1">
        <v>1300</v>
      </c>
      <c r="E190" s="11">
        <v>490046</v>
      </c>
      <c r="F190" s="8">
        <v>924</v>
      </c>
      <c r="G190" s="11">
        <v>323697</v>
      </c>
      <c r="H190" s="1">
        <v>635</v>
      </c>
      <c r="I190" s="11">
        <v>280592</v>
      </c>
      <c r="J190" s="1">
        <v>49121</v>
      </c>
      <c r="K190" s="11">
        <v>20387877</v>
      </c>
      <c r="L190" s="1">
        <v>1833</v>
      </c>
      <c r="M190" s="11">
        <v>792569</v>
      </c>
      <c r="N190" s="1">
        <v>1739</v>
      </c>
      <c r="O190" s="11">
        <v>681259</v>
      </c>
      <c r="P190" s="8">
        <v>9</v>
      </c>
      <c r="Q190" s="11">
        <v>2042</v>
      </c>
      <c r="R190" s="8">
        <v>115</v>
      </c>
      <c r="S190" s="11">
        <v>32028</v>
      </c>
      <c r="T190" s="53">
        <f t="shared" si="228"/>
        <v>55676</v>
      </c>
      <c r="U190" s="54">
        <f t="shared" si="211"/>
        <v>22990110</v>
      </c>
      <c r="V190" s="2" t="s">
        <v>63</v>
      </c>
      <c r="X190" s="13"/>
      <c r="Y190" s="2" t="s">
        <v>7</v>
      </c>
      <c r="Z190" s="2">
        <v>2024</v>
      </c>
      <c r="AA190" s="1">
        <f t="shared" si="212"/>
        <v>2859</v>
      </c>
      <c r="AB190" s="11">
        <f t="shared" si="213"/>
        <v>1094335</v>
      </c>
      <c r="AC190" s="1">
        <f t="shared" si="214"/>
        <v>49121</v>
      </c>
      <c r="AD190" s="11">
        <f t="shared" si="215"/>
        <v>20387877</v>
      </c>
      <c r="AE190" s="8">
        <f t="shared" si="216"/>
        <v>1833</v>
      </c>
      <c r="AF190" s="11">
        <f t="shared" si="217"/>
        <v>792569</v>
      </c>
      <c r="AG190" s="8">
        <f t="shared" si="218"/>
        <v>1739</v>
      </c>
      <c r="AH190" s="11">
        <f t="shared" si="219"/>
        <v>681259</v>
      </c>
      <c r="AI190" s="8">
        <f t="shared" si="220"/>
        <v>9</v>
      </c>
      <c r="AJ190" s="11">
        <f t="shared" si="221"/>
        <v>2042</v>
      </c>
      <c r="AK190" s="11">
        <f t="shared" si="222"/>
        <v>115</v>
      </c>
      <c r="AL190" s="11">
        <f t="shared" si="223"/>
        <v>32028</v>
      </c>
      <c r="AM190" s="8">
        <f t="shared" si="229"/>
        <v>55676</v>
      </c>
      <c r="AN190" s="11">
        <f t="shared" si="224"/>
        <v>22990110</v>
      </c>
      <c r="AO190" s="2" t="str">
        <f t="shared" si="225"/>
        <v>CALH</v>
      </c>
      <c r="AP190" s="37">
        <f t="shared" si="226"/>
        <v>0</v>
      </c>
      <c r="AQ190" s="37">
        <f t="shared" si="227"/>
        <v>0</v>
      </c>
    </row>
    <row r="191" spans="1:43" x14ac:dyDescent="0.25">
      <c r="B191" s="2" t="s">
        <v>8</v>
      </c>
      <c r="C191" s="2">
        <v>2024</v>
      </c>
      <c r="D191" s="1">
        <v>1442</v>
      </c>
      <c r="E191" s="11">
        <v>569006</v>
      </c>
      <c r="F191" s="8">
        <v>1217</v>
      </c>
      <c r="G191" s="11">
        <v>427447</v>
      </c>
      <c r="H191" s="1">
        <v>467</v>
      </c>
      <c r="I191" s="11">
        <v>195740</v>
      </c>
      <c r="J191" s="1">
        <v>50747</v>
      </c>
      <c r="K191" s="11">
        <v>20874909</v>
      </c>
      <c r="L191" s="1">
        <v>2393</v>
      </c>
      <c r="M191" s="11">
        <v>1016124</v>
      </c>
      <c r="N191" s="1">
        <v>1657</v>
      </c>
      <c r="O191" s="11">
        <v>636896</v>
      </c>
      <c r="P191" s="8">
        <v>7</v>
      </c>
      <c r="Q191" s="11">
        <v>2363</v>
      </c>
      <c r="R191" s="8">
        <v>147</v>
      </c>
      <c r="S191" s="11">
        <v>34908</v>
      </c>
      <c r="T191" s="53">
        <f t="shared" si="228"/>
        <v>58077</v>
      </c>
      <c r="U191" s="54">
        <f t="shared" si="211"/>
        <v>23757393</v>
      </c>
      <c r="V191" s="2" t="s">
        <v>63</v>
      </c>
      <c r="X191" s="13"/>
      <c r="Y191" s="2" t="s">
        <v>8</v>
      </c>
      <c r="Z191" s="2">
        <v>2024</v>
      </c>
      <c r="AA191" s="1">
        <f t="shared" si="212"/>
        <v>3126</v>
      </c>
      <c r="AB191" s="11">
        <f t="shared" si="213"/>
        <v>1192193</v>
      </c>
      <c r="AC191" s="1">
        <f t="shared" si="214"/>
        <v>50747</v>
      </c>
      <c r="AD191" s="11">
        <f t="shared" si="215"/>
        <v>20874909</v>
      </c>
      <c r="AE191" s="8">
        <f t="shared" si="216"/>
        <v>2393</v>
      </c>
      <c r="AF191" s="11">
        <f t="shared" si="217"/>
        <v>1016124</v>
      </c>
      <c r="AG191" s="8">
        <f t="shared" si="218"/>
        <v>1657</v>
      </c>
      <c r="AH191" s="11">
        <f t="shared" si="219"/>
        <v>636896</v>
      </c>
      <c r="AI191" s="8">
        <f t="shared" si="220"/>
        <v>7</v>
      </c>
      <c r="AJ191" s="11">
        <f t="shared" si="221"/>
        <v>2363</v>
      </c>
      <c r="AK191" s="11">
        <f t="shared" si="222"/>
        <v>147</v>
      </c>
      <c r="AL191" s="11">
        <f t="shared" si="223"/>
        <v>34908</v>
      </c>
      <c r="AM191" s="8">
        <f t="shared" si="229"/>
        <v>58077</v>
      </c>
      <c r="AN191" s="11">
        <f t="shared" si="224"/>
        <v>23757393</v>
      </c>
      <c r="AO191" s="2" t="str">
        <f t="shared" si="225"/>
        <v>CALH</v>
      </c>
      <c r="AP191" s="37">
        <f t="shared" si="226"/>
        <v>0</v>
      </c>
      <c r="AQ191" s="37">
        <f t="shared" si="227"/>
        <v>0</v>
      </c>
    </row>
    <row r="192" spans="1:43" x14ac:dyDescent="0.25">
      <c r="B192" s="2" t="s">
        <v>9</v>
      </c>
      <c r="C192" s="2">
        <v>2024</v>
      </c>
      <c r="D192" s="1">
        <v>1432</v>
      </c>
      <c r="E192" s="11">
        <v>566208</v>
      </c>
      <c r="F192" s="8">
        <v>1093</v>
      </c>
      <c r="G192" s="11">
        <v>399102</v>
      </c>
      <c r="H192" s="1">
        <v>539</v>
      </c>
      <c r="I192" s="11">
        <v>214221</v>
      </c>
      <c r="J192" s="1">
        <v>51507</v>
      </c>
      <c r="K192" s="11">
        <v>20735192</v>
      </c>
      <c r="L192" s="1">
        <v>2927</v>
      </c>
      <c r="M192" s="11">
        <v>1212104</v>
      </c>
      <c r="N192" s="1">
        <v>2081</v>
      </c>
      <c r="O192" s="11">
        <v>791619</v>
      </c>
      <c r="P192" s="8">
        <v>11</v>
      </c>
      <c r="Q192" s="11">
        <v>4653</v>
      </c>
      <c r="R192" s="8">
        <v>169</v>
      </c>
      <c r="S192" s="11">
        <v>39428</v>
      </c>
      <c r="T192" s="53">
        <f t="shared" si="228"/>
        <v>59759</v>
      </c>
      <c r="U192" s="54">
        <f t="shared" si="211"/>
        <v>23962527</v>
      </c>
      <c r="V192" s="2" t="s">
        <v>63</v>
      </c>
      <c r="X192" s="13"/>
      <c r="Y192" s="2" t="s">
        <v>9</v>
      </c>
      <c r="Z192" s="2">
        <v>2024</v>
      </c>
      <c r="AA192" s="1">
        <f t="shared" si="212"/>
        <v>3064</v>
      </c>
      <c r="AB192" s="11">
        <f t="shared" si="213"/>
        <v>1179531</v>
      </c>
      <c r="AC192" s="1">
        <f t="shared" si="214"/>
        <v>51507</v>
      </c>
      <c r="AD192" s="11">
        <f t="shared" si="215"/>
        <v>20735192</v>
      </c>
      <c r="AE192" s="8">
        <f t="shared" si="216"/>
        <v>2927</v>
      </c>
      <c r="AF192" s="11">
        <f t="shared" si="217"/>
        <v>1212104</v>
      </c>
      <c r="AG192" s="8">
        <f t="shared" si="218"/>
        <v>2081</v>
      </c>
      <c r="AH192" s="11">
        <f t="shared" si="219"/>
        <v>791619</v>
      </c>
      <c r="AI192" s="8">
        <f t="shared" si="220"/>
        <v>11</v>
      </c>
      <c r="AJ192" s="11">
        <f t="shared" si="221"/>
        <v>4653</v>
      </c>
      <c r="AK192" s="11">
        <f t="shared" si="222"/>
        <v>169</v>
      </c>
      <c r="AL192" s="11">
        <f t="shared" si="223"/>
        <v>39428</v>
      </c>
      <c r="AM192" s="8">
        <f t="shared" si="229"/>
        <v>59759</v>
      </c>
      <c r="AN192" s="11">
        <f t="shared" si="224"/>
        <v>23962527</v>
      </c>
      <c r="AO192" s="2" t="str">
        <f t="shared" si="225"/>
        <v>CALH</v>
      </c>
      <c r="AP192" s="37">
        <f t="shared" si="226"/>
        <v>0</v>
      </c>
      <c r="AQ192" s="37">
        <f t="shared" si="227"/>
        <v>0</v>
      </c>
    </row>
    <row r="193" spans="1:43" x14ac:dyDescent="0.25">
      <c r="B193" s="2" t="s">
        <v>10</v>
      </c>
      <c r="C193" s="2">
        <v>2024</v>
      </c>
      <c r="D193" s="1">
        <v>1189</v>
      </c>
      <c r="E193" s="11">
        <v>454227</v>
      </c>
      <c r="F193" s="8">
        <v>1021</v>
      </c>
      <c r="G193" s="11">
        <v>374611</v>
      </c>
      <c r="H193" s="1">
        <v>694</v>
      </c>
      <c r="I193" s="11">
        <v>290964</v>
      </c>
      <c r="J193" s="1">
        <v>48721</v>
      </c>
      <c r="K193" s="11">
        <v>19390434</v>
      </c>
      <c r="L193" s="1">
        <v>2675</v>
      </c>
      <c r="M193" s="11">
        <v>1085151</v>
      </c>
      <c r="N193" s="1">
        <v>1971</v>
      </c>
      <c r="O193" s="11">
        <v>773023</v>
      </c>
      <c r="P193" s="8">
        <v>15</v>
      </c>
      <c r="Q193" s="11">
        <v>7629</v>
      </c>
      <c r="R193" s="8">
        <v>155</v>
      </c>
      <c r="S193" s="11">
        <v>33309</v>
      </c>
      <c r="T193" s="53">
        <f t="shared" si="228"/>
        <v>56441</v>
      </c>
      <c r="U193" s="54">
        <f t="shared" si="211"/>
        <v>22409348</v>
      </c>
      <c r="V193" s="2" t="s">
        <v>63</v>
      </c>
      <c r="Y193" s="2" t="s">
        <v>10</v>
      </c>
      <c r="Z193" s="2">
        <v>2024</v>
      </c>
      <c r="AA193" s="1">
        <f t="shared" si="212"/>
        <v>2904</v>
      </c>
      <c r="AB193" s="11">
        <f t="shared" si="213"/>
        <v>1119802</v>
      </c>
      <c r="AC193" s="1">
        <f t="shared" si="214"/>
        <v>48721</v>
      </c>
      <c r="AD193" s="11">
        <f t="shared" si="215"/>
        <v>19390434</v>
      </c>
      <c r="AE193" s="8">
        <f t="shared" si="216"/>
        <v>2675</v>
      </c>
      <c r="AF193" s="11">
        <f t="shared" si="217"/>
        <v>1085151</v>
      </c>
      <c r="AG193" s="8">
        <f t="shared" si="218"/>
        <v>1971</v>
      </c>
      <c r="AH193" s="11">
        <f t="shared" si="219"/>
        <v>773023</v>
      </c>
      <c r="AI193" s="8">
        <f t="shared" si="220"/>
        <v>15</v>
      </c>
      <c r="AJ193" s="11">
        <f t="shared" si="221"/>
        <v>7629</v>
      </c>
      <c r="AK193" s="11">
        <f t="shared" si="222"/>
        <v>155</v>
      </c>
      <c r="AL193" s="11">
        <f t="shared" si="223"/>
        <v>33309</v>
      </c>
      <c r="AM193" s="8">
        <f t="shared" si="229"/>
        <v>56441</v>
      </c>
      <c r="AN193" s="11">
        <f t="shared" si="224"/>
        <v>22409348</v>
      </c>
      <c r="AO193" s="2" t="str">
        <f t="shared" si="225"/>
        <v>CALH</v>
      </c>
      <c r="AP193" s="37">
        <f t="shared" si="226"/>
        <v>0</v>
      </c>
      <c r="AQ193" s="37">
        <f t="shared" si="227"/>
        <v>0</v>
      </c>
    </row>
    <row r="194" spans="1:43" x14ac:dyDescent="0.25">
      <c r="B194" s="2" t="s">
        <v>11</v>
      </c>
      <c r="C194" s="2">
        <v>2024</v>
      </c>
      <c r="D194" s="1">
        <v>1212</v>
      </c>
      <c r="E194" s="11">
        <v>386473</v>
      </c>
      <c r="F194" s="8">
        <v>1145</v>
      </c>
      <c r="G194" s="11">
        <v>410358</v>
      </c>
      <c r="H194" s="1">
        <v>512</v>
      </c>
      <c r="I194" s="11">
        <v>196421</v>
      </c>
      <c r="J194" s="1">
        <v>46916</v>
      </c>
      <c r="K194" s="11">
        <v>18662435</v>
      </c>
      <c r="L194" s="1">
        <v>2438</v>
      </c>
      <c r="M194" s="11">
        <v>967477</v>
      </c>
      <c r="N194" s="1">
        <v>1802</v>
      </c>
      <c r="O194" s="11">
        <v>701951</v>
      </c>
      <c r="P194" s="8">
        <v>35</v>
      </c>
      <c r="Q194" s="11">
        <v>18300</v>
      </c>
      <c r="R194" s="8">
        <v>255</v>
      </c>
      <c r="S194" s="11">
        <v>48173</v>
      </c>
      <c r="T194" s="53">
        <f t="shared" si="228"/>
        <v>54315</v>
      </c>
      <c r="U194" s="54">
        <f t="shared" si="211"/>
        <v>21391588</v>
      </c>
      <c r="V194" s="2" t="s">
        <v>63</v>
      </c>
      <c r="Y194" s="2" t="s">
        <v>11</v>
      </c>
      <c r="Z194" s="2">
        <v>2024</v>
      </c>
      <c r="AA194" s="1">
        <f t="shared" si="212"/>
        <v>2869</v>
      </c>
      <c r="AB194" s="11">
        <f t="shared" si="213"/>
        <v>993252</v>
      </c>
      <c r="AC194" s="1">
        <f t="shared" si="214"/>
        <v>46916</v>
      </c>
      <c r="AD194" s="11">
        <f t="shared" si="215"/>
        <v>18662435</v>
      </c>
      <c r="AE194" s="8">
        <f t="shared" si="216"/>
        <v>2438</v>
      </c>
      <c r="AF194" s="11">
        <f t="shared" si="217"/>
        <v>967477</v>
      </c>
      <c r="AG194" s="8">
        <f t="shared" si="218"/>
        <v>1802</v>
      </c>
      <c r="AH194" s="11">
        <f t="shared" si="219"/>
        <v>701951</v>
      </c>
      <c r="AI194" s="8">
        <f t="shared" si="220"/>
        <v>35</v>
      </c>
      <c r="AJ194" s="11">
        <f t="shared" si="221"/>
        <v>18300</v>
      </c>
      <c r="AK194" s="11">
        <f t="shared" si="222"/>
        <v>255</v>
      </c>
      <c r="AL194" s="11">
        <f t="shared" si="223"/>
        <v>48173</v>
      </c>
      <c r="AM194" s="8">
        <f t="shared" si="229"/>
        <v>54315</v>
      </c>
      <c r="AN194" s="11">
        <f t="shared" si="224"/>
        <v>21391588</v>
      </c>
      <c r="AO194" s="2" t="str">
        <f t="shared" si="225"/>
        <v>CALH</v>
      </c>
      <c r="AP194" s="37">
        <f t="shared" si="226"/>
        <v>0</v>
      </c>
      <c r="AQ194" s="37">
        <f t="shared" si="227"/>
        <v>0</v>
      </c>
    </row>
    <row r="195" spans="1:43" x14ac:dyDescent="0.25">
      <c r="B195" s="2" t="s">
        <v>4</v>
      </c>
      <c r="C195" s="2">
        <v>2024</v>
      </c>
      <c r="D195" s="1">
        <v>1080</v>
      </c>
      <c r="E195" s="11">
        <v>362209</v>
      </c>
      <c r="F195" s="8">
        <v>930</v>
      </c>
      <c r="G195" s="11">
        <v>294627</v>
      </c>
      <c r="H195" s="1">
        <v>376</v>
      </c>
      <c r="I195" s="11">
        <v>135323</v>
      </c>
      <c r="J195" s="1">
        <v>50701</v>
      </c>
      <c r="K195" s="11">
        <v>19758865</v>
      </c>
      <c r="L195" s="1">
        <v>2329</v>
      </c>
      <c r="M195" s="11">
        <v>918152</v>
      </c>
      <c r="N195" s="1">
        <v>1964</v>
      </c>
      <c r="O195" s="11">
        <v>711888</v>
      </c>
      <c r="P195" s="8">
        <v>35</v>
      </c>
      <c r="Q195" s="11">
        <v>18229</v>
      </c>
      <c r="R195" s="8">
        <v>259</v>
      </c>
      <c r="S195" s="11">
        <v>51285</v>
      </c>
      <c r="T195" s="53">
        <f t="shared" si="228"/>
        <v>57674</v>
      </c>
      <c r="U195" s="54">
        <f t="shared" si="211"/>
        <v>22250578</v>
      </c>
      <c r="V195" s="2" t="s">
        <v>63</v>
      </c>
      <c r="Y195" s="2" t="s">
        <v>4</v>
      </c>
      <c r="Z195" s="2">
        <v>2024</v>
      </c>
      <c r="AA195" s="1">
        <f t="shared" si="212"/>
        <v>2386</v>
      </c>
      <c r="AB195" s="11">
        <f t="shared" si="213"/>
        <v>792159</v>
      </c>
      <c r="AC195" s="1">
        <f t="shared" si="214"/>
        <v>50701</v>
      </c>
      <c r="AD195" s="11">
        <f t="shared" si="215"/>
        <v>19758865</v>
      </c>
      <c r="AE195" s="8">
        <f t="shared" si="216"/>
        <v>2329</v>
      </c>
      <c r="AF195" s="11">
        <f t="shared" si="217"/>
        <v>918152</v>
      </c>
      <c r="AG195" s="8">
        <f t="shared" si="218"/>
        <v>1964</v>
      </c>
      <c r="AH195" s="11">
        <f t="shared" si="219"/>
        <v>711888</v>
      </c>
      <c r="AI195" s="8">
        <f t="shared" si="220"/>
        <v>35</v>
      </c>
      <c r="AJ195" s="11">
        <f t="shared" si="221"/>
        <v>18229</v>
      </c>
      <c r="AK195" s="11">
        <f t="shared" si="222"/>
        <v>259</v>
      </c>
      <c r="AL195" s="11">
        <f t="shared" si="223"/>
        <v>51285</v>
      </c>
      <c r="AM195" s="8">
        <f t="shared" si="229"/>
        <v>57674</v>
      </c>
      <c r="AN195" s="11">
        <f t="shared" si="224"/>
        <v>22250578</v>
      </c>
      <c r="AO195" s="2" t="str">
        <f t="shared" si="225"/>
        <v>CALH</v>
      </c>
      <c r="AP195" s="37">
        <f t="shared" si="226"/>
        <v>0</v>
      </c>
      <c r="AQ195" s="37">
        <f t="shared" si="227"/>
        <v>0</v>
      </c>
    </row>
    <row r="196" spans="1:43" x14ac:dyDescent="0.25">
      <c r="B196" s="2" t="s">
        <v>28</v>
      </c>
      <c r="C196" s="2">
        <v>2024</v>
      </c>
      <c r="D196" s="1">
        <v>872</v>
      </c>
      <c r="E196" s="11">
        <v>294089</v>
      </c>
      <c r="F196" s="8">
        <v>757</v>
      </c>
      <c r="G196" s="11">
        <v>214150</v>
      </c>
      <c r="H196" s="1">
        <v>277</v>
      </c>
      <c r="I196" s="11">
        <v>97534</v>
      </c>
      <c r="J196" s="1">
        <v>46254</v>
      </c>
      <c r="K196" s="11">
        <v>17783789</v>
      </c>
      <c r="L196" s="1">
        <v>2034</v>
      </c>
      <c r="M196" s="11">
        <v>842124</v>
      </c>
      <c r="N196" s="1">
        <v>1741</v>
      </c>
      <c r="O196" s="11">
        <v>632626</v>
      </c>
      <c r="P196" s="8">
        <v>2</v>
      </c>
      <c r="Q196" s="11">
        <v>1022</v>
      </c>
      <c r="R196" s="8">
        <v>177</v>
      </c>
      <c r="S196" s="11">
        <v>38494</v>
      </c>
      <c r="T196" s="53">
        <f t="shared" si="228"/>
        <v>52114</v>
      </c>
      <c r="U196" s="54">
        <f t="shared" si="211"/>
        <v>19903828</v>
      </c>
      <c r="V196" s="2" t="s">
        <v>63</v>
      </c>
      <c r="Y196" s="2" t="s">
        <v>28</v>
      </c>
      <c r="Z196" s="2">
        <v>2024</v>
      </c>
      <c r="AA196" s="1">
        <f t="shared" si="212"/>
        <v>1906</v>
      </c>
      <c r="AB196" s="11">
        <f t="shared" si="213"/>
        <v>605773</v>
      </c>
      <c r="AC196" s="1">
        <f t="shared" si="214"/>
        <v>46254</v>
      </c>
      <c r="AD196" s="11">
        <f t="shared" si="215"/>
        <v>17783789</v>
      </c>
      <c r="AE196" s="8">
        <f t="shared" si="216"/>
        <v>2034</v>
      </c>
      <c r="AF196" s="11">
        <f t="shared" si="217"/>
        <v>842124</v>
      </c>
      <c r="AG196" s="8">
        <f t="shared" si="218"/>
        <v>1741</v>
      </c>
      <c r="AH196" s="11">
        <f t="shared" si="219"/>
        <v>632626</v>
      </c>
      <c r="AI196" s="8">
        <f t="shared" si="220"/>
        <v>2</v>
      </c>
      <c r="AJ196" s="11">
        <f t="shared" si="221"/>
        <v>1022</v>
      </c>
      <c r="AK196" s="11">
        <f t="shared" si="222"/>
        <v>177</v>
      </c>
      <c r="AL196" s="11">
        <f t="shared" si="223"/>
        <v>38494</v>
      </c>
      <c r="AM196" s="8">
        <f t="shared" si="229"/>
        <v>52114</v>
      </c>
      <c r="AN196" s="11">
        <f t="shared" si="224"/>
        <v>19903828</v>
      </c>
      <c r="AO196" s="2" t="str">
        <f t="shared" si="225"/>
        <v>CALH</v>
      </c>
      <c r="AP196" s="37">
        <f t="shared" si="226"/>
        <v>0</v>
      </c>
      <c r="AQ196" s="37">
        <f t="shared" si="227"/>
        <v>0</v>
      </c>
    </row>
    <row r="197" spans="1:43" x14ac:dyDescent="0.25">
      <c r="B197" s="2" t="s">
        <v>29</v>
      </c>
      <c r="C197" s="2">
        <v>2024</v>
      </c>
      <c r="D197" s="1">
        <v>1017</v>
      </c>
      <c r="E197" s="11">
        <v>347417</v>
      </c>
      <c r="F197" s="8">
        <v>1011</v>
      </c>
      <c r="G197" s="11">
        <v>303096</v>
      </c>
      <c r="H197" s="1">
        <v>356</v>
      </c>
      <c r="I197" s="11">
        <v>127900</v>
      </c>
      <c r="J197" s="1">
        <v>53449</v>
      </c>
      <c r="K197" s="11">
        <v>20726400</v>
      </c>
      <c r="L197" s="1">
        <v>2791</v>
      </c>
      <c r="M197" s="11">
        <v>1149499</v>
      </c>
      <c r="N197" s="1">
        <v>2025</v>
      </c>
      <c r="O197" s="11">
        <v>742088</v>
      </c>
      <c r="P197" s="8">
        <v>0</v>
      </c>
      <c r="Q197" s="11">
        <v>0</v>
      </c>
      <c r="R197" s="8">
        <v>279</v>
      </c>
      <c r="S197" s="11">
        <v>71118</v>
      </c>
      <c r="T197" s="53">
        <f>N197+L197+J197+H197+D197+P197+F197+R197</f>
        <v>60928</v>
      </c>
      <c r="U197" s="54">
        <f t="shared" si="211"/>
        <v>23467518</v>
      </c>
      <c r="V197" s="2" t="s">
        <v>63</v>
      </c>
      <c r="Y197" s="2" t="s">
        <v>29</v>
      </c>
      <c r="Z197" s="2">
        <v>2024</v>
      </c>
      <c r="AA197" s="1">
        <f t="shared" si="212"/>
        <v>2384</v>
      </c>
      <c r="AB197" s="11">
        <f t="shared" si="213"/>
        <v>778413</v>
      </c>
      <c r="AC197" s="1">
        <f t="shared" si="214"/>
        <v>53449</v>
      </c>
      <c r="AD197" s="11">
        <f t="shared" si="215"/>
        <v>20726400</v>
      </c>
      <c r="AE197" s="8">
        <f t="shared" si="216"/>
        <v>2791</v>
      </c>
      <c r="AF197" s="11">
        <f t="shared" si="217"/>
        <v>1149499</v>
      </c>
      <c r="AG197" s="8">
        <f t="shared" si="218"/>
        <v>2025</v>
      </c>
      <c r="AH197" s="11">
        <f t="shared" si="219"/>
        <v>742088</v>
      </c>
      <c r="AI197" s="8">
        <f t="shared" si="220"/>
        <v>0</v>
      </c>
      <c r="AJ197" s="11">
        <f t="shared" si="221"/>
        <v>0</v>
      </c>
      <c r="AK197" s="11">
        <f t="shared" si="222"/>
        <v>279</v>
      </c>
      <c r="AL197" s="11">
        <f t="shared" si="223"/>
        <v>71118</v>
      </c>
      <c r="AM197" s="8">
        <f t="shared" si="229"/>
        <v>60928</v>
      </c>
      <c r="AN197" s="11">
        <f t="shared" si="224"/>
        <v>23467518</v>
      </c>
      <c r="AO197" s="2" t="str">
        <f t="shared" si="225"/>
        <v>CALH</v>
      </c>
      <c r="AP197" s="37">
        <f t="shared" si="226"/>
        <v>0</v>
      </c>
      <c r="AQ197" s="37">
        <f t="shared" si="227"/>
        <v>0</v>
      </c>
    </row>
    <row r="198" spans="1:43" x14ac:dyDescent="0.25">
      <c r="B198" s="2" t="s">
        <v>30</v>
      </c>
      <c r="C198" s="2">
        <v>2024</v>
      </c>
      <c r="D198" s="1">
        <v>1036</v>
      </c>
      <c r="E198" s="11">
        <v>365664</v>
      </c>
      <c r="F198" s="8">
        <v>1080</v>
      </c>
      <c r="G198" s="11">
        <v>348854</v>
      </c>
      <c r="H198" s="1">
        <v>370</v>
      </c>
      <c r="I198" s="11">
        <v>125056</v>
      </c>
      <c r="J198" s="1">
        <v>63285</v>
      </c>
      <c r="K198" s="11">
        <v>20017681</v>
      </c>
      <c r="L198" s="1">
        <v>4421</v>
      </c>
      <c r="M198" s="11">
        <v>1148961</v>
      </c>
      <c r="N198" s="1">
        <v>2723</v>
      </c>
      <c r="O198" s="11">
        <v>804958</v>
      </c>
      <c r="P198" s="8">
        <v>1</v>
      </c>
      <c r="Q198" s="11">
        <v>233</v>
      </c>
      <c r="R198" s="8">
        <v>335</v>
      </c>
      <c r="S198" s="11">
        <v>58776</v>
      </c>
      <c r="T198" s="53">
        <f t="shared" si="228"/>
        <v>73251</v>
      </c>
      <c r="U198" s="54">
        <f t="shared" si="211"/>
        <v>22870183</v>
      </c>
      <c r="V198" s="2" t="s">
        <v>63</v>
      </c>
      <c r="Y198" s="2" t="s">
        <v>30</v>
      </c>
      <c r="Z198" s="2">
        <v>2024</v>
      </c>
      <c r="AA198" s="1">
        <f t="shared" si="212"/>
        <v>2486</v>
      </c>
      <c r="AB198" s="11">
        <f t="shared" si="213"/>
        <v>839574</v>
      </c>
      <c r="AC198" s="1">
        <f t="shared" si="214"/>
        <v>63285</v>
      </c>
      <c r="AD198" s="11">
        <f t="shared" si="215"/>
        <v>20017681</v>
      </c>
      <c r="AE198" s="8">
        <f t="shared" si="216"/>
        <v>4421</v>
      </c>
      <c r="AF198" s="11">
        <f t="shared" si="217"/>
        <v>1148961</v>
      </c>
      <c r="AG198" s="8">
        <f t="shared" si="218"/>
        <v>2723</v>
      </c>
      <c r="AH198" s="11">
        <f t="shared" si="219"/>
        <v>804958</v>
      </c>
      <c r="AI198" s="8">
        <f t="shared" si="220"/>
        <v>1</v>
      </c>
      <c r="AJ198" s="11">
        <f t="shared" si="221"/>
        <v>233</v>
      </c>
      <c r="AK198" s="11">
        <f t="shared" si="222"/>
        <v>335</v>
      </c>
      <c r="AL198" s="11">
        <f t="shared" si="223"/>
        <v>58776</v>
      </c>
      <c r="AM198" s="79">
        <f t="shared" si="229"/>
        <v>73251</v>
      </c>
      <c r="AN198" s="80">
        <f t="shared" si="224"/>
        <v>22870183</v>
      </c>
      <c r="AO198" s="2" t="str">
        <f t="shared" si="225"/>
        <v>CALH</v>
      </c>
      <c r="AP198" s="37">
        <f t="shared" si="226"/>
        <v>0</v>
      </c>
      <c r="AQ198" s="37">
        <f t="shared" si="227"/>
        <v>0</v>
      </c>
    </row>
    <row r="199" spans="1:43" x14ac:dyDescent="0.25">
      <c r="B199" s="2" t="s">
        <v>31</v>
      </c>
      <c r="C199" s="2">
        <v>2024</v>
      </c>
      <c r="D199" s="1">
        <v>1500</v>
      </c>
      <c r="E199" s="11">
        <v>489122</v>
      </c>
      <c r="F199" s="8">
        <v>1094</v>
      </c>
      <c r="G199" s="11">
        <v>359821</v>
      </c>
      <c r="H199" s="1">
        <v>409</v>
      </c>
      <c r="I199" s="11">
        <v>159576</v>
      </c>
      <c r="J199" s="1">
        <v>45042</v>
      </c>
      <c r="K199" s="11">
        <v>17920489</v>
      </c>
      <c r="L199" s="1">
        <v>2695</v>
      </c>
      <c r="M199" s="11">
        <v>1151557</v>
      </c>
      <c r="N199" s="1">
        <v>1933</v>
      </c>
      <c r="O199" s="11">
        <v>748186</v>
      </c>
      <c r="P199" s="8">
        <v>0</v>
      </c>
      <c r="Q199" s="11">
        <v>0</v>
      </c>
      <c r="R199" s="8">
        <v>547</v>
      </c>
      <c r="S199" s="11">
        <v>109714</v>
      </c>
      <c r="T199" s="53">
        <f t="shared" si="228"/>
        <v>53220</v>
      </c>
      <c r="U199" s="54">
        <f t="shared" si="211"/>
        <v>20938465</v>
      </c>
      <c r="V199" s="2" t="s">
        <v>63</v>
      </c>
      <c r="W199" s="13"/>
      <c r="Y199" s="2" t="s">
        <v>31</v>
      </c>
      <c r="Z199" s="2">
        <v>2024</v>
      </c>
      <c r="AA199" s="1">
        <f t="shared" si="212"/>
        <v>3003</v>
      </c>
      <c r="AB199" s="11">
        <f t="shared" si="213"/>
        <v>1008519</v>
      </c>
      <c r="AC199" s="1">
        <f t="shared" si="214"/>
        <v>45042</v>
      </c>
      <c r="AD199" s="11">
        <f t="shared" si="215"/>
        <v>17920489</v>
      </c>
      <c r="AE199" s="8">
        <f t="shared" si="216"/>
        <v>2695</v>
      </c>
      <c r="AF199" s="11">
        <f t="shared" si="217"/>
        <v>1151557</v>
      </c>
      <c r="AG199" s="8">
        <f t="shared" si="218"/>
        <v>1933</v>
      </c>
      <c r="AH199" s="11">
        <f t="shared" si="219"/>
        <v>748186</v>
      </c>
      <c r="AI199" s="8">
        <f t="shared" si="220"/>
        <v>0</v>
      </c>
      <c r="AJ199" s="11">
        <f t="shared" si="221"/>
        <v>0</v>
      </c>
      <c r="AK199" s="11">
        <f t="shared" si="222"/>
        <v>547</v>
      </c>
      <c r="AL199" s="11">
        <f t="shared" si="223"/>
        <v>109714</v>
      </c>
      <c r="AM199" s="8">
        <f t="shared" si="229"/>
        <v>53220</v>
      </c>
      <c r="AN199" s="11">
        <f t="shared" si="224"/>
        <v>20938465</v>
      </c>
      <c r="AO199" s="2" t="str">
        <f t="shared" si="225"/>
        <v>CALH</v>
      </c>
      <c r="AP199" s="37">
        <f t="shared" si="226"/>
        <v>0</v>
      </c>
      <c r="AQ199" s="37">
        <f t="shared" si="227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230">SUM(D188:D200)</f>
        <v>14268</v>
      </c>
      <c r="E201" s="12">
        <f t="shared" si="230"/>
        <v>5099573</v>
      </c>
      <c r="F201" s="4">
        <f t="shared" si="230"/>
        <v>12066</v>
      </c>
      <c r="G201" s="12">
        <f t="shared" si="230"/>
        <v>4094085</v>
      </c>
      <c r="H201" s="4">
        <f t="shared" si="230"/>
        <v>5731</v>
      </c>
      <c r="I201" s="12">
        <f t="shared" si="230"/>
        <v>2300902</v>
      </c>
      <c r="J201" s="4">
        <f t="shared" si="230"/>
        <v>600305</v>
      </c>
      <c r="K201" s="12">
        <f t="shared" si="230"/>
        <v>234814017</v>
      </c>
      <c r="L201" s="4">
        <f t="shared" si="230"/>
        <v>30259</v>
      </c>
      <c r="M201" s="12">
        <f t="shared" si="230"/>
        <v>11898542</v>
      </c>
      <c r="N201" s="4">
        <f t="shared" si="230"/>
        <v>22851</v>
      </c>
      <c r="O201" s="12">
        <f t="shared" si="230"/>
        <v>8507728</v>
      </c>
      <c r="P201" s="4">
        <f>SUM(P188:P200)</f>
        <v>115</v>
      </c>
      <c r="Q201" s="12">
        <f>SUM(Q188:Q200)</f>
        <v>54471</v>
      </c>
      <c r="R201" s="4">
        <f>SUM(R188:R200)</f>
        <v>2519</v>
      </c>
      <c r="S201" s="12">
        <f>SUM(S188:S200)</f>
        <v>546209</v>
      </c>
      <c r="T201" s="4">
        <f t="shared" ref="T201:U201" si="231">SUM(T188:T200)</f>
        <v>688114</v>
      </c>
      <c r="U201" s="12">
        <f t="shared" si="231"/>
        <v>267315527</v>
      </c>
      <c r="V201" s="2" t="s">
        <v>124</v>
      </c>
      <c r="Y201" s="3" t="s">
        <v>12</v>
      </c>
      <c r="Z201" s="3"/>
      <c r="AA201" s="4">
        <f t="shared" ref="AA201:AN201" si="232">SUM(AA188:AA200)</f>
        <v>32065</v>
      </c>
      <c r="AB201" s="12">
        <f t="shared" si="232"/>
        <v>11494560</v>
      </c>
      <c r="AC201" s="4">
        <f t="shared" si="232"/>
        <v>600305</v>
      </c>
      <c r="AD201" s="12">
        <f t="shared" si="232"/>
        <v>234814017</v>
      </c>
      <c r="AE201" s="4">
        <f t="shared" si="232"/>
        <v>30259</v>
      </c>
      <c r="AF201" s="12">
        <f t="shared" si="232"/>
        <v>11898542</v>
      </c>
      <c r="AG201" s="4">
        <f t="shared" si="232"/>
        <v>22851</v>
      </c>
      <c r="AH201" s="12">
        <f t="shared" si="232"/>
        <v>8507728</v>
      </c>
      <c r="AI201" s="4">
        <f t="shared" si="232"/>
        <v>115</v>
      </c>
      <c r="AJ201" s="12">
        <f t="shared" si="232"/>
        <v>54471</v>
      </c>
      <c r="AK201" s="4">
        <f t="shared" si="232"/>
        <v>2519</v>
      </c>
      <c r="AL201" s="12">
        <f t="shared" si="232"/>
        <v>546209</v>
      </c>
      <c r="AM201" s="4">
        <f t="shared" si="232"/>
        <v>688114</v>
      </c>
      <c r="AN201" s="12">
        <f t="shared" si="232"/>
        <v>267315527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1861.5</v>
      </c>
      <c r="M202" s="60">
        <f>AVERAGE(M188:M189)</f>
        <v>807412</v>
      </c>
      <c r="T202" s="15">
        <f>AVERAGE(T188:T189)</f>
        <v>53329.5</v>
      </c>
      <c r="U202" s="28">
        <f t="shared" ref="U202" si="233">AVERAGE(U188:U189)</f>
        <v>21686994.5</v>
      </c>
    </row>
    <row r="203" spans="1:43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1.4448208817947911E-2</v>
      </c>
      <c r="M203" s="36">
        <f>+M202/$M$371</f>
        <v>3.9627646236044443E-2</v>
      </c>
      <c r="N203" s="18"/>
      <c r="O203" s="19"/>
      <c r="P203" s="19"/>
      <c r="Q203" s="19"/>
      <c r="R203" s="19"/>
      <c r="S203" s="19"/>
      <c r="T203" s="36">
        <f>+L202/T202</f>
        <v>3.4905633842432428E-2</v>
      </c>
      <c r="U203" s="62">
        <f>+M202/U202</f>
        <v>3.7230239533652301E-2</v>
      </c>
    </row>
    <row r="204" spans="1:43" x14ac:dyDescent="0.25">
      <c r="A204" s="67" t="s">
        <v>50</v>
      </c>
      <c r="L204" s="26"/>
      <c r="M204" s="26"/>
    </row>
    <row r="205" spans="1:43" x14ac:dyDescent="0.25">
      <c r="B205" s="5"/>
    </row>
    <row r="206" spans="1:43" x14ac:dyDescent="0.25">
      <c r="D206" s="89" t="s">
        <v>15</v>
      </c>
      <c r="E206" s="90"/>
      <c r="F206" s="89" t="s">
        <v>71</v>
      </c>
      <c r="G206" s="90"/>
      <c r="H206" s="89" t="s">
        <v>16</v>
      </c>
      <c r="I206" s="90"/>
      <c r="J206" s="89" t="s">
        <v>17</v>
      </c>
      <c r="K206" s="93"/>
      <c r="L206" s="89" t="s">
        <v>18</v>
      </c>
      <c r="M206" s="93"/>
      <c r="N206" s="89" t="s">
        <v>13</v>
      </c>
      <c r="O206" s="93"/>
      <c r="P206" s="89" t="s">
        <v>34</v>
      </c>
      <c r="Q206" s="93"/>
      <c r="R206" s="89" t="s">
        <v>87</v>
      </c>
      <c r="S206" s="93"/>
      <c r="T206" s="89" t="s">
        <v>12</v>
      </c>
      <c r="U206" s="93"/>
      <c r="AA206" s="89" t="s">
        <v>69</v>
      </c>
      <c r="AB206" s="90"/>
      <c r="AC206" s="89" t="s">
        <v>17</v>
      </c>
      <c r="AD206" s="93"/>
      <c r="AE206" s="89" t="s">
        <v>18</v>
      </c>
      <c r="AF206" s="93"/>
      <c r="AG206" s="89" t="s">
        <v>13</v>
      </c>
      <c r="AH206" s="93"/>
      <c r="AI206" s="89" t="s">
        <v>34</v>
      </c>
      <c r="AJ206" s="93"/>
      <c r="AK206" s="89" t="s">
        <v>87</v>
      </c>
      <c r="AL206" s="93"/>
      <c r="AM206" s="89" t="s">
        <v>12</v>
      </c>
      <c r="AN206" s="93"/>
    </row>
    <row r="207" spans="1:43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x14ac:dyDescent="0.25">
      <c r="B209" s="2" t="s">
        <v>5</v>
      </c>
      <c r="C209" s="2">
        <v>2024</v>
      </c>
      <c r="D209" s="1">
        <v>11541</v>
      </c>
      <c r="E209" s="11">
        <v>565789</v>
      </c>
      <c r="F209" s="1">
        <v>5762</v>
      </c>
      <c r="G209" s="11">
        <v>352792</v>
      </c>
      <c r="H209" s="1">
        <v>5601</v>
      </c>
      <c r="I209" s="11">
        <v>274381</v>
      </c>
      <c r="J209" s="1">
        <v>187569</v>
      </c>
      <c r="K209" s="11">
        <v>11246868</v>
      </c>
      <c r="L209" s="1">
        <v>5654</v>
      </c>
      <c r="M209" s="11">
        <v>377127</v>
      </c>
      <c r="N209" s="1">
        <v>11222</v>
      </c>
      <c r="O209" s="11">
        <v>797850</v>
      </c>
      <c r="P209" s="8">
        <v>520</v>
      </c>
      <c r="Q209" s="11">
        <v>44089</v>
      </c>
      <c r="R209" s="8">
        <v>483</v>
      </c>
      <c r="S209" s="11">
        <v>30555</v>
      </c>
      <c r="T209" s="53">
        <f>N209+L209+J209+H209+D209+P209+F209+R209</f>
        <v>228352</v>
      </c>
      <c r="U209" s="54">
        <f t="shared" ref="U209:U220" si="234">O209+M209+K209+I209+E209+Q209+G209+S209</f>
        <v>13689451</v>
      </c>
      <c r="V209" s="2" t="s">
        <v>64</v>
      </c>
      <c r="Y209" s="2" t="s">
        <v>5</v>
      </c>
      <c r="Z209" s="2">
        <v>2024</v>
      </c>
      <c r="AA209" s="1">
        <f t="shared" ref="AA209:AA220" si="235">D209+H209+F209</f>
        <v>22904</v>
      </c>
      <c r="AB209" s="11">
        <f t="shared" ref="AB209:AB220" si="236">E209+I209+G209</f>
        <v>1192962</v>
      </c>
      <c r="AC209" s="1">
        <f t="shared" ref="AC209:AC220" si="237">+J209</f>
        <v>187569</v>
      </c>
      <c r="AD209" s="11">
        <f t="shared" ref="AD209:AD220" si="238">+K209</f>
        <v>11246868</v>
      </c>
      <c r="AE209" s="8">
        <f t="shared" ref="AE209:AE220" si="239">+L209</f>
        <v>5654</v>
      </c>
      <c r="AF209" s="11">
        <f t="shared" ref="AF209:AF220" si="240">+M209</f>
        <v>377127</v>
      </c>
      <c r="AG209" s="8">
        <f t="shared" ref="AG209:AG220" si="241">+N209</f>
        <v>11222</v>
      </c>
      <c r="AH209" s="11">
        <f t="shared" ref="AH209:AH220" si="242">+O209</f>
        <v>797850</v>
      </c>
      <c r="AI209" s="8">
        <f t="shared" ref="AI209:AI220" si="243">+P209</f>
        <v>520</v>
      </c>
      <c r="AJ209" s="11">
        <f t="shared" ref="AJ209:AJ220" si="244">+Q209</f>
        <v>44089</v>
      </c>
      <c r="AK209" s="11">
        <f t="shared" ref="AK209:AK220" si="245">+R209</f>
        <v>483</v>
      </c>
      <c r="AL209" s="11">
        <f t="shared" ref="AL209:AL220" si="246">+S209</f>
        <v>30555</v>
      </c>
      <c r="AM209" s="8">
        <f>AI209+AG209+AE209+AC209+AA209+AK209</f>
        <v>228352</v>
      </c>
      <c r="AN209" s="11">
        <f t="shared" ref="AN209:AN220" si="247">AJ209+AH209+AF209+AD209+AB209+AL209</f>
        <v>13689451</v>
      </c>
      <c r="AO209" s="2" t="str">
        <f t="shared" ref="AO209:AO220" si="248">+V209</f>
        <v>COBI</v>
      </c>
      <c r="AP209" s="37">
        <f t="shared" ref="AP209:AP220" si="249">+AM209-T209</f>
        <v>0</v>
      </c>
      <c r="AQ209" s="37">
        <f t="shared" ref="AQ209:AQ220" si="250">+AN209-U209</f>
        <v>0</v>
      </c>
    </row>
    <row r="210" spans="1:43" x14ac:dyDescent="0.25">
      <c r="B210" s="2" t="s">
        <v>6</v>
      </c>
      <c r="C210" s="2">
        <v>2024</v>
      </c>
      <c r="D210" s="1">
        <v>11586</v>
      </c>
      <c r="E210" s="11">
        <v>608354</v>
      </c>
      <c r="F210" s="1">
        <v>5989</v>
      </c>
      <c r="G210" s="11">
        <v>366790</v>
      </c>
      <c r="H210" s="1">
        <v>6295</v>
      </c>
      <c r="I210" s="11">
        <v>319735</v>
      </c>
      <c r="J210" s="1">
        <v>196265</v>
      </c>
      <c r="K210" s="11">
        <v>11684344</v>
      </c>
      <c r="L210" s="1">
        <v>6595</v>
      </c>
      <c r="M210" s="11">
        <v>448246</v>
      </c>
      <c r="N210" s="1">
        <v>10896</v>
      </c>
      <c r="O210" s="11">
        <v>772017</v>
      </c>
      <c r="P210" s="8">
        <v>2368</v>
      </c>
      <c r="Q210" s="11">
        <v>202988</v>
      </c>
      <c r="R210" s="8">
        <v>533</v>
      </c>
      <c r="S210" s="11">
        <v>36997</v>
      </c>
      <c r="T210" s="53">
        <f t="shared" ref="T210:T220" si="251">N210+L210+J210+H210+D210+P210+F210+R210</f>
        <v>240527</v>
      </c>
      <c r="U210" s="54">
        <f t="shared" si="234"/>
        <v>14439471</v>
      </c>
      <c r="V210" s="2" t="s">
        <v>64</v>
      </c>
      <c r="Y210" s="2" t="s">
        <v>6</v>
      </c>
      <c r="Z210" s="2">
        <v>2024</v>
      </c>
      <c r="AA210" s="1">
        <f t="shared" si="235"/>
        <v>23870</v>
      </c>
      <c r="AB210" s="11">
        <f t="shared" si="236"/>
        <v>1294879</v>
      </c>
      <c r="AC210" s="1">
        <f t="shared" si="237"/>
        <v>196265</v>
      </c>
      <c r="AD210" s="11">
        <f t="shared" si="238"/>
        <v>11684344</v>
      </c>
      <c r="AE210" s="8">
        <f t="shared" si="239"/>
        <v>6595</v>
      </c>
      <c r="AF210" s="11">
        <f t="shared" si="240"/>
        <v>448246</v>
      </c>
      <c r="AG210" s="8">
        <f t="shared" si="241"/>
        <v>10896</v>
      </c>
      <c r="AH210" s="11">
        <f t="shared" si="242"/>
        <v>772017</v>
      </c>
      <c r="AI210" s="8">
        <f t="shared" si="243"/>
        <v>2368</v>
      </c>
      <c r="AJ210" s="11">
        <f t="shared" si="244"/>
        <v>202988</v>
      </c>
      <c r="AK210" s="11">
        <f t="shared" si="245"/>
        <v>533</v>
      </c>
      <c r="AL210" s="11">
        <f t="shared" si="246"/>
        <v>36997</v>
      </c>
      <c r="AM210" s="8">
        <f t="shared" ref="AM210:AM220" si="252">AI210+AG210+AE210+AC210+AA210+AK210</f>
        <v>240527</v>
      </c>
      <c r="AN210" s="11">
        <f t="shared" si="247"/>
        <v>14439471</v>
      </c>
      <c r="AO210" s="2" t="str">
        <f t="shared" si="248"/>
        <v>COBI</v>
      </c>
      <c r="AP210" s="37">
        <f t="shared" si="249"/>
        <v>0</v>
      </c>
      <c r="AQ210" s="37">
        <f t="shared" si="250"/>
        <v>0</v>
      </c>
    </row>
    <row r="211" spans="1:43" x14ac:dyDescent="0.25">
      <c r="B211" s="2" t="s">
        <v>7</v>
      </c>
      <c r="C211" s="2">
        <v>2024</v>
      </c>
      <c r="D211" s="1">
        <v>12203</v>
      </c>
      <c r="E211" s="11">
        <v>592772</v>
      </c>
      <c r="F211" s="1">
        <v>6255</v>
      </c>
      <c r="G211" s="11">
        <v>377990</v>
      </c>
      <c r="H211" s="1">
        <v>7375</v>
      </c>
      <c r="I211" s="11">
        <v>354437</v>
      </c>
      <c r="J211" s="1">
        <v>209816</v>
      </c>
      <c r="K211" s="11">
        <v>12136460</v>
      </c>
      <c r="L211" s="1">
        <v>6647</v>
      </c>
      <c r="M211" s="11">
        <v>456091</v>
      </c>
      <c r="N211" s="1">
        <v>11561</v>
      </c>
      <c r="O211" s="11">
        <v>808315</v>
      </c>
      <c r="P211" s="8">
        <v>1151</v>
      </c>
      <c r="Q211" s="11">
        <v>93441</v>
      </c>
      <c r="R211" s="8">
        <v>671</v>
      </c>
      <c r="S211" s="11">
        <v>43787</v>
      </c>
      <c r="T211" s="53">
        <f t="shared" si="251"/>
        <v>255679</v>
      </c>
      <c r="U211" s="54">
        <f t="shared" si="234"/>
        <v>14863293</v>
      </c>
      <c r="V211" s="2" t="s">
        <v>64</v>
      </c>
      <c r="X211" s="13"/>
      <c r="Y211" s="2" t="s">
        <v>7</v>
      </c>
      <c r="Z211" s="2">
        <v>2024</v>
      </c>
      <c r="AA211" s="1">
        <f t="shared" si="235"/>
        <v>25833</v>
      </c>
      <c r="AB211" s="11">
        <f t="shared" si="236"/>
        <v>1325199</v>
      </c>
      <c r="AC211" s="1">
        <f t="shared" si="237"/>
        <v>209816</v>
      </c>
      <c r="AD211" s="11">
        <f t="shared" si="238"/>
        <v>12136460</v>
      </c>
      <c r="AE211" s="8">
        <f t="shared" si="239"/>
        <v>6647</v>
      </c>
      <c r="AF211" s="11">
        <f t="shared" si="240"/>
        <v>456091</v>
      </c>
      <c r="AG211" s="8">
        <f t="shared" si="241"/>
        <v>11561</v>
      </c>
      <c r="AH211" s="11">
        <f t="shared" si="242"/>
        <v>808315</v>
      </c>
      <c r="AI211" s="8">
        <f t="shared" si="243"/>
        <v>1151</v>
      </c>
      <c r="AJ211" s="11">
        <f t="shared" si="244"/>
        <v>93441</v>
      </c>
      <c r="AK211" s="11">
        <f t="shared" si="245"/>
        <v>671</v>
      </c>
      <c r="AL211" s="11">
        <f t="shared" si="246"/>
        <v>43787</v>
      </c>
      <c r="AM211" s="8">
        <f t="shared" si="252"/>
        <v>255679</v>
      </c>
      <c r="AN211" s="11">
        <f t="shared" si="247"/>
        <v>14863293</v>
      </c>
      <c r="AO211" s="2" t="str">
        <f t="shared" si="248"/>
        <v>COBI</v>
      </c>
      <c r="AP211" s="37">
        <f t="shared" si="249"/>
        <v>0</v>
      </c>
      <c r="AQ211" s="37">
        <f t="shared" si="250"/>
        <v>0</v>
      </c>
    </row>
    <row r="212" spans="1:43" x14ac:dyDescent="0.25">
      <c r="B212" s="2" t="s">
        <v>8</v>
      </c>
      <c r="C212" s="2">
        <v>2024</v>
      </c>
      <c r="D212" s="1">
        <v>12627</v>
      </c>
      <c r="E212" s="11">
        <v>618173.45999999985</v>
      </c>
      <c r="F212" s="1">
        <v>7357</v>
      </c>
      <c r="G212" s="11">
        <v>461791.4800000001</v>
      </c>
      <c r="H212" s="1">
        <v>6403</v>
      </c>
      <c r="I212" s="11">
        <v>330166.21999999997</v>
      </c>
      <c r="J212" s="1">
        <v>215556</v>
      </c>
      <c r="K212" s="11">
        <v>12824991</v>
      </c>
      <c r="L212" s="1">
        <v>6756</v>
      </c>
      <c r="M212" s="11">
        <v>459656</v>
      </c>
      <c r="N212" s="1">
        <v>11917</v>
      </c>
      <c r="O212" s="11">
        <v>832107</v>
      </c>
      <c r="P212" s="8">
        <v>406</v>
      </c>
      <c r="Q212" s="11">
        <v>30294</v>
      </c>
      <c r="R212" s="8">
        <v>748</v>
      </c>
      <c r="S212" s="11">
        <v>49625</v>
      </c>
      <c r="T212" s="53">
        <f t="shared" si="251"/>
        <v>261770</v>
      </c>
      <c r="U212" s="54">
        <f t="shared" si="234"/>
        <v>15606804.16</v>
      </c>
      <c r="V212" s="2" t="s">
        <v>64</v>
      </c>
      <c r="X212" s="13"/>
      <c r="Y212" s="2" t="s">
        <v>8</v>
      </c>
      <c r="Z212" s="2">
        <v>2024</v>
      </c>
      <c r="AA212" s="1">
        <f t="shared" si="235"/>
        <v>26387</v>
      </c>
      <c r="AB212" s="11">
        <f t="shared" si="236"/>
        <v>1410131.16</v>
      </c>
      <c r="AC212" s="1">
        <f t="shared" si="237"/>
        <v>215556</v>
      </c>
      <c r="AD212" s="11">
        <f t="shared" si="238"/>
        <v>12824991</v>
      </c>
      <c r="AE212" s="8">
        <f t="shared" si="239"/>
        <v>6756</v>
      </c>
      <c r="AF212" s="11">
        <f t="shared" si="240"/>
        <v>459656</v>
      </c>
      <c r="AG212" s="8">
        <f t="shared" si="241"/>
        <v>11917</v>
      </c>
      <c r="AH212" s="11">
        <f t="shared" si="242"/>
        <v>832107</v>
      </c>
      <c r="AI212" s="8">
        <f t="shared" si="243"/>
        <v>406</v>
      </c>
      <c r="AJ212" s="11">
        <f t="shared" si="244"/>
        <v>30294</v>
      </c>
      <c r="AK212" s="11">
        <f t="shared" si="245"/>
        <v>748</v>
      </c>
      <c r="AL212" s="11">
        <f t="shared" si="246"/>
        <v>49625</v>
      </c>
      <c r="AM212" s="8">
        <f t="shared" si="252"/>
        <v>261770</v>
      </c>
      <c r="AN212" s="11">
        <f t="shared" si="247"/>
        <v>15606804.16</v>
      </c>
      <c r="AO212" s="2" t="str">
        <f t="shared" si="248"/>
        <v>COBI</v>
      </c>
      <c r="AP212" s="37">
        <f t="shared" si="249"/>
        <v>0</v>
      </c>
      <c r="AQ212" s="37">
        <f t="shared" si="250"/>
        <v>0</v>
      </c>
    </row>
    <row r="213" spans="1:43" x14ac:dyDescent="0.25">
      <c r="B213" s="2" t="s">
        <v>9</v>
      </c>
      <c r="C213" s="2">
        <v>2024</v>
      </c>
      <c r="D213" s="1">
        <v>12407</v>
      </c>
      <c r="E213" s="11">
        <v>617467.74999999988</v>
      </c>
      <c r="F213" s="1">
        <v>8120</v>
      </c>
      <c r="G213" s="11">
        <v>511597.78999999992</v>
      </c>
      <c r="H213" s="1">
        <v>5064</v>
      </c>
      <c r="I213" s="11">
        <v>269208.5</v>
      </c>
      <c r="J213" s="1">
        <v>204166</v>
      </c>
      <c r="K213" s="11">
        <v>12220645</v>
      </c>
      <c r="L213" s="1">
        <v>6621</v>
      </c>
      <c r="M213" s="11">
        <v>453359</v>
      </c>
      <c r="N213" s="1">
        <v>11958</v>
      </c>
      <c r="O213" s="11">
        <v>846607</v>
      </c>
      <c r="P213" s="8">
        <v>302</v>
      </c>
      <c r="Q213" s="11">
        <v>21513</v>
      </c>
      <c r="R213" s="8">
        <v>844</v>
      </c>
      <c r="S213" s="11">
        <v>50398</v>
      </c>
      <c r="T213" s="53">
        <f t="shared" si="251"/>
        <v>249482</v>
      </c>
      <c r="U213" s="54">
        <f t="shared" si="234"/>
        <v>14990796.039999999</v>
      </c>
      <c r="V213" s="2" t="s">
        <v>64</v>
      </c>
      <c r="X213" s="13"/>
      <c r="Y213" s="2" t="s">
        <v>9</v>
      </c>
      <c r="Z213" s="2">
        <v>2024</v>
      </c>
      <c r="AA213" s="1">
        <f t="shared" si="235"/>
        <v>25591</v>
      </c>
      <c r="AB213" s="11">
        <f t="shared" si="236"/>
        <v>1398274.0399999998</v>
      </c>
      <c r="AC213" s="1">
        <f t="shared" si="237"/>
        <v>204166</v>
      </c>
      <c r="AD213" s="11">
        <f t="shared" si="238"/>
        <v>12220645</v>
      </c>
      <c r="AE213" s="8">
        <f t="shared" si="239"/>
        <v>6621</v>
      </c>
      <c r="AF213" s="11">
        <f t="shared" si="240"/>
        <v>453359</v>
      </c>
      <c r="AG213" s="8">
        <f t="shared" si="241"/>
        <v>11958</v>
      </c>
      <c r="AH213" s="11">
        <f t="shared" si="242"/>
        <v>846607</v>
      </c>
      <c r="AI213" s="8">
        <f t="shared" si="243"/>
        <v>302</v>
      </c>
      <c r="AJ213" s="11">
        <f t="shared" si="244"/>
        <v>21513</v>
      </c>
      <c r="AK213" s="11">
        <f t="shared" si="245"/>
        <v>844</v>
      </c>
      <c r="AL213" s="11">
        <f t="shared" si="246"/>
        <v>50398</v>
      </c>
      <c r="AM213" s="8">
        <f t="shared" si="252"/>
        <v>249482</v>
      </c>
      <c r="AN213" s="11">
        <f t="shared" si="247"/>
        <v>14990796.039999999</v>
      </c>
      <c r="AO213" s="2" t="str">
        <f t="shared" si="248"/>
        <v>COBI</v>
      </c>
      <c r="AP213" s="37">
        <f t="shared" si="249"/>
        <v>0</v>
      </c>
      <c r="AQ213" s="37">
        <f t="shared" si="250"/>
        <v>0</v>
      </c>
    </row>
    <row r="214" spans="1:43" x14ac:dyDescent="0.25">
      <c r="B214" s="2" t="s">
        <v>10</v>
      </c>
      <c r="C214" s="2">
        <v>2024</v>
      </c>
      <c r="D214" s="1">
        <v>12591</v>
      </c>
      <c r="E214" s="11">
        <v>639185.87</v>
      </c>
      <c r="F214" s="1">
        <v>7908</v>
      </c>
      <c r="G214" s="11">
        <v>496753.1</v>
      </c>
      <c r="H214" s="1">
        <v>5218</v>
      </c>
      <c r="I214" s="11">
        <v>273237.67</v>
      </c>
      <c r="J214" s="1">
        <v>202004</v>
      </c>
      <c r="K214" s="11">
        <v>11946853</v>
      </c>
      <c r="L214" s="1">
        <v>6290</v>
      </c>
      <c r="M214" s="11">
        <v>430621</v>
      </c>
      <c r="N214" s="1">
        <v>12201</v>
      </c>
      <c r="O214" s="11">
        <v>858252</v>
      </c>
      <c r="P214" s="8">
        <v>221</v>
      </c>
      <c r="Q214" s="11">
        <v>15973</v>
      </c>
      <c r="R214" s="8">
        <v>866</v>
      </c>
      <c r="S214" s="11">
        <v>49324</v>
      </c>
      <c r="T214" s="53">
        <f t="shared" si="251"/>
        <v>247299</v>
      </c>
      <c r="U214" s="54">
        <f t="shared" si="234"/>
        <v>14710199.639999999</v>
      </c>
      <c r="V214" s="2" t="s">
        <v>64</v>
      </c>
      <c r="Y214" s="2" t="s">
        <v>10</v>
      </c>
      <c r="Z214" s="2">
        <v>2024</v>
      </c>
      <c r="AA214" s="1">
        <f t="shared" si="235"/>
        <v>25717</v>
      </c>
      <c r="AB214" s="11">
        <f t="shared" si="236"/>
        <v>1409176.6400000001</v>
      </c>
      <c r="AC214" s="1">
        <f t="shared" si="237"/>
        <v>202004</v>
      </c>
      <c r="AD214" s="11">
        <f t="shared" si="238"/>
        <v>11946853</v>
      </c>
      <c r="AE214" s="8">
        <f t="shared" si="239"/>
        <v>6290</v>
      </c>
      <c r="AF214" s="11">
        <f t="shared" si="240"/>
        <v>430621</v>
      </c>
      <c r="AG214" s="8">
        <f t="shared" si="241"/>
        <v>12201</v>
      </c>
      <c r="AH214" s="11">
        <f t="shared" si="242"/>
        <v>858252</v>
      </c>
      <c r="AI214" s="8">
        <f t="shared" si="243"/>
        <v>221</v>
      </c>
      <c r="AJ214" s="11">
        <f t="shared" si="244"/>
        <v>15973</v>
      </c>
      <c r="AK214" s="11">
        <f t="shared" si="245"/>
        <v>866</v>
      </c>
      <c r="AL214" s="11">
        <f t="shared" si="246"/>
        <v>49324</v>
      </c>
      <c r="AM214" s="8">
        <f t="shared" si="252"/>
        <v>247299</v>
      </c>
      <c r="AN214" s="11">
        <f t="shared" si="247"/>
        <v>14710199.640000001</v>
      </c>
      <c r="AO214" s="2" t="str">
        <f t="shared" si="248"/>
        <v>COBI</v>
      </c>
      <c r="AP214" s="37">
        <f t="shared" si="249"/>
        <v>0</v>
      </c>
      <c r="AQ214" s="37">
        <f t="shared" si="250"/>
        <v>0</v>
      </c>
    </row>
    <row r="215" spans="1:43" x14ac:dyDescent="0.25">
      <c r="B215" s="2" t="s">
        <v>11</v>
      </c>
      <c r="C215" s="2">
        <v>2024</v>
      </c>
      <c r="D215" s="1">
        <v>13442</v>
      </c>
      <c r="E215" s="11">
        <v>693461.5</v>
      </c>
      <c r="F215" s="1">
        <v>8284</v>
      </c>
      <c r="G215" s="11">
        <v>510658.94999999995</v>
      </c>
      <c r="H215" s="1">
        <v>6274</v>
      </c>
      <c r="I215" s="11">
        <v>334442.80999999994</v>
      </c>
      <c r="J215" s="1">
        <v>225248</v>
      </c>
      <c r="K215" s="11">
        <v>13295216</v>
      </c>
      <c r="L215" s="1">
        <v>7462</v>
      </c>
      <c r="M215" s="11">
        <v>493933</v>
      </c>
      <c r="N215" s="1">
        <v>12400</v>
      </c>
      <c r="O215" s="11">
        <v>862148</v>
      </c>
      <c r="P215" s="8">
        <v>270</v>
      </c>
      <c r="Q215" s="11">
        <v>18769</v>
      </c>
      <c r="R215" s="8">
        <v>981</v>
      </c>
      <c r="S215" s="11">
        <v>59061</v>
      </c>
      <c r="T215" s="53">
        <f t="shared" si="251"/>
        <v>274361</v>
      </c>
      <c r="U215" s="54">
        <f t="shared" si="234"/>
        <v>16267690.26</v>
      </c>
      <c r="V215" s="2" t="s">
        <v>64</v>
      </c>
      <c r="X215" s="49"/>
      <c r="Y215" s="2" t="s">
        <v>11</v>
      </c>
      <c r="Z215" s="2">
        <v>2024</v>
      </c>
      <c r="AA215" s="1">
        <f t="shared" si="235"/>
        <v>28000</v>
      </c>
      <c r="AB215" s="11">
        <f t="shared" si="236"/>
        <v>1538563.2599999998</v>
      </c>
      <c r="AC215" s="1">
        <f t="shared" si="237"/>
        <v>225248</v>
      </c>
      <c r="AD215" s="11">
        <f t="shared" si="238"/>
        <v>13295216</v>
      </c>
      <c r="AE215" s="8">
        <f t="shared" si="239"/>
        <v>7462</v>
      </c>
      <c r="AF215" s="11">
        <f t="shared" si="240"/>
        <v>493933</v>
      </c>
      <c r="AG215" s="8">
        <f t="shared" si="241"/>
        <v>12400</v>
      </c>
      <c r="AH215" s="11">
        <f t="shared" si="242"/>
        <v>862148</v>
      </c>
      <c r="AI215" s="8">
        <f t="shared" si="243"/>
        <v>270</v>
      </c>
      <c r="AJ215" s="11">
        <f t="shared" si="244"/>
        <v>18769</v>
      </c>
      <c r="AK215" s="11">
        <f t="shared" si="245"/>
        <v>981</v>
      </c>
      <c r="AL215" s="11">
        <f t="shared" si="246"/>
        <v>59061</v>
      </c>
      <c r="AM215" s="8">
        <f t="shared" si="252"/>
        <v>274361</v>
      </c>
      <c r="AN215" s="11">
        <f t="shared" si="247"/>
        <v>16267690.26</v>
      </c>
      <c r="AO215" s="2" t="str">
        <f t="shared" si="248"/>
        <v>COBI</v>
      </c>
      <c r="AP215" s="37">
        <f t="shared" si="249"/>
        <v>0</v>
      </c>
      <c r="AQ215" s="37">
        <f t="shared" si="250"/>
        <v>0</v>
      </c>
    </row>
    <row r="216" spans="1:43" x14ac:dyDescent="0.25">
      <c r="B216" s="2" t="s">
        <v>4</v>
      </c>
      <c r="C216" s="2">
        <v>2024</v>
      </c>
      <c r="D216" s="1">
        <v>16126</v>
      </c>
      <c r="E216" s="11">
        <v>821142.58999999985</v>
      </c>
      <c r="F216" s="1">
        <v>10065</v>
      </c>
      <c r="G216" s="11">
        <v>620925.18999999994</v>
      </c>
      <c r="H216" s="1">
        <v>6522</v>
      </c>
      <c r="I216" s="11">
        <v>342321.76999999996</v>
      </c>
      <c r="J216" s="1">
        <v>231609</v>
      </c>
      <c r="K216" s="11">
        <v>13519713.180000002</v>
      </c>
      <c r="L216" s="1">
        <v>7282</v>
      </c>
      <c r="M216" s="11">
        <v>485962.95999999996</v>
      </c>
      <c r="N216" s="1">
        <v>10467</v>
      </c>
      <c r="O216" s="11">
        <v>721503.76</v>
      </c>
      <c r="P216" s="8">
        <v>349</v>
      </c>
      <c r="Q216" s="11">
        <v>24677</v>
      </c>
      <c r="R216" s="8">
        <v>1120</v>
      </c>
      <c r="S216" s="11">
        <v>65661.73</v>
      </c>
      <c r="T216" s="53">
        <f t="shared" si="251"/>
        <v>283540</v>
      </c>
      <c r="U216" s="54">
        <f t="shared" si="234"/>
        <v>16601908.180000002</v>
      </c>
      <c r="V216" s="2" t="s">
        <v>64</v>
      </c>
      <c r="Y216" s="2" t="s">
        <v>4</v>
      </c>
      <c r="Z216" s="2">
        <v>2024</v>
      </c>
      <c r="AA216" s="1">
        <f t="shared" si="235"/>
        <v>32713</v>
      </c>
      <c r="AB216" s="11">
        <f t="shared" si="236"/>
        <v>1784389.5499999998</v>
      </c>
      <c r="AC216" s="1">
        <f t="shared" si="237"/>
        <v>231609</v>
      </c>
      <c r="AD216" s="11">
        <f t="shared" si="238"/>
        <v>13519713.180000002</v>
      </c>
      <c r="AE216" s="8">
        <f t="shared" si="239"/>
        <v>7282</v>
      </c>
      <c r="AF216" s="11">
        <f t="shared" si="240"/>
        <v>485962.95999999996</v>
      </c>
      <c r="AG216" s="8">
        <f t="shared" si="241"/>
        <v>10467</v>
      </c>
      <c r="AH216" s="11">
        <f t="shared" si="242"/>
        <v>721503.76</v>
      </c>
      <c r="AI216" s="8">
        <f t="shared" si="243"/>
        <v>349</v>
      </c>
      <c r="AJ216" s="11">
        <f t="shared" si="244"/>
        <v>24677</v>
      </c>
      <c r="AK216" s="11">
        <f t="shared" si="245"/>
        <v>1120</v>
      </c>
      <c r="AL216" s="11">
        <f t="shared" si="246"/>
        <v>65661.73</v>
      </c>
      <c r="AM216" s="8">
        <f t="shared" si="252"/>
        <v>283540</v>
      </c>
      <c r="AN216" s="11">
        <f t="shared" si="247"/>
        <v>16601908.180000003</v>
      </c>
      <c r="AO216" s="2" t="str">
        <f t="shared" si="248"/>
        <v>COBI</v>
      </c>
      <c r="AP216" s="37">
        <f t="shared" si="249"/>
        <v>0</v>
      </c>
      <c r="AQ216" s="37">
        <f t="shared" si="250"/>
        <v>0</v>
      </c>
    </row>
    <row r="217" spans="1:43" x14ac:dyDescent="0.25">
      <c r="B217" s="2" t="s">
        <v>28</v>
      </c>
      <c r="C217" s="2">
        <v>2024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251"/>
        <v>0</v>
      </c>
      <c r="U217" s="54">
        <f t="shared" si="234"/>
        <v>0</v>
      </c>
      <c r="V217" s="2" t="s">
        <v>64</v>
      </c>
      <c r="Y217" s="2" t="s">
        <v>28</v>
      </c>
      <c r="Z217" s="2">
        <v>2024</v>
      </c>
      <c r="AA217" s="1">
        <f t="shared" si="235"/>
        <v>0</v>
      </c>
      <c r="AB217" s="11">
        <f t="shared" si="236"/>
        <v>0</v>
      </c>
      <c r="AC217" s="1">
        <f t="shared" si="237"/>
        <v>0</v>
      </c>
      <c r="AD217" s="11">
        <f t="shared" si="238"/>
        <v>0</v>
      </c>
      <c r="AE217" s="8">
        <f t="shared" si="239"/>
        <v>0</v>
      </c>
      <c r="AF217" s="11">
        <f t="shared" si="240"/>
        <v>0</v>
      </c>
      <c r="AG217" s="8">
        <f t="shared" si="241"/>
        <v>0</v>
      </c>
      <c r="AH217" s="11">
        <f t="shared" si="242"/>
        <v>0</v>
      </c>
      <c r="AI217" s="8">
        <f t="shared" si="243"/>
        <v>0</v>
      </c>
      <c r="AJ217" s="11">
        <f t="shared" si="244"/>
        <v>0</v>
      </c>
      <c r="AK217" s="11">
        <f t="shared" si="245"/>
        <v>0</v>
      </c>
      <c r="AL217" s="11">
        <f t="shared" si="246"/>
        <v>0</v>
      </c>
      <c r="AM217" s="8">
        <f t="shared" si="252"/>
        <v>0</v>
      </c>
      <c r="AN217" s="11">
        <f t="shared" si="247"/>
        <v>0</v>
      </c>
      <c r="AO217" s="2" t="str">
        <f t="shared" si="248"/>
        <v>COBI</v>
      </c>
      <c r="AP217" s="37">
        <f t="shared" si="249"/>
        <v>0</v>
      </c>
      <c r="AQ217" s="37">
        <f t="shared" si="250"/>
        <v>0</v>
      </c>
    </row>
    <row r="218" spans="1:43" x14ac:dyDescent="0.25">
      <c r="B218" s="2" t="s">
        <v>29</v>
      </c>
      <c r="C218" s="2">
        <v>2024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251"/>
        <v>0</v>
      </c>
      <c r="U218" s="54">
        <f t="shared" si="234"/>
        <v>0</v>
      </c>
      <c r="V218" s="2" t="s">
        <v>64</v>
      </c>
      <c r="Y218" s="2" t="s">
        <v>29</v>
      </c>
      <c r="Z218" s="2">
        <v>2024</v>
      </c>
      <c r="AA218" s="1">
        <f t="shared" si="235"/>
        <v>0</v>
      </c>
      <c r="AB218" s="11">
        <f t="shared" si="236"/>
        <v>0</v>
      </c>
      <c r="AC218" s="1">
        <f t="shared" si="237"/>
        <v>0</v>
      </c>
      <c r="AD218" s="11">
        <f t="shared" si="238"/>
        <v>0</v>
      </c>
      <c r="AE218" s="8">
        <f t="shared" si="239"/>
        <v>0</v>
      </c>
      <c r="AF218" s="11">
        <f t="shared" si="240"/>
        <v>0</v>
      </c>
      <c r="AG218" s="8">
        <f t="shared" si="241"/>
        <v>0</v>
      </c>
      <c r="AH218" s="11">
        <f t="shared" si="242"/>
        <v>0</v>
      </c>
      <c r="AI218" s="8">
        <f t="shared" si="243"/>
        <v>0</v>
      </c>
      <c r="AJ218" s="11">
        <f t="shared" si="244"/>
        <v>0</v>
      </c>
      <c r="AK218" s="11">
        <f t="shared" si="245"/>
        <v>0</v>
      </c>
      <c r="AL218" s="11">
        <f t="shared" si="246"/>
        <v>0</v>
      </c>
      <c r="AM218" s="8">
        <f t="shared" si="252"/>
        <v>0</v>
      </c>
      <c r="AN218" s="11">
        <f t="shared" si="247"/>
        <v>0</v>
      </c>
      <c r="AO218" s="2" t="str">
        <f t="shared" si="248"/>
        <v>COBI</v>
      </c>
      <c r="AP218" s="37">
        <f t="shared" si="249"/>
        <v>0</v>
      </c>
      <c r="AQ218" s="37">
        <f t="shared" si="250"/>
        <v>0</v>
      </c>
    </row>
    <row r="219" spans="1:43" x14ac:dyDescent="0.25">
      <c r="B219" s="2" t="s">
        <v>30</v>
      </c>
      <c r="C219" s="2">
        <v>2024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251"/>
        <v>0</v>
      </c>
      <c r="U219" s="54">
        <f t="shared" si="234"/>
        <v>0</v>
      </c>
      <c r="V219" s="2" t="s">
        <v>64</v>
      </c>
      <c r="Y219" s="2" t="s">
        <v>30</v>
      </c>
      <c r="Z219" s="2">
        <v>2024</v>
      </c>
      <c r="AA219" s="1">
        <f t="shared" si="235"/>
        <v>0</v>
      </c>
      <c r="AB219" s="11">
        <f t="shared" si="236"/>
        <v>0</v>
      </c>
      <c r="AC219" s="1">
        <f t="shared" si="237"/>
        <v>0</v>
      </c>
      <c r="AD219" s="11">
        <f t="shared" si="238"/>
        <v>0</v>
      </c>
      <c r="AE219" s="8">
        <f t="shared" si="239"/>
        <v>0</v>
      </c>
      <c r="AF219" s="11">
        <f t="shared" si="240"/>
        <v>0</v>
      </c>
      <c r="AG219" s="8">
        <f t="shared" si="241"/>
        <v>0</v>
      </c>
      <c r="AH219" s="11">
        <f t="shared" si="242"/>
        <v>0</v>
      </c>
      <c r="AI219" s="8">
        <f t="shared" si="243"/>
        <v>0</v>
      </c>
      <c r="AJ219" s="11">
        <f t="shared" si="244"/>
        <v>0</v>
      </c>
      <c r="AK219" s="11">
        <f t="shared" si="245"/>
        <v>0</v>
      </c>
      <c r="AL219" s="11">
        <f t="shared" si="246"/>
        <v>0</v>
      </c>
      <c r="AM219" s="79">
        <f t="shared" si="252"/>
        <v>0</v>
      </c>
      <c r="AN219" s="80">
        <f t="shared" si="247"/>
        <v>0</v>
      </c>
      <c r="AO219" s="2" t="str">
        <f t="shared" si="248"/>
        <v>COBI</v>
      </c>
      <c r="AP219" s="37">
        <f t="shared" si="249"/>
        <v>0</v>
      </c>
      <c r="AQ219" s="37">
        <f t="shared" si="250"/>
        <v>0</v>
      </c>
    </row>
    <row r="220" spans="1:43" x14ac:dyDescent="0.25">
      <c r="B220" s="2" t="s">
        <v>31</v>
      </c>
      <c r="C220" s="2">
        <v>2024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251"/>
        <v>0</v>
      </c>
      <c r="U220" s="54">
        <f t="shared" si="234"/>
        <v>0</v>
      </c>
      <c r="V220" s="2" t="s">
        <v>64</v>
      </c>
      <c r="W220" s="13"/>
      <c r="Y220" s="2" t="s">
        <v>31</v>
      </c>
      <c r="Z220" s="2">
        <v>2024</v>
      </c>
      <c r="AA220" s="1">
        <f t="shared" si="235"/>
        <v>0</v>
      </c>
      <c r="AB220" s="11">
        <f t="shared" si="236"/>
        <v>0</v>
      </c>
      <c r="AC220" s="1">
        <f t="shared" si="237"/>
        <v>0</v>
      </c>
      <c r="AD220" s="11">
        <f t="shared" si="238"/>
        <v>0</v>
      </c>
      <c r="AE220" s="8">
        <f t="shared" si="239"/>
        <v>0</v>
      </c>
      <c r="AF220" s="11">
        <f t="shared" si="240"/>
        <v>0</v>
      </c>
      <c r="AG220" s="8">
        <f t="shared" si="241"/>
        <v>0</v>
      </c>
      <c r="AH220" s="11">
        <f t="shared" si="242"/>
        <v>0</v>
      </c>
      <c r="AI220" s="8">
        <f t="shared" si="243"/>
        <v>0</v>
      </c>
      <c r="AJ220" s="11">
        <f t="shared" si="244"/>
        <v>0</v>
      </c>
      <c r="AK220" s="11">
        <f t="shared" si="245"/>
        <v>0</v>
      </c>
      <c r="AL220" s="11">
        <f t="shared" si="246"/>
        <v>0</v>
      </c>
      <c r="AM220" s="8">
        <f t="shared" si="252"/>
        <v>0</v>
      </c>
      <c r="AN220" s="11">
        <f t="shared" si="247"/>
        <v>0</v>
      </c>
      <c r="AO220" s="2" t="str">
        <f t="shared" si="248"/>
        <v>COBI</v>
      </c>
      <c r="AP220" s="37">
        <f t="shared" si="249"/>
        <v>0</v>
      </c>
      <c r="AQ220" s="37">
        <f t="shared" si="250"/>
        <v>0</v>
      </c>
    </row>
    <row r="221" spans="1:43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x14ac:dyDescent="0.25">
      <c r="B222" s="3" t="s">
        <v>12</v>
      </c>
      <c r="C222" s="3"/>
      <c r="D222" s="4">
        <f t="shared" ref="D222:O222" si="253">SUM(D209:D221)</f>
        <v>102523</v>
      </c>
      <c r="E222" s="12">
        <f t="shared" si="253"/>
        <v>5156346.17</v>
      </c>
      <c r="F222" s="4">
        <f t="shared" si="253"/>
        <v>59740</v>
      </c>
      <c r="G222" s="12">
        <f t="shared" si="253"/>
        <v>3699298.5100000002</v>
      </c>
      <c r="H222" s="4">
        <f t="shared" si="253"/>
        <v>48752</v>
      </c>
      <c r="I222" s="12">
        <f t="shared" si="253"/>
        <v>2497929.9699999997</v>
      </c>
      <c r="J222" s="4">
        <f t="shared" si="253"/>
        <v>1672233</v>
      </c>
      <c r="K222" s="12">
        <f t="shared" si="253"/>
        <v>98875090.180000007</v>
      </c>
      <c r="L222" s="4">
        <f t="shared" si="253"/>
        <v>53307</v>
      </c>
      <c r="M222" s="12">
        <f t="shared" si="253"/>
        <v>3604995.96</v>
      </c>
      <c r="N222" s="4">
        <f t="shared" si="253"/>
        <v>92622</v>
      </c>
      <c r="O222" s="12">
        <f t="shared" si="253"/>
        <v>6498799.7599999998</v>
      </c>
      <c r="P222" s="4">
        <f>SUM(P209:P221)</f>
        <v>5587</v>
      </c>
      <c r="Q222" s="12">
        <f>SUM(Q209:Q221)</f>
        <v>451744</v>
      </c>
      <c r="R222" s="4">
        <f>SUM(R209:R221)</f>
        <v>6246</v>
      </c>
      <c r="S222" s="12">
        <f>SUM(S209:S221)</f>
        <v>385408.73</v>
      </c>
      <c r="T222" s="4">
        <f t="shared" ref="T222:U222" si="254">SUM(T209:T221)</f>
        <v>2041010</v>
      </c>
      <c r="U222" s="12">
        <f t="shared" si="254"/>
        <v>121169613.28</v>
      </c>
      <c r="V222" s="2" t="s">
        <v>125</v>
      </c>
      <c r="Y222" s="3" t="s">
        <v>12</v>
      </c>
      <c r="Z222" s="3"/>
      <c r="AA222" s="4">
        <f t="shared" ref="AA222:AN222" si="255">SUM(AA209:AA221)</f>
        <v>211015</v>
      </c>
      <c r="AB222" s="12">
        <f t="shared" si="255"/>
        <v>11353574.649999999</v>
      </c>
      <c r="AC222" s="4">
        <f t="shared" si="255"/>
        <v>1672233</v>
      </c>
      <c r="AD222" s="12">
        <f t="shared" si="255"/>
        <v>98875090.180000007</v>
      </c>
      <c r="AE222" s="4">
        <f t="shared" si="255"/>
        <v>53307</v>
      </c>
      <c r="AF222" s="12">
        <f t="shared" si="255"/>
        <v>3604995.96</v>
      </c>
      <c r="AG222" s="4">
        <f t="shared" si="255"/>
        <v>92622</v>
      </c>
      <c r="AH222" s="12">
        <f t="shared" si="255"/>
        <v>6498799.7599999998</v>
      </c>
      <c r="AI222" s="4">
        <f t="shared" si="255"/>
        <v>5587</v>
      </c>
      <c r="AJ222" s="12">
        <f t="shared" si="255"/>
        <v>451744</v>
      </c>
      <c r="AK222" s="4">
        <f t="shared" si="255"/>
        <v>6246</v>
      </c>
      <c r="AL222" s="12">
        <f t="shared" si="255"/>
        <v>385408.73</v>
      </c>
      <c r="AM222" s="4">
        <f t="shared" si="255"/>
        <v>2041010</v>
      </c>
      <c r="AN222" s="12">
        <f t="shared" si="255"/>
        <v>121169613.28</v>
      </c>
    </row>
    <row r="223" spans="1:43" x14ac:dyDescent="0.25">
      <c r="J223" s="46" t="str">
        <f>+$A$204</f>
        <v>Aforo e Ingreso - COBI</v>
      </c>
      <c r="K223" s="9" t="s">
        <v>84</v>
      </c>
      <c r="L223" s="15">
        <f>AVERAGE(L209:L210)</f>
        <v>6124.5</v>
      </c>
      <c r="M223" s="60">
        <f>AVERAGE(M209:M210)</f>
        <v>412686.5</v>
      </c>
      <c r="T223" s="15">
        <f>AVERAGE(T209:T210)</f>
        <v>234439.5</v>
      </c>
      <c r="U223" s="28">
        <f>AVERAGE(U209:U210)</f>
        <v>14064461</v>
      </c>
    </row>
    <row r="224" spans="1:43" x14ac:dyDescent="0.25">
      <c r="A224" s="67" t="s">
        <v>14</v>
      </c>
      <c r="J224" s="46" t="str">
        <f>+$A$204</f>
        <v>Aforo e Ingreso - COBI</v>
      </c>
      <c r="K224" s="9" t="s">
        <v>85</v>
      </c>
      <c r="L224" s="26">
        <f>+L223/$L$371</f>
        <v>4.7535887674199293E-2</v>
      </c>
      <c r="M224" s="36">
        <f>+M223/$M$371</f>
        <v>2.025458455954501E-2</v>
      </c>
      <c r="N224" s="18"/>
      <c r="O224" s="19"/>
      <c r="P224" s="19"/>
      <c r="Q224" s="19"/>
      <c r="R224" s="19"/>
      <c r="S224" s="19"/>
      <c r="T224" s="36">
        <f>+L223/T223</f>
        <v>2.6124010672262995E-2</v>
      </c>
      <c r="U224" s="62">
        <f>+M223/U223</f>
        <v>2.9342503776006772E-2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0"/>
      <c r="F227" s="89" t="s">
        <v>71</v>
      </c>
      <c r="G227" s="90"/>
      <c r="H227" s="89" t="s">
        <v>16</v>
      </c>
      <c r="I227" s="90"/>
      <c r="J227" s="89" t="s">
        <v>17</v>
      </c>
      <c r="K227" s="93"/>
      <c r="L227" s="89" t="s">
        <v>18</v>
      </c>
      <c r="M227" s="93"/>
      <c r="N227" s="89" t="s">
        <v>13</v>
      </c>
      <c r="O227" s="93"/>
      <c r="P227" s="89" t="s">
        <v>34</v>
      </c>
      <c r="Q227" s="93"/>
      <c r="R227" s="89" t="s">
        <v>87</v>
      </c>
      <c r="S227" s="93"/>
      <c r="T227" s="89" t="s">
        <v>12</v>
      </c>
      <c r="U227" s="93"/>
      <c r="AA227" s="89" t="s">
        <v>69</v>
      </c>
      <c r="AB227" s="90"/>
      <c r="AC227" s="89" t="s">
        <v>17</v>
      </c>
      <c r="AD227" s="93"/>
      <c r="AE227" s="89" t="s">
        <v>18</v>
      </c>
      <c r="AF227" s="93"/>
      <c r="AG227" s="89" t="s">
        <v>13</v>
      </c>
      <c r="AH227" s="93"/>
      <c r="AI227" s="89" t="s">
        <v>34</v>
      </c>
      <c r="AJ227" s="93"/>
      <c r="AK227" s="89" t="s">
        <v>87</v>
      </c>
      <c r="AL227" s="93"/>
      <c r="AM227" s="89" t="s">
        <v>12</v>
      </c>
      <c r="AN227" s="93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2024</v>
      </c>
      <c r="D230" s="1">
        <v>35275</v>
      </c>
      <c r="E230" s="11">
        <v>4012544</v>
      </c>
      <c r="F230" s="1">
        <v>9602</v>
      </c>
      <c r="G230" s="11">
        <v>1282646</v>
      </c>
      <c r="H230" s="1">
        <v>34407</v>
      </c>
      <c r="I230" s="11">
        <v>3971640</v>
      </c>
      <c r="J230" s="1">
        <v>336485</v>
      </c>
      <c r="K230" s="11">
        <v>57623659</v>
      </c>
      <c r="L230" s="1">
        <v>13881</v>
      </c>
      <c r="M230" s="11">
        <v>2748558</v>
      </c>
      <c r="N230" s="1">
        <v>21254</v>
      </c>
      <c r="O230" s="11">
        <v>4317487</v>
      </c>
      <c r="P230" s="8">
        <v>1</v>
      </c>
      <c r="Q230" s="11">
        <v>269</v>
      </c>
      <c r="R230" s="8">
        <v>251</v>
      </c>
      <c r="S230" s="11">
        <v>21863</v>
      </c>
      <c r="T230" s="53">
        <f>N230+L230+J230+H230+D230+P230+F230+R230</f>
        <v>451156</v>
      </c>
      <c r="U230" s="54">
        <f t="shared" ref="U230:U241" si="256">O230+M230+K230+I230+E230+Q230+G230+S230</f>
        <v>73978666</v>
      </c>
      <c r="V230" s="2" t="s">
        <v>65</v>
      </c>
      <c r="Y230" s="2" t="s">
        <v>5</v>
      </c>
      <c r="Z230" s="2">
        <v>2024</v>
      </c>
      <c r="AA230" s="1">
        <f t="shared" ref="AA230:AA241" si="257">D230+H230+F230</f>
        <v>79284</v>
      </c>
      <c r="AB230" s="11">
        <f t="shared" ref="AB230:AB241" si="258">E230+I230+G230</f>
        <v>9266830</v>
      </c>
      <c r="AC230" s="1">
        <f t="shared" ref="AC230:AC241" si="259">+J230</f>
        <v>336485</v>
      </c>
      <c r="AD230" s="11">
        <f t="shared" ref="AD230:AD241" si="260">+K230</f>
        <v>57623659</v>
      </c>
      <c r="AE230" s="8">
        <f t="shared" ref="AE230:AE241" si="261">+L230</f>
        <v>13881</v>
      </c>
      <c r="AF230" s="11">
        <f t="shared" ref="AF230:AF241" si="262">+M230</f>
        <v>2748558</v>
      </c>
      <c r="AG230" s="8">
        <f t="shared" ref="AG230:AG241" si="263">+N230</f>
        <v>21254</v>
      </c>
      <c r="AH230" s="11">
        <f t="shared" ref="AH230:AH241" si="264">+O230</f>
        <v>4317487</v>
      </c>
      <c r="AI230" s="8">
        <f t="shared" ref="AI230:AI241" si="265">+P230</f>
        <v>1</v>
      </c>
      <c r="AJ230" s="11">
        <f t="shared" ref="AJ230:AJ241" si="266">+Q230</f>
        <v>269</v>
      </c>
      <c r="AK230" s="11">
        <f t="shared" ref="AK230:AK241" si="267">+R230</f>
        <v>251</v>
      </c>
      <c r="AL230" s="11">
        <f t="shared" ref="AL230:AL241" si="268">+S230</f>
        <v>21863</v>
      </c>
      <c r="AM230" s="8">
        <f>AI230+AG230+AE230+AC230+AA230+AK230</f>
        <v>451156</v>
      </c>
      <c r="AN230" s="11">
        <f t="shared" ref="AN230:AN241" si="269">AJ230+AH230+AF230+AD230+AB230+AL230</f>
        <v>73978666</v>
      </c>
      <c r="AO230" s="2" t="str">
        <f t="shared" ref="AO230:AO241" si="270">+V230</f>
        <v>ACCSA</v>
      </c>
      <c r="AP230" s="37">
        <f t="shared" ref="AP230:AP241" si="271">+AM230-T230</f>
        <v>0</v>
      </c>
      <c r="AQ230" s="37">
        <f t="shared" ref="AQ230:AQ241" si="272">+AN230-U230</f>
        <v>0</v>
      </c>
    </row>
    <row r="231" spans="1:43" x14ac:dyDescent="0.25">
      <c r="B231" s="2" t="s">
        <v>6</v>
      </c>
      <c r="C231" s="2">
        <v>2024</v>
      </c>
      <c r="D231" s="1">
        <v>32099</v>
      </c>
      <c r="E231" s="11">
        <v>3625557</v>
      </c>
      <c r="F231" s="1">
        <v>8004</v>
      </c>
      <c r="G231" s="11">
        <v>1082147</v>
      </c>
      <c r="H231" s="1">
        <v>30701</v>
      </c>
      <c r="I231" s="11">
        <v>3541550</v>
      </c>
      <c r="J231" s="1">
        <v>307449</v>
      </c>
      <c r="K231" s="11">
        <v>53057400</v>
      </c>
      <c r="L231" s="1">
        <v>12847</v>
      </c>
      <c r="M231" s="11">
        <v>2603656</v>
      </c>
      <c r="N231" s="1">
        <v>18771</v>
      </c>
      <c r="O231" s="11">
        <v>3841594</v>
      </c>
      <c r="P231" s="8">
        <v>3</v>
      </c>
      <c r="Q231" s="11">
        <v>549</v>
      </c>
      <c r="R231" s="8">
        <v>247</v>
      </c>
      <c r="S231" s="11">
        <v>26754</v>
      </c>
      <c r="T231" s="53">
        <f>N231+L231+J231+H231+D231+P231+F231+R231</f>
        <v>410121</v>
      </c>
      <c r="U231" s="54">
        <f t="shared" si="256"/>
        <v>67779207</v>
      </c>
      <c r="V231" s="2" t="s">
        <v>65</v>
      </c>
      <c r="Y231" s="2" t="s">
        <v>6</v>
      </c>
      <c r="Z231" s="2">
        <v>2024</v>
      </c>
      <c r="AA231" s="1">
        <f t="shared" si="257"/>
        <v>70804</v>
      </c>
      <c r="AB231" s="11">
        <f t="shared" si="258"/>
        <v>8249254</v>
      </c>
      <c r="AC231" s="1">
        <f t="shared" si="259"/>
        <v>307449</v>
      </c>
      <c r="AD231" s="11">
        <f t="shared" si="260"/>
        <v>53057400</v>
      </c>
      <c r="AE231" s="8">
        <f t="shared" si="261"/>
        <v>12847</v>
      </c>
      <c r="AF231" s="11">
        <f t="shared" si="262"/>
        <v>2603656</v>
      </c>
      <c r="AG231" s="8">
        <f t="shared" si="263"/>
        <v>18771</v>
      </c>
      <c r="AH231" s="11">
        <f t="shared" si="264"/>
        <v>3841594</v>
      </c>
      <c r="AI231" s="8">
        <f t="shared" si="265"/>
        <v>3</v>
      </c>
      <c r="AJ231" s="11">
        <f t="shared" si="266"/>
        <v>549</v>
      </c>
      <c r="AK231" s="11">
        <f t="shared" si="267"/>
        <v>247</v>
      </c>
      <c r="AL231" s="11">
        <f t="shared" si="268"/>
        <v>26754</v>
      </c>
      <c r="AM231" s="8">
        <f t="shared" ref="AM231:AM241" si="273">AI231+AG231+AE231+AC231+AA231+AK231</f>
        <v>410121</v>
      </c>
      <c r="AN231" s="11">
        <f t="shared" si="269"/>
        <v>67779207</v>
      </c>
      <c r="AO231" s="2" t="str">
        <f t="shared" si="270"/>
        <v>ACCSA</v>
      </c>
      <c r="AP231" s="37">
        <f t="shared" si="271"/>
        <v>0</v>
      </c>
      <c r="AQ231" s="37">
        <f t="shared" si="272"/>
        <v>0</v>
      </c>
    </row>
    <row r="232" spans="1:43" x14ac:dyDescent="0.25">
      <c r="B232" s="2" t="s">
        <v>7</v>
      </c>
      <c r="C232" s="2">
        <v>2024</v>
      </c>
      <c r="D232" s="1">
        <v>39167</v>
      </c>
      <c r="E232" s="11">
        <v>4206762</v>
      </c>
      <c r="F232" s="1">
        <v>9237</v>
      </c>
      <c r="G232" s="11">
        <v>1189479</v>
      </c>
      <c r="H232" s="1">
        <v>36458</v>
      </c>
      <c r="I232" s="11">
        <v>4240411</v>
      </c>
      <c r="J232" s="1">
        <v>351612</v>
      </c>
      <c r="K232" s="11">
        <v>59400496</v>
      </c>
      <c r="L232" s="1">
        <v>13137</v>
      </c>
      <c r="M232" s="11">
        <v>2598421</v>
      </c>
      <c r="N232" s="1">
        <v>20135</v>
      </c>
      <c r="O232" s="11">
        <v>3949579</v>
      </c>
      <c r="P232" s="8">
        <v>0</v>
      </c>
      <c r="Q232" s="11">
        <v>0</v>
      </c>
      <c r="R232" s="8">
        <v>514</v>
      </c>
      <c r="S232" s="11">
        <v>52773</v>
      </c>
      <c r="T232" s="53">
        <f t="shared" ref="T232:T241" si="274">N232+L232+J232+H232+D232+P232+F232+R232</f>
        <v>470260</v>
      </c>
      <c r="U232" s="54">
        <f t="shared" si="256"/>
        <v>75637921</v>
      </c>
      <c r="V232" s="2" t="s">
        <v>65</v>
      </c>
      <c r="X232" s="13"/>
      <c r="Y232" s="2" t="s">
        <v>7</v>
      </c>
      <c r="Z232" s="2">
        <v>2024</v>
      </c>
      <c r="AA232" s="1">
        <f t="shared" si="257"/>
        <v>84862</v>
      </c>
      <c r="AB232" s="11">
        <f t="shared" si="258"/>
        <v>9636652</v>
      </c>
      <c r="AC232" s="1">
        <f t="shared" si="259"/>
        <v>351612</v>
      </c>
      <c r="AD232" s="11">
        <f t="shared" si="260"/>
        <v>59400496</v>
      </c>
      <c r="AE232" s="8">
        <f t="shared" si="261"/>
        <v>13137</v>
      </c>
      <c r="AF232" s="11">
        <f t="shared" si="262"/>
        <v>2598421</v>
      </c>
      <c r="AG232" s="8">
        <f t="shared" si="263"/>
        <v>20135</v>
      </c>
      <c r="AH232" s="11">
        <f t="shared" si="264"/>
        <v>3949579</v>
      </c>
      <c r="AI232" s="8">
        <f t="shared" si="265"/>
        <v>0</v>
      </c>
      <c r="AJ232" s="11">
        <f t="shared" si="266"/>
        <v>0</v>
      </c>
      <c r="AK232" s="11">
        <f t="shared" si="267"/>
        <v>514</v>
      </c>
      <c r="AL232" s="11">
        <f t="shared" si="268"/>
        <v>52773</v>
      </c>
      <c r="AM232" s="8">
        <f t="shared" si="273"/>
        <v>470260</v>
      </c>
      <c r="AN232" s="11">
        <f t="shared" si="269"/>
        <v>75637921</v>
      </c>
      <c r="AO232" s="2" t="str">
        <f t="shared" si="270"/>
        <v>ACCSA</v>
      </c>
      <c r="AP232" s="37">
        <f t="shared" si="271"/>
        <v>0</v>
      </c>
      <c r="AQ232" s="37">
        <f t="shared" si="272"/>
        <v>0</v>
      </c>
    </row>
    <row r="233" spans="1:43" x14ac:dyDescent="0.25">
      <c r="B233" s="2" t="s">
        <v>8</v>
      </c>
      <c r="C233" s="2">
        <v>2024</v>
      </c>
      <c r="D233" s="1">
        <v>38841</v>
      </c>
      <c r="E233" s="11">
        <v>4263585</v>
      </c>
      <c r="F233" s="1">
        <v>9128</v>
      </c>
      <c r="G233" s="11">
        <v>1305134</v>
      </c>
      <c r="H233" s="1">
        <v>34856</v>
      </c>
      <c r="I233" s="11">
        <v>4064173</v>
      </c>
      <c r="J233" s="1">
        <v>343837</v>
      </c>
      <c r="K233" s="11">
        <v>59302984</v>
      </c>
      <c r="L233" s="1">
        <v>13970</v>
      </c>
      <c r="M233" s="11">
        <v>2743191</v>
      </c>
      <c r="N233" s="1">
        <v>21532</v>
      </c>
      <c r="O233" s="11">
        <v>4330370</v>
      </c>
      <c r="P233" s="8">
        <v>0</v>
      </c>
      <c r="Q233" s="11">
        <v>0</v>
      </c>
      <c r="R233" s="8">
        <v>774</v>
      </c>
      <c r="S233" s="11">
        <v>72974</v>
      </c>
      <c r="T233" s="53">
        <f t="shared" si="274"/>
        <v>462938</v>
      </c>
      <c r="U233" s="54">
        <f t="shared" si="256"/>
        <v>76082411</v>
      </c>
      <c r="V233" s="2" t="s">
        <v>65</v>
      </c>
      <c r="X233" s="13"/>
      <c r="Y233" s="2" t="s">
        <v>8</v>
      </c>
      <c r="Z233" s="2">
        <v>2024</v>
      </c>
      <c r="AA233" s="1">
        <f t="shared" si="257"/>
        <v>82825</v>
      </c>
      <c r="AB233" s="11">
        <f t="shared" si="258"/>
        <v>9632892</v>
      </c>
      <c r="AC233" s="1">
        <f t="shared" si="259"/>
        <v>343837</v>
      </c>
      <c r="AD233" s="11">
        <f t="shared" si="260"/>
        <v>59302984</v>
      </c>
      <c r="AE233" s="8">
        <f t="shared" si="261"/>
        <v>13970</v>
      </c>
      <c r="AF233" s="11">
        <f t="shared" si="262"/>
        <v>2743191</v>
      </c>
      <c r="AG233" s="8">
        <f t="shared" si="263"/>
        <v>21532</v>
      </c>
      <c r="AH233" s="11">
        <f t="shared" si="264"/>
        <v>4330370</v>
      </c>
      <c r="AI233" s="8">
        <f t="shared" si="265"/>
        <v>0</v>
      </c>
      <c r="AJ233" s="11">
        <f t="shared" si="266"/>
        <v>0</v>
      </c>
      <c r="AK233" s="11">
        <f t="shared" si="267"/>
        <v>774</v>
      </c>
      <c r="AL233" s="11">
        <f t="shared" si="268"/>
        <v>72974</v>
      </c>
      <c r="AM233" s="8">
        <f t="shared" si="273"/>
        <v>462938</v>
      </c>
      <c r="AN233" s="11">
        <f t="shared" si="269"/>
        <v>76082411</v>
      </c>
      <c r="AO233" s="2" t="str">
        <f t="shared" si="270"/>
        <v>ACCSA</v>
      </c>
      <c r="AP233" s="37">
        <f t="shared" si="271"/>
        <v>0</v>
      </c>
      <c r="AQ233" s="37">
        <f t="shared" si="272"/>
        <v>0</v>
      </c>
    </row>
    <row r="234" spans="1:43" x14ac:dyDescent="0.25">
      <c r="B234" s="2" t="s">
        <v>9</v>
      </c>
      <c r="C234" s="2">
        <v>2024</v>
      </c>
      <c r="D234" s="1">
        <v>38298</v>
      </c>
      <c r="E234" s="11">
        <v>4104290</v>
      </c>
      <c r="F234" s="1">
        <v>9637</v>
      </c>
      <c r="G234" s="11">
        <v>1449826</v>
      </c>
      <c r="H234" s="1">
        <v>34294</v>
      </c>
      <c r="I234" s="11">
        <v>3946138</v>
      </c>
      <c r="J234" s="1">
        <v>339150</v>
      </c>
      <c r="K234" s="11">
        <v>57782660</v>
      </c>
      <c r="L234" s="1">
        <v>14361</v>
      </c>
      <c r="M234" s="11">
        <v>2845176</v>
      </c>
      <c r="N234" s="1">
        <v>20460</v>
      </c>
      <c r="O234" s="11">
        <v>3994260</v>
      </c>
      <c r="P234" s="8">
        <v>0</v>
      </c>
      <c r="Q234" s="11">
        <v>0</v>
      </c>
      <c r="R234" s="8">
        <v>909</v>
      </c>
      <c r="S234" s="11">
        <v>82739</v>
      </c>
      <c r="T234" s="53">
        <f t="shared" si="274"/>
        <v>457109</v>
      </c>
      <c r="U234" s="54">
        <f t="shared" si="256"/>
        <v>74205089</v>
      </c>
      <c r="V234" s="2" t="s">
        <v>65</v>
      </c>
      <c r="X234" s="13"/>
      <c r="Y234" s="2" t="s">
        <v>9</v>
      </c>
      <c r="Z234" s="2">
        <v>2024</v>
      </c>
      <c r="AA234" s="1">
        <f t="shared" si="257"/>
        <v>82229</v>
      </c>
      <c r="AB234" s="11">
        <f t="shared" si="258"/>
        <v>9500254</v>
      </c>
      <c r="AC234" s="1">
        <f t="shared" si="259"/>
        <v>339150</v>
      </c>
      <c r="AD234" s="11">
        <f t="shared" si="260"/>
        <v>57782660</v>
      </c>
      <c r="AE234" s="8">
        <f t="shared" si="261"/>
        <v>14361</v>
      </c>
      <c r="AF234" s="11">
        <f t="shared" si="262"/>
        <v>2845176</v>
      </c>
      <c r="AG234" s="8">
        <f t="shared" si="263"/>
        <v>20460</v>
      </c>
      <c r="AH234" s="11">
        <f t="shared" si="264"/>
        <v>3994260</v>
      </c>
      <c r="AI234" s="8">
        <f t="shared" si="265"/>
        <v>0</v>
      </c>
      <c r="AJ234" s="11">
        <f t="shared" si="266"/>
        <v>0</v>
      </c>
      <c r="AK234" s="11">
        <f t="shared" si="267"/>
        <v>909</v>
      </c>
      <c r="AL234" s="11">
        <f t="shared" si="268"/>
        <v>82739</v>
      </c>
      <c r="AM234" s="8">
        <f t="shared" si="273"/>
        <v>457109</v>
      </c>
      <c r="AN234" s="11">
        <f t="shared" si="269"/>
        <v>74205089</v>
      </c>
      <c r="AO234" s="2" t="str">
        <f t="shared" si="270"/>
        <v>ACCSA</v>
      </c>
      <c r="AP234" s="37">
        <f t="shared" si="271"/>
        <v>0</v>
      </c>
      <c r="AQ234" s="37">
        <f t="shared" si="272"/>
        <v>0</v>
      </c>
    </row>
    <row r="235" spans="1:43" x14ac:dyDescent="0.25">
      <c r="B235" s="2" t="s">
        <v>10</v>
      </c>
      <c r="C235" s="2">
        <v>2024</v>
      </c>
      <c r="D235" s="1">
        <v>36571</v>
      </c>
      <c r="E235" s="11">
        <v>3955819</v>
      </c>
      <c r="F235" s="1">
        <v>9122</v>
      </c>
      <c r="G235" s="11">
        <v>1373838</v>
      </c>
      <c r="H235" s="1">
        <v>34184</v>
      </c>
      <c r="I235" s="11">
        <v>3925840</v>
      </c>
      <c r="J235" s="1">
        <v>332775</v>
      </c>
      <c r="K235" s="11">
        <v>57411799</v>
      </c>
      <c r="L235" s="1">
        <v>13581</v>
      </c>
      <c r="M235" s="11">
        <v>2653800</v>
      </c>
      <c r="N235" s="1">
        <v>19071</v>
      </c>
      <c r="O235" s="11">
        <v>3726925</v>
      </c>
      <c r="P235" s="8">
        <v>1</v>
      </c>
      <c r="Q235" s="11">
        <v>136</v>
      </c>
      <c r="R235" s="8">
        <v>876</v>
      </c>
      <c r="S235" s="11">
        <v>80943</v>
      </c>
      <c r="T235" s="53">
        <f t="shared" si="274"/>
        <v>446181</v>
      </c>
      <c r="U235" s="54">
        <f t="shared" si="256"/>
        <v>73129100</v>
      </c>
      <c r="V235" s="2" t="s">
        <v>65</v>
      </c>
      <c r="Y235" s="2" t="s">
        <v>10</v>
      </c>
      <c r="Z235" s="2">
        <v>2024</v>
      </c>
      <c r="AA235" s="1">
        <f t="shared" si="257"/>
        <v>79877</v>
      </c>
      <c r="AB235" s="11">
        <f t="shared" si="258"/>
        <v>9255497</v>
      </c>
      <c r="AC235" s="1">
        <f t="shared" si="259"/>
        <v>332775</v>
      </c>
      <c r="AD235" s="11">
        <f t="shared" si="260"/>
        <v>57411799</v>
      </c>
      <c r="AE235" s="8">
        <f t="shared" si="261"/>
        <v>13581</v>
      </c>
      <c r="AF235" s="11">
        <f t="shared" si="262"/>
        <v>2653800</v>
      </c>
      <c r="AG235" s="8">
        <f t="shared" si="263"/>
        <v>19071</v>
      </c>
      <c r="AH235" s="11">
        <f t="shared" si="264"/>
        <v>3726925</v>
      </c>
      <c r="AI235" s="8">
        <f t="shared" si="265"/>
        <v>1</v>
      </c>
      <c r="AJ235" s="11">
        <f t="shared" si="266"/>
        <v>136</v>
      </c>
      <c r="AK235" s="11">
        <f t="shared" si="267"/>
        <v>876</v>
      </c>
      <c r="AL235" s="11">
        <f t="shared" si="268"/>
        <v>80943</v>
      </c>
      <c r="AM235" s="8">
        <f t="shared" si="273"/>
        <v>446181</v>
      </c>
      <c r="AN235" s="11">
        <f t="shared" si="269"/>
        <v>73129100</v>
      </c>
      <c r="AO235" s="2" t="str">
        <f t="shared" si="270"/>
        <v>ACCSA</v>
      </c>
      <c r="AP235" s="37">
        <f t="shared" si="271"/>
        <v>0</v>
      </c>
      <c r="AQ235" s="37">
        <f t="shared" si="272"/>
        <v>0</v>
      </c>
    </row>
    <row r="236" spans="1:43" x14ac:dyDescent="0.25">
      <c r="B236" s="2" t="s">
        <v>11</v>
      </c>
      <c r="C236" s="2">
        <v>2024</v>
      </c>
      <c r="D236" s="1">
        <v>39531</v>
      </c>
      <c r="E236" s="11">
        <v>4242167</v>
      </c>
      <c r="F236" s="1">
        <v>9534</v>
      </c>
      <c r="G236" s="11">
        <v>1341119</v>
      </c>
      <c r="H236" s="1">
        <v>36579</v>
      </c>
      <c r="I236" s="11">
        <v>4183527</v>
      </c>
      <c r="J236" s="1">
        <v>349091</v>
      </c>
      <c r="K236" s="11">
        <v>58293765</v>
      </c>
      <c r="L236" s="1">
        <v>14904</v>
      </c>
      <c r="M236" s="11">
        <v>2847500</v>
      </c>
      <c r="N236" s="1">
        <v>20239</v>
      </c>
      <c r="O236" s="11">
        <v>3960102</v>
      </c>
      <c r="P236" s="8">
        <v>0</v>
      </c>
      <c r="Q236" s="11">
        <v>0</v>
      </c>
      <c r="R236" s="8">
        <v>1182</v>
      </c>
      <c r="S236" s="11">
        <v>107007</v>
      </c>
      <c r="T236" s="53">
        <f t="shared" si="274"/>
        <v>471060</v>
      </c>
      <c r="U236" s="54">
        <f t="shared" si="256"/>
        <v>74975187</v>
      </c>
      <c r="V236" s="2" t="s">
        <v>65</v>
      </c>
      <c r="Y236" s="2" t="s">
        <v>11</v>
      </c>
      <c r="Z236" s="2">
        <v>2024</v>
      </c>
      <c r="AA236" s="1">
        <f t="shared" si="257"/>
        <v>85644</v>
      </c>
      <c r="AB236" s="11">
        <f t="shared" si="258"/>
        <v>9766813</v>
      </c>
      <c r="AC236" s="1">
        <f t="shared" si="259"/>
        <v>349091</v>
      </c>
      <c r="AD236" s="11">
        <f t="shared" si="260"/>
        <v>58293765</v>
      </c>
      <c r="AE236" s="8">
        <f t="shared" si="261"/>
        <v>14904</v>
      </c>
      <c r="AF236" s="11">
        <f t="shared" si="262"/>
        <v>2847500</v>
      </c>
      <c r="AG236" s="8">
        <f t="shared" si="263"/>
        <v>20239</v>
      </c>
      <c r="AH236" s="11">
        <f t="shared" si="264"/>
        <v>3960102</v>
      </c>
      <c r="AI236" s="8">
        <f t="shared" si="265"/>
        <v>0</v>
      </c>
      <c r="AJ236" s="11">
        <f t="shared" si="266"/>
        <v>0</v>
      </c>
      <c r="AK236" s="11">
        <f t="shared" si="267"/>
        <v>1182</v>
      </c>
      <c r="AL236" s="11">
        <f t="shared" si="268"/>
        <v>107007</v>
      </c>
      <c r="AM236" s="8">
        <f t="shared" si="273"/>
        <v>471060</v>
      </c>
      <c r="AN236" s="11">
        <f t="shared" si="269"/>
        <v>74975187</v>
      </c>
      <c r="AO236" s="2" t="str">
        <f t="shared" si="270"/>
        <v>ACCSA</v>
      </c>
      <c r="AP236" s="37">
        <f t="shared" si="271"/>
        <v>0</v>
      </c>
      <c r="AQ236" s="37">
        <f t="shared" si="272"/>
        <v>0</v>
      </c>
    </row>
    <row r="237" spans="1:43" x14ac:dyDescent="0.25">
      <c r="B237" s="2" t="s">
        <v>4</v>
      </c>
      <c r="C237" s="2">
        <v>2024</v>
      </c>
      <c r="D237" s="1">
        <v>41304</v>
      </c>
      <c r="E237" s="11">
        <v>4477307</v>
      </c>
      <c r="F237" s="1">
        <v>9923</v>
      </c>
      <c r="G237" s="11">
        <v>1477488</v>
      </c>
      <c r="H237" s="1">
        <v>36574</v>
      </c>
      <c r="I237" s="11">
        <v>4369378</v>
      </c>
      <c r="J237" s="1">
        <v>359792</v>
      </c>
      <c r="K237" s="11">
        <v>60193614</v>
      </c>
      <c r="L237" s="1">
        <v>15612</v>
      </c>
      <c r="M237" s="11">
        <v>2999959</v>
      </c>
      <c r="N237" s="1">
        <v>20582</v>
      </c>
      <c r="O237" s="11">
        <v>3985716</v>
      </c>
      <c r="P237" s="8">
        <v>0</v>
      </c>
      <c r="Q237" s="11">
        <v>0</v>
      </c>
      <c r="R237" s="8">
        <v>1458</v>
      </c>
      <c r="S237" s="11">
        <v>142593</v>
      </c>
      <c r="T237" s="53">
        <f t="shared" si="274"/>
        <v>485245</v>
      </c>
      <c r="U237" s="54">
        <f t="shared" si="256"/>
        <v>77646055</v>
      </c>
      <c r="V237" s="2" t="s">
        <v>65</v>
      </c>
      <c r="Y237" s="2" t="s">
        <v>4</v>
      </c>
      <c r="Z237" s="2">
        <v>2024</v>
      </c>
      <c r="AA237" s="1">
        <f t="shared" si="257"/>
        <v>87801</v>
      </c>
      <c r="AB237" s="11">
        <f t="shared" si="258"/>
        <v>10324173</v>
      </c>
      <c r="AC237" s="1">
        <f t="shared" si="259"/>
        <v>359792</v>
      </c>
      <c r="AD237" s="11">
        <f t="shared" si="260"/>
        <v>60193614</v>
      </c>
      <c r="AE237" s="8">
        <f t="shared" si="261"/>
        <v>15612</v>
      </c>
      <c r="AF237" s="11">
        <f t="shared" si="262"/>
        <v>2999959</v>
      </c>
      <c r="AG237" s="8">
        <f t="shared" si="263"/>
        <v>20582</v>
      </c>
      <c r="AH237" s="11">
        <f t="shared" si="264"/>
        <v>3985716</v>
      </c>
      <c r="AI237" s="8">
        <f t="shared" si="265"/>
        <v>0</v>
      </c>
      <c r="AJ237" s="11">
        <f t="shared" si="266"/>
        <v>0</v>
      </c>
      <c r="AK237" s="11">
        <f t="shared" si="267"/>
        <v>1458</v>
      </c>
      <c r="AL237" s="11">
        <f t="shared" si="268"/>
        <v>142593</v>
      </c>
      <c r="AM237" s="8">
        <f t="shared" si="273"/>
        <v>485245</v>
      </c>
      <c r="AN237" s="11">
        <f t="shared" si="269"/>
        <v>77646055</v>
      </c>
      <c r="AO237" s="2" t="str">
        <f t="shared" si="270"/>
        <v>ACCSA</v>
      </c>
      <c r="AP237" s="37">
        <f t="shared" si="271"/>
        <v>0</v>
      </c>
      <c r="AQ237" s="37">
        <f t="shared" si="272"/>
        <v>0</v>
      </c>
    </row>
    <row r="238" spans="1:43" x14ac:dyDescent="0.25">
      <c r="B238" s="2" t="s">
        <v>28</v>
      </c>
      <c r="C238" s="2">
        <v>2024</v>
      </c>
      <c r="D238" s="1">
        <v>38074</v>
      </c>
      <c r="E238" s="11">
        <v>4056998</v>
      </c>
      <c r="F238" s="1">
        <v>9424</v>
      </c>
      <c r="G238" s="11">
        <v>1345233</v>
      </c>
      <c r="H238" s="1">
        <v>35363</v>
      </c>
      <c r="I238" s="11">
        <v>4043430</v>
      </c>
      <c r="J238" s="1">
        <v>326835</v>
      </c>
      <c r="K238" s="11">
        <v>54585047</v>
      </c>
      <c r="L238" s="1">
        <v>14227</v>
      </c>
      <c r="M238" s="11">
        <v>2700279</v>
      </c>
      <c r="N238" s="1">
        <v>18931</v>
      </c>
      <c r="O238" s="11">
        <v>3664544</v>
      </c>
      <c r="P238" s="8">
        <v>0</v>
      </c>
      <c r="Q238" s="11">
        <v>0</v>
      </c>
      <c r="R238" s="8">
        <v>1295</v>
      </c>
      <c r="S238" s="11">
        <v>129040</v>
      </c>
      <c r="T238" s="53">
        <f t="shared" si="274"/>
        <v>444149</v>
      </c>
      <c r="U238" s="54">
        <f t="shared" si="256"/>
        <v>70524571</v>
      </c>
      <c r="V238" s="2" t="s">
        <v>65</v>
      </c>
      <c r="Y238" s="2" t="s">
        <v>28</v>
      </c>
      <c r="Z238" s="2">
        <v>2024</v>
      </c>
      <c r="AA238" s="1">
        <f t="shared" si="257"/>
        <v>82861</v>
      </c>
      <c r="AB238" s="11">
        <f t="shared" si="258"/>
        <v>9445661</v>
      </c>
      <c r="AC238" s="1">
        <f t="shared" si="259"/>
        <v>326835</v>
      </c>
      <c r="AD238" s="11">
        <f t="shared" si="260"/>
        <v>54585047</v>
      </c>
      <c r="AE238" s="8">
        <f t="shared" si="261"/>
        <v>14227</v>
      </c>
      <c r="AF238" s="11">
        <f t="shared" si="262"/>
        <v>2700279</v>
      </c>
      <c r="AG238" s="8">
        <f t="shared" si="263"/>
        <v>18931</v>
      </c>
      <c r="AH238" s="11">
        <f t="shared" si="264"/>
        <v>3664544</v>
      </c>
      <c r="AI238" s="8">
        <f t="shared" si="265"/>
        <v>0</v>
      </c>
      <c r="AJ238" s="11">
        <f t="shared" si="266"/>
        <v>0</v>
      </c>
      <c r="AK238" s="11">
        <f t="shared" si="267"/>
        <v>1295</v>
      </c>
      <c r="AL238" s="11">
        <f t="shared" si="268"/>
        <v>129040</v>
      </c>
      <c r="AM238" s="8">
        <f t="shared" si="273"/>
        <v>444149</v>
      </c>
      <c r="AN238" s="11">
        <f t="shared" si="269"/>
        <v>70524571</v>
      </c>
      <c r="AO238" s="2" t="str">
        <f t="shared" si="270"/>
        <v>ACCSA</v>
      </c>
      <c r="AP238" s="37">
        <f t="shared" si="271"/>
        <v>0</v>
      </c>
      <c r="AQ238" s="37">
        <f t="shared" si="272"/>
        <v>0</v>
      </c>
    </row>
    <row r="239" spans="1:43" x14ac:dyDescent="0.25">
      <c r="B239" s="2" t="s">
        <v>29</v>
      </c>
      <c r="C239" s="2">
        <v>2024</v>
      </c>
      <c r="D239" s="1">
        <v>39966</v>
      </c>
      <c r="E239" s="11">
        <v>4366416</v>
      </c>
      <c r="F239" s="1">
        <v>12423</v>
      </c>
      <c r="G239" s="11">
        <v>1708554</v>
      </c>
      <c r="H239" s="1">
        <v>35492</v>
      </c>
      <c r="I239" s="11">
        <v>4254119</v>
      </c>
      <c r="J239" s="1">
        <v>373571</v>
      </c>
      <c r="K239" s="11">
        <v>65707113</v>
      </c>
      <c r="L239" s="1">
        <v>17590</v>
      </c>
      <c r="M239" s="11">
        <v>3460078</v>
      </c>
      <c r="N239" s="1">
        <v>21688</v>
      </c>
      <c r="O239" s="11">
        <v>4352294</v>
      </c>
      <c r="P239" s="8">
        <v>0</v>
      </c>
      <c r="Q239" s="11">
        <v>0</v>
      </c>
      <c r="R239" s="8">
        <v>1561</v>
      </c>
      <c r="S239" s="11">
        <v>174711</v>
      </c>
      <c r="T239" s="53">
        <f t="shared" si="274"/>
        <v>502291</v>
      </c>
      <c r="U239" s="54">
        <f t="shared" si="256"/>
        <v>84023285</v>
      </c>
      <c r="V239" s="2" t="s">
        <v>65</v>
      </c>
      <c r="Y239" s="2" t="s">
        <v>29</v>
      </c>
      <c r="Z239" s="2">
        <v>2024</v>
      </c>
      <c r="AA239" s="1">
        <f t="shared" si="257"/>
        <v>87881</v>
      </c>
      <c r="AB239" s="11">
        <f t="shared" si="258"/>
        <v>10329089</v>
      </c>
      <c r="AC239" s="1">
        <f t="shared" si="259"/>
        <v>373571</v>
      </c>
      <c r="AD239" s="11">
        <f t="shared" si="260"/>
        <v>65707113</v>
      </c>
      <c r="AE239" s="8">
        <f t="shared" si="261"/>
        <v>17590</v>
      </c>
      <c r="AF239" s="11">
        <f t="shared" si="262"/>
        <v>3460078</v>
      </c>
      <c r="AG239" s="8">
        <f t="shared" si="263"/>
        <v>21688</v>
      </c>
      <c r="AH239" s="11">
        <f t="shared" si="264"/>
        <v>4352294</v>
      </c>
      <c r="AI239" s="8">
        <f t="shared" si="265"/>
        <v>0</v>
      </c>
      <c r="AJ239" s="11">
        <f t="shared" si="266"/>
        <v>0</v>
      </c>
      <c r="AK239" s="11">
        <f t="shared" si="267"/>
        <v>1561</v>
      </c>
      <c r="AL239" s="11">
        <f t="shared" si="268"/>
        <v>174711</v>
      </c>
      <c r="AM239" s="8">
        <f t="shared" si="273"/>
        <v>502291</v>
      </c>
      <c r="AN239" s="11">
        <f t="shared" si="269"/>
        <v>84023285</v>
      </c>
      <c r="AO239" s="2" t="str">
        <f t="shared" si="270"/>
        <v>ACCSA</v>
      </c>
      <c r="AP239" s="37">
        <f t="shared" si="271"/>
        <v>0</v>
      </c>
      <c r="AQ239" s="37">
        <f t="shared" si="272"/>
        <v>0</v>
      </c>
    </row>
    <row r="240" spans="1:43" x14ac:dyDescent="0.25">
      <c r="B240" s="2" t="s">
        <v>30</v>
      </c>
      <c r="C240" s="2">
        <v>2024</v>
      </c>
      <c r="D240" s="1">
        <v>44277</v>
      </c>
      <c r="E240" s="11">
        <v>5197457</v>
      </c>
      <c r="F240" s="1">
        <v>14717</v>
      </c>
      <c r="G240" s="11">
        <v>2668614</v>
      </c>
      <c r="H240" s="1">
        <v>37960</v>
      </c>
      <c r="I240" s="11">
        <v>4452564</v>
      </c>
      <c r="J240" s="1">
        <v>469446</v>
      </c>
      <c r="K240" s="11">
        <v>89076890</v>
      </c>
      <c r="L240" s="1">
        <v>21279</v>
      </c>
      <c r="M240" s="11">
        <v>4348823</v>
      </c>
      <c r="N240" s="1">
        <v>29105</v>
      </c>
      <c r="O240" s="11">
        <v>6296489</v>
      </c>
      <c r="P240" s="8">
        <v>1</v>
      </c>
      <c r="Q240" s="11">
        <v>211</v>
      </c>
      <c r="R240" s="8">
        <v>1911</v>
      </c>
      <c r="S240" s="11">
        <v>228525</v>
      </c>
      <c r="T240" s="53">
        <f t="shared" si="274"/>
        <v>618696</v>
      </c>
      <c r="U240" s="54">
        <f t="shared" si="256"/>
        <v>112269573</v>
      </c>
      <c r="V240" s="2" t="s">
        <v>65</v>
      </c>
      <c r="Y240" s="2" t="s">
        <v>30</v>
      </c>
      <c r="Z240" s="2">
        <v>2024</v>
      </c>
      <c r="AA240" s="1">
        <f t="shared" si="257"/>
        <v>96954</v>
      </c>
      <c r="AB240" s="11">
        <f t="shared" si="258"/>
        <v>12318635</v>
      </c>
      <c r="AC240" s="1">
        <f t="shared" si="259"/>
        <v>469446</v>
      </c>
      <c r="AD240" s="11">
        <f t="shared" si="260"/>
        <v>89076890</v>
      </c>
      <c r="AE240" s="8">
        <f t="shared" si="261"/>
        <v>21279</v>
      </c>
      <c r="AF240" s="11">
        <f t="shared" si="262"/>
        <v>4348823</v>
      </c>
      <c r="AG240" s="8">
        <f t="shared" si="263"/>
        <v>29105</v>
      </c>
      <c r="AH240" s="11">
        <f t="shared" si="264"/>
        <v>6296489</v>
      </c>
      <c r="AI240" s="8">
        <f t="shared" si="265"/>
        <v>1</v>
      </c>
      <c r="AJ240" s="11">
        <f t="shared" si="266"/>
        <v>211</v>
      </c>
      <c r="AK240" s="11">
        <f t="shared" si="267"/>
        <v>1911</v>
      </c>
      <c r="AL240" s="11">
        <f t="shared" si="268"/>
        <v>228525</v>
      </c>
      <c r="AM240" s="79">
        <f t="shared" si="273"/>
        <v>618696</v>
      </c>
      <c r="AN240" s="80">
        <f t="shared" si="269"/>
        <v>112269573</v>
      </c>
      <c r="AO240" s="2" t="str">
        <f t="shared" si="270"/>
        <v>ACCSA</v>
      </c>
      <c r="AP240" s="37">
        <f t="shared" si="271"/>
        <v>0</v>
      </c>
      <c r="AQ240" s="37">
        <f t="shared" si="272"/>
        <v>0</v>
      </c>
    </row>
    <row r="241" spans="1:43" x14ac:dyDescent="0.25">
      <c r="B241" s="2" t="s">
        <v>31</v>
      </c>
      <c r="C241" s="2">
        <v>2024</v>
      </c>
      <c r="D241" s="1">
        <v>48974</v>
      </c>
      <c r="E241" s="11">
        <v>5523425</v>
      </c>
      <c r="F241" s="1">
        <v>15233</v>
      </c>
      <c r="G241" s="11">
        <v>2814111</v>
      </c>
      <c r="H241" s="1">
        <v>39000</v>
      </c>
      <c r="I241" s="11">
        <v>4656419</v>
      </c>
      <c r="J241" s="1">
        <v>461060</v>
      </c>
      <c r="K241" s="11">
        <v>85610664</v>
      </c>
      <c r="L241" s="1">
        <v>21730</v>
      </c>
      <c r="M241" s="11">
        <v>4437937</v>
      </c>
      <c r="N241" s="8">
        <v>28252</v>
      </c>
      <c r="O241" s="11">
        <v>6213051</v>
      </c>
      <c r="P241" s="8">
        <v>0</v>
      </c>
      <c r="Q241" s="11">
        <v>0</v>
      </c>
      <c r="R241" s="8">
        <v>2137</v>
      </c>
      <c r="S241" s="11">
        <v>244645</v>
      </c>
      <c r="T241" s="53">
        <f t="shared" si="274"/>
        <v>616386</v>
      </c>
      <c r="U241" s="54">
        <f t="shared" si="256"/>
        <v>109500252</v>
      </c>
      <c r="V241" s="2" t="s">
        <v>65</v>
      </c>
      <c r="W241" s="13"/>
      <c r="Y241" s="2" t="s">
        <v>31</v>
      </c>
      <c r="Z241" s="2">
        <v>2024</v>
      </c>
      <c r="AA241" s="1">
        <f t="shared" si="257"/>
        <v>103207</v>
      </c>
      <c r="AB241" s="11">
        <f t="shared" si="258"/>
        <v>12993955</v>
      </c>
      <c r="AC241" s="1">
        <f t="shared" si="259"/>
        <v>461060</v>
      </c>
      <c r="AD241" s="11">
        <f t="shared" si="260"/>
        <v>85610664</v>
      </c>
      <c r="AE241" s="8">
        <f t="shared" si="261"/>
        <v>21730</v>
      </c>
      <c r="AF241" s="11">
        <f t="shared" si="262"/>
        <v>4437937</v>
      </c>
      <c r="AG241" s="8">
        <f t="shared" si="263"/>
        <v>28252</v>
      </c>
      <c r="AH241" s="11">
        <f t="shared" si="264"/>
        <v>6213051</v>
      </c>
      <c r="AI241" s="8">
        <f t="shared" si="265"/>
        <v>0</v>
      </c>
      <c r="AJ241" s="11">
        <f t="shared" si="266"/>
        <v>0</v>
      </c>
      <c r="AK241" s="11">
        <f t="shared" si="267"/>
        <v>2137</v>
      </c>
      <c r="AL241" s="11">
        <f t="shared" si="268"/>
        <v>244645</v>
      </c>
      <c r="AM241" s="8">
        <f t="shared" si="273"/>
        <v>616386</v>
      </c>
      <c r="AN241" s="11">
        <f t="shared" si="269"/>
        <v>109500252</v>
      </c>
      <c r="AO241" s="2" t="str">
        <f t="shared" si="270"/>
        <v>ACCSA</v>
      </c>
      <c r="AP241" s="37">
        <f t="shared" si="271"/>
        <v>0</v>
      </c>
      <c r="AQ241" s="37">
        <f t="shared" si="272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275">SUM(D230:D242)</f>
        <v>472377</v>
      </c>
      <c r="E243" s="12">
        <f t="shared" si="275"/>
        <v>52032327</v>
      </c>
      <c r="F243" s="4">
        <f t="shared" si="275"/>
        <v>125984</v>
      </c>
      <c r="G243" s="12">
        <f t="shared" si="275"/>
        <v>19038189</v>
      </c>
      <c r="H243" s="4">
        <f t="shared" si="275"/>
        <v>425868</v>
      </c>
      <c r="I243" s="12">
        <f t="shared" si="275"/>
        <v>49649189</v>
      </c>
      <c r="J243" s="4">
        <f t="shared" si="275"/>
        <v>4351103</v>
      </c>
      <c r="K243" s="12">
        <f t="shared" si="275"/>
        <v>758046091</v>
      </c>
      <c r="L243" s="4">
        <f t="shared" si="275"/>
        <v>187119</v>
      </c>
      <c r="M243" s="12">
        <f t="shared" si="275"/>
        <v>36987378</v>
      </c>
      <c r="N243" s="4">
        <f t="shared" si="275"/>
        <v>260020</v>
      </c>
      <c r="O243" s="12">
        <f t="shared" si="275"/>
        <v>52632411</v>
      </c>
      <c r="P243" s="4">
        <f>SUM(P230:P242)</f>
        <v>6</v>
      </c>
      <c r="Q243" s="12">
        <f>SUM(Q230:Q242)</f>
        <v>1165</v>
      </c>
      <c r="R243" s="4">
        <f>SUM(R230:R242)</f>
        <v>13115</v>
      </c>
      <c r="S243" s="12">
        <f>SUM(S230:S242)</f>
        <v>1364567</v>
      </c>
      <c r="T243" s="4">
        <f t="shared" si="275"/>
        <v>5835592</v>
      </c>
      <c r="U243" s="12">
        <f t="shared" si="275"/>
        <v>969751317</v>
      </c>
      <c r="V243" s="2" t="s">
        <v>126</v>
      </c>
      <c r="Y243" s="3" t="s">
        <v>12</v>
      </c>
      <c r="Z243" s="3"/>
      <c r="AA243" s="4">
        <f t="shared" ref="AA243:AN243" si="276">SUM(AA230:AA242)</f>
        <v>1024229</v>
      </c>
      <c r="AB243" s="12">
        <f t="shared" si="276"/>
        <v>120719705</v>
      </c>
      <c r="AC243" s="4">
        <f t="shared" si="276"/>
        <v>4351103</v>
      </c>
      <c r="AD243" s="12">
        <f t="shared" si="276"/>
        <v>758046091</v>
      </c>
      <c r="AE243" s="4">
        <f t="shared" si="276"/>
        <v>187119</v>
      </c>
      <c r="AF243" s="12">
        <f t="shared" si="276"/>
        <v>36987378</v>
      </c>
      <c r="AG243" s="4">
        <f t="shared" si="276"/>
        <v>260020</v>
      </c>
      <c r="AH243" s="12">
        <f t="shared" si="276"/>
        <v>52632411</v>
      </c>
      <c r="AI243" s="4">
        <f t="shared" si="276"/>
        <v>6</v>
      </c>
      <c r="AJ243" s="12">
        <f t="shared" si="276"/>
        <v>1165</v>
      </c>
      <c r="AK243" s="4">
        <f t="shared" si="276"/>
        <v>13115</v>
      </c>
      <c r="AL243" s="12">
        <f t="shared" si="276"/>
        <v>1364567</v>
      </c>
      <c r="AM243" s="4">
        <f t="shared" si="276"/>
        <v>5835592</v>
      </c>
      <c r="AN243" s="12">
        <f t="shared" si="276"/>
        <v>969751317</v>
      </c>
    </row>
    <row r="244" spans="1:43" x14ac:dyDescent="0.25">
      <c r="J244" s="46" t="str">
        <f>+$A$225</f>
        <v>Aforo e Ingreso - ACCSA</v>
      </c>
      <c r="K244" s="9" t="s">
        <v>84</v>
      </c>
      <c r="L244" s="15">
        <f>AVERAGE(L230:L231)</f>
        <v>13364</v>
      </c>
      <c r="M244" s="60">
        <f>AVERAGE(M230:M231)</f>
        <v>2676107</v>
      </c>
      <c r="T244" s="15">
        <f t="shared" ref="T244:U244" si="277">AVERAGE(T230:T231)</f>
        <v>430638.5</v>
      </c>
      <c r="U244" s="28">
        <f t="shared" si="277"/>
        <v>70878936.5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0.10372595360894757</v>
      </c>
      <c r="M245" s="36">
        <f>+M244/$M$371</f>
        <v>0.13134288502747318</v>
      </c>
      <c r="N245" s="18"/>
      <c r="O245" s="19"/>
      <c r="P245" s="19"/>
      <c r="Q245" s="19"/>
      <c r="R245" s="19"/>
      <c r="S245" s="19"/>
      <c r="T245" s="36">
        <f>+L244/T244</f>
        <v>3.1032989386689764E-2</v>
      </c>
      <c r="U245" s="62">
        <f>+M244/U244</f>
        <v>3.7756026432478995E-2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0"/>
      <c r="F248" s="89" t="s">
        <v>71</v>
      </c>
      <c r="G248" s="90"/>
      <c r="H248" s="89" t="s">
        <v>16</v>
      </c>
      <c r="I248" s="90"/>
      <c r="J248" s="89" t="s">
        <v>17</v>
      </c>
      <c r="K248" s="93"/>
      <c r="L248" s="89" t="s">
        <v>18</v>
      </c>
      <c r="M248" s="93"/>
      <c r="N248" s="89" t="s">
        <v>13</v>
      </c>
      <c r="O248" s="93"/>
      <c r="P248" s="89" t="s">
        <v>34</v>
      </c>
      <c r="Q248" s="93"/>
      <c r="R248" s="89" t="s">
        <v>87</v>
      </c>
      <c r="S248" s="93"/>
      <c r="T248" s="89" t="s">
        <v>12</v>
      </c>
      <c r="U248" s="93"/>
      <c r="AA248" s="89" t="s">
        <v>69</v>
      </c>
      <c r="AB248" s="90"/>
      <c r="AC248" s="89" t="s">
        <v>17</v>
      </c>
      <c r="AD248" s="93"/>
      <c r="AE248" s="89" t="s">
        <v>18</v>
      </c>
      <c r="AF248" s="93"/>
      <c r="AG248" s="89" t="s">
        <v>13</v>
      </c>
      <c r="AH248" s="93"/>
      <c r="AI248" s="89" t="s">
        <v>34</v>
      </c>
      <c r="AJ248" s="93"/>
      <c r="AK248" s="89" t="s">
        <v>87</v>
      </c>
      <c r="AL248" s="93"/>
      <c r="AM248" s="89" t="s">
        <v>12</v>
      </c>
      <c r="AN248" s="93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2024</v>
      </c>
      <c r="D251" s="1">
        <v>13730</v>
      </c>
      <c r="E251" s="11">
        <v>815509</v>
      </c>
      <c r="F251" s="1">
        <v>5149</v>
      </c>
      <c r="G251" s="11">
        <v>321285</v>
      </c>
      <c r="H251" s="1">
        <v>1820</v>
      </c>
      <c r="I251" s="11">
        <v>171690</v>
      </c>
      <c r="J251" s="1">
        <v>178077</v>
      </c>
      <c r="K251" s="11">
        <v>13616238</v>
      </c>
      <c r="L251" s="1">
        <v>1320</v>
      </c>
      <c r="M251" s="11">
        <v>161750</v>
      </c>
      <c r="N251" s="1">
        <v>23960</v>
      </c>
      <c r="O251" s="11">
        <v>1892445</v>
      </c>
      <c r="P251" s="8">
        <v>15</v>
      </c>
      <c r="Q251" s="11">
        <v>2228</v>
      </c>
      <c r="R251" s="8">
        <v>415</v>
      </c>
      <c r="S251" s="11">
        <v>21094</v>
      </c>
      <c r="T251" s="53">
        <f>N251+L251+J251+H251+D251+P251+F251+R251</f>
        <v>224486</v>
      </c>
      <c r="U251" s="54">
        <f t="shared" ref="U251:U262" si="278">O251+M251+K251+I251+E251+Q251+G251+S251</f>
        <v>17002239</v>
      </c>
      <c r="V251" s="2" t="s">
        <v>66</v>
      </c>
      <c r="Y251" s="2" t="s">
        <v>5</v>
      </c>
      <c r="Z251" s="2">
        <v>2024</v>
      </c>
      <c r="AA251" s="1">
        <f t="shared" ref="AA251:AA262" si="279">D251+H251+F251</f>
        <v>20699</v>
      </c>
      <c r="AB251" s="11">
        <f t="shared" ref="AB251:AB262" si="280">E251+I251+G251</f>
        <v>1308484</v>
      </c>
      <c r="AC251" s="1">
        <f t="shared" ref="AC251:AC262" si="281">+J251</f>
        <v>178077</v>
      </c>
      <c r="AD251" s="11">
        <f t="shared" ref="AD251:AD262" si="282">+K251</f>
        <v>13616238</v>
      </c>
      <c r="AE251" s="8">
        <f t="shared" ref="AE251:AE262" si="283">+L251</f>
        <v>1320</v>
      </c>
      <c r="AF251" s="11">
        <f t="shared" ref="AF251:AF262" si="284">+M251</f>
        <v>161750</v>
      </c>
      <c r="AG251" s="8">
        <f t="shared" ref="AG251:AG262" si="285">+N251</f>
        <v>23960</v>
      </c>
      <c r="AH251" s="11">
        <f t="shared" ref="AH251:AH262" si="286">+O251</f>
        <v>1892445</v>
      </c>
      <c r="AI251" s="8">
        <f t="shared" ref="AI251:AI262" si="287">+P251</f>
        <v>15</v>
      </c>
      <c r="AJ251" s="11">
        <f t="shared" ref="AJ251:AJ262" si="288">+Q251</f>
        <v>2228</v>
      </c>
      <c r="AK251" s="11">
        <f t="shared" ref="AK251:AK262" si="289">+R251</f>
        <v>415</v>
      </c>
      <c r="AL251" s="11">
        <f t="shared" ref="AL251:AL262" si="290">+S251</f>
        <v>21094</v>
      </c>
      <c r="AM251" s="8">
        <f>AI251+AG251+AE251+AC251+AA251+AK251</f>
        <v>224486</v>
      </c>
      <c r="AN251" s="11">
        <f t="shared" ref="AN251:AN262" si="291">AJ251+AH251+AF251+AD251+AB251+AL251</f>
        <v>17002239</v>
      </c>
      <c r="AO251" s="2" t="str">
        <f t="shared" ref="AO251:AO262" si="292">+V251</f>
        <v>LERMA</v>
      </c>
      <c r="AP251" s="37">
        <f t="shared" ref="AP251:AP262" si="293">+AM251-T251</f>
        <v>0</v>
      </c>
      <c r="AQ251" s="37">
        <f t="shared" ref="AQ251:AQ262" si="294">+AN251-U251</f>
        <v>0</v>
      </c>
    </row>
    <row r="252" spans="1:43" x14ac:dyDescent="0.25">
      <c r="B252" s="2" t="s">
        <v>6</v>
      </c>
      <c r="C252" s="2">
        <v>2024</v>
      </c>
      <c r="D252" s="1">
        <v>14596</v>
      </c>
      <c r="E252" s="11">
        <v>935018</v>
      </c>
      <c r="F252" s="1">
        <v>5340</v>
      </c>
      <c r="G252" s="11">
        <v>349801</v>
      </c>
      <c r="H252" s="1">
        <v>1856</v>
      </c>
      <c r="I252" s="11">
        <v>160357</v>
      </c>
      <c r="J252" s="1">
        <v>178293</v>
      </c>
      <c r="K252" s="11">
        <v>14091834</v>
      </c>
      <c r="L252" s="1">
        <v>1330</v>
      </c>
      <c r="M252" s="11">
        <v>154589</v>
      </c>
      <c r="N252" s="1">
        <v>22610</v>
      </c>
      <c r="O252" s="11">
        <v>1844387</v>
      </c>
      <c r="P252" s="8">
        <v>2</v>
      </c>
      <c r="Q252" s="11">
        <v>248</v>
      </c>
      <c r="R252" s="8">
        <v>333</v>
      </c>
      <c r="S252" s="11">
        <v>21991</v>
      </c>
      <c r="T252" s="53">
        <f t="shared" ref="T252:T262" si="295">N252+L252+J252+H252+D252+P252+F252+R252</f>
        <v>224360</v>
      </c>
      <c r="U252" s="54">
        <f t="shared" si="278"/>
        <v>17558225</v>
      </c>
      <c r="V252" s="2" t="s">
        <v>66</v>
      </c>
      <c r="Y252" s="2" t="s">
        <v>6</v>
      </c>
      <c r="Z252" s="2">
        <v>2024</v>
      </c>
      <c r="AA252" s="1">
        <f t="shared" si="279"/>
        <v>21792</v>
      </c>
      <c r="AB252" s="11">
        <f t="shared" si="280"/>
        <v>1445176</v>
      </c>
      <c r="AC252" s="1">
        <f t="shared" si="281"/>
        <v>178293</v>
      </c>
      <c r="AD252" s="11">
        <f t="shared" si="282"/>
        <v>14091834</v>
      </c>
      <c r="AE252" s="8">
        <f t="shared" si="283"/>
        <v>1330</v>
      </c>
      <c r="AF252" s="11">
        <f t="shared" si="284"/>
        <v>154589</v>
      </c>
      <c r="AG252" s="8">
        <f t="shared" si="285"/>
        <v>22610</v>
      </c>
      <c r="AH252" s="11">
        <f t="shared" si="286"/>
        <v>1844387</v>
      </c>
      <c r="AI252" s="8">
        <f t="shared" si="287"/>
        <v>2</v>
      </c>
      <c r="AJ252" s="11">
        <f t="shared" si="288"/>
        <v>248</v>
      </c>
      <c r="AK252" s="11">
        <f t="shared" si="289"/>
        <v>333</v>
      </c>
      <c r="AL252" s="11">
        <f t="shared" si="290"/>
        <v>21991</v>
      </c>
      <c r="AM252" s="8">
        <f t="shared" ref="AM252:AM262" si="296">AI252+AG252+AE252+AC252+AA252+AK252</f>
        <v>224360</v>
      </c>
      <c r="AN252" s="11">
        <f t="shared" si="291"/>
        <v>17558225</v>
      </c>
      <c r="AO252" s="2" t="str">
        <f t="shared" si="292"/>
        <v>LERMA</v>
      </c>
      <c r="AP252" s="37">
        <f t="shared" si="293"/>
        <v>0</v>
      </c>
      <c r="AQ252" s="37">
        <f t="shared" si="294"/>
        <v>0</v>
      </c>
    </row>
    <row r="253" spans="1:43" x14ac:dyDescent="0.25">
      <c r="B253" s="2" t="s">
        <v>7</v>
      </c>
      <c r="C253" s="2">
        <v>2024</v>
      </c>
      <c r="D253" s="1">
        <v>16664</v>
      </c>
      <c r="E253" s="11">
        <v>1027675</v>
      </c>
      <c r="F253" s="1">
        <v>6128</v>
      </c>
      <c r="G253" s="11">
        <v>400138</v>
      </c>
      <c r="H253" s="1">
        <v>2111</v>
      </c>
      <c r="I253" s="11">
        <v>194232</v>
      </c>
      <c r="J253" s="1">
        <v>194361</v>
      </c>
      <c r="K253" s="11">
        <v>15296758</v>
      </c>
      <c r="L253" s="1">
        <v>1203</v>
      </c>
      <c r="M253" s="11">
        <v>139837</v>
      </c>
      <c r="N253" s="1">
        <v>24999</v>
      </c>
      <c r="O253" s="11">
        <v>2113642</v>
      </c>
      <c r="P253" s="8">
        <v>6</v>
      </c>
      <c r="Q253" s="11">
        <v>994</v>
      </c>
      <c r="R253" s="8">
        <v>503</v>
      </c>
      <c r="S253" s="11">
        <v>34111</v>
      </c>
      <c r="T253" s="53">
        <f t="shared" si="295"/>
        <v>245975</v>
      </c>
      <c r="U253" s="54">
        <f t="shared" si="278"/>
        <v>19207387</v>
      </c>
      <c r="V253" s="2" t="s">
        <v>66</v>
      </c>
      <c r="X253" s="13"/>
      <c r="Y253" s="2" t="s">
        <v>7</v>
      </c>
      <c r="Z253" s="2">
        <v>2024</v>
      </c>
      <c r="AA253" s="1">
        <f t="shared" si="279"/>
        <v>24903</v>
      </c>
      <c r="AB253" s="11">
        <f t="shared" si="280"/>
        <v>1622045</v>
      </c>
      <c r="AC253" s="1">
        <f t="shared" si="281"/>
        <v>194361</v>
      </c>
      <c r="AD253" s="11">
        <f t="shared" si="282"/>
        <v>15296758</v>
      </c>
      <c r="AE253" s="8">
        <f t="shared" si="283"/>
        <v>1203</v>
      </c>
      <c r="AF253" s="11">
        <f t="shared" si="284"/>
        <v>139837</v>
      </c>
      <c r="AG253" s="8">
        <f t="shared" si="285"/>
        <v>24999</v>
      </c>
      <c r="AH253" s="11">
        <f t="shared" si="286"/>
        <v>2113642</v>
      </c>
      <c r="AI253" s="8">
        <f t="shared" si="287"/>
        <v>6</v>
      </c>
      <c r="AJ253" s="11">
        <f t="shared" si="288"/>
        <v>994</v>
      </c>
      <c r="AK253" s="11">
        <f t="shared" si="289"/>
        <v>503</v>
      </c>
      <c r="AL253" s="11">
        <f t="shared" si="290"/>
        <v>34111</v>
      </c>
      <c r="AM253" s="8">
        <f t="shared" si="296"/>
        <v>245975</v>
      </c>
      <c r="AN253" s="11">
        <f t="shared" si="291"/>
        <v>19207387</v>
      </c>
      <c r="AO253" s="2" t="str">
        <f t="shared" si="292"/>
        <v>LERMA</v>
      </c>
      <c r="AP253" s="37">
        <f t="shared" si="293"/>
        <v>0</v>
      </c>
      <c r="AQ253" s="37">
        <f t="shared" si="294"/>
        <v>0</v>
      </c>
    </row>
    <row r="254" spans="1:43" x14ac:dyDescent="0.25">
      <c r="B254" s="2" t="s">
        <v>8</v>
      </c>
      <c r="C254" s="2">
        <v>2024</v>
      </c>
      <c r="D254" s="1">
        <v>15114</v>
      </c>
      <c r="E254" s="11">
        <v>955816</v>
      </c>
      <c r="F254" s="1">
        <v>6276</v>
      </c>
      <c r="G254" s="11">
        <v>413976</v>
      </c>
      <c r="H254" s="1">
        <v>1992</v>
      </c>
      <c r="I254" s="11">
        <v>182583</v>
      </c>
      <c r="J254" s="1">
        <v>187822</v>
      </c>
      <c r="K254" s="11">
        <v>15185825</v>
      </c>
      <c r="L254" s="1">
        <v>1219</v>
      </c>
      <c r="M254" s="11">
        <v>140731</v>
      </c>
      <c r="N254" s="1">
        <v>22746</v>
      </c>
      <c r="O254" s="11">
        <v>1902984</v>
      </c>
      <c r="P254" s="8">
        <v>2</v>
      </c>
      <c r="Q254" s="11">
        <v>201</v>
      </c>
      <c r="R254" s="8">
        <v>650</v>
      </c>
      <c r="S254" s="11">
        <v>41127</v>
      </c>
      <c r="T254" s="53">
        <f t="shared" si="295"/>
        <v>235821</v>
      </c>
      <c r="U254" s="54">
        <f t="shared" si="278"/>
        <v>18823243</v>
      </c>
      <c r="V254" s="2" t="s">
        <v>66</v>
      </c>
      <c r="X254" s="13"/>
      <c r="Y254" s="2" t="s">
        <v>8</v>
      </c>
      <c r="Z254" s="2">
        <v>2024</v>
      </c>
      <c r="AA254" s="1">
        <f t="shared" si="279"/>
        <v>23382</v>
      </c>
      <c r="AB254" s="11">
        <f t="shared" si="280"/>
        <v>1552375</v>
      </c>
      <c r="AC254" s="1">
        <f t="shared" si="281"/>
        <v>187822</v>
      </c>
      <c r="AD254" s="11">
        <f t="shared" si="282"/>
        <v>15185825</v>
      </c>
      <c r="AE254" s="8">
        <f t="shared" si="283"/>
        <v>1219</v>
      </c>
      <c r="AF254" s="11">
        <f t="shared" si="284"/>
        <v>140731</v>
      </c>
      <c r="AG254" s="8">
        <f t="shared" si="285"/>
        <v>22746</v>
      </c>
      <c r="AH254" s="11">
        <f t="shared" si="286"/>
        <v>1902984</v>
      </c>
      <c r="AI254" s="8">
        <f t="shared" si="287"/>
        <v>2</v>
      </c>
      <c r="AJ254" s="11">
        <f t="shared" si="288"/>
        <v>201</v>
      </c>
      <c r="AK254" s="11">
        <f t="shared" si="289"/>
        <v>650</v>
      </c>
      <c r="AL254" s="11">
        <f t="shared" si="290"/>
        <v>41127</v>
      </c>
      <c r="AM254" s="8">
        <f t="shared" si="296"/>
        <v>235821</v>
      </c>
      <c r="AN254" s="11">
        <f t="shared" si="291"/>
        <v>18823243</v>
      </c>
      <c r="AO254" s="2" t="str">
        <f t="shared" si="292"/>
        <v>LERMA</v>
      </c>
      <c r="AP254" s="37">
        <f t="shared" si="293"/>
        <v>0</v>
      </c>
      <c r="AQ254" s="37">
        <f t="shared" si="294"/>
        <v>0</v>
      </c>
    </row>
    <row r="255" spans="1:43" x14ac:dyDescent="0.25">
      <c r="B255" s="2" t="s">
        <v>9</v>
      </c>
      <c r="C255" s="2">
        <v>2024</v>
      </c>
      <c r="D255" s="1">
        <v>15174</v>
      </c>
      <c r="E255" s="11">
        <v>951002</v>
      </c>
      <c r="F255" s="1">
        <v>6149</v>
      </c>
      <c r="G255" s="11">
        <v>423994</v>
      </c>
      <c r="H255" s="1">
        <v>2314</v>
      </c>
      <c r="I255" s="11">
        <v>213192</v>
      </c>
      <c r="J255" s="1">
        <v>193973</v>
      </c>
      <c r="K255" s="11">
        <v>15634673</v>
      </c>
      <c r="L255" s="1">
        <v>1219</v>
      </c>
      <c r="M255" s="11">
        <v>145398</v>
      </c>
      <c r="N255" s="1">
        <v>24531</v>
      </c>
      <c r="O255" s="11">
        <v>2091309</v>
      </c>
      <c r="P255" s="8">
        <v>2</v>
      </c>
      <c r="Q255" s="11">
        <v>201</v>
      </c>
      <c r="R255" s="8">
        <v>880</v>
      </c>
      <c r="S255" s="11">
        <v>53923</v>
      </c>
      <c r="T255" s="53">
        <f t="shared" si="295"/>
        <v>244242</v>
      </c>
      <c r="U255" s="54">
        <f t="shared" si="278"/>
        <v>19513692</v>
      </c>
      <c r="V255" s="2" t="s">
        <v>66</v>
      </c>
      <c r="X255" s="13"/>
      <c r="Y255" s="2" t="s">
        <v>9</v>
      </c>
      <c r="Z255" s="2">
        <v>2024</v>
      </c>
      <c r="AA255" s="1">
        <f t="shared" si="279"/>
        <v>23637</v>
      </c>
      <c r="AB255" s="11">
        <f t="shared" si="280"/>
        <v>1588188</v>
      </c>
      <c r="AC255" s="1">
        <f t="shared" si="281"/>
        <v>193973</v>
      </c>
      <c r="AD255" s="11">
        <f t="shared" si="282"/>
        <v>15634673</v>
      </c>
      <c r="AE255" s="8">
        <f t="shared" si="283"/>
        <v>1219</v>
      </c>
      <c r="AF255" s="11">
        <f t="shared" si="284"/>
        <v>145398</v>
      </c>
      <c r="AG255" s="8">
        <f t="shared" si="285"/>
        <v>24531</v>
      </c>
      <c r="AH255" s="11">
        <f t="shared" si="286"/>
        <v>2091309</v>
      </c>
      <c r="AI255" s="8">
        <f t="shared" si="287"/>
        <v>2</v>
      </c>
      <c r="AJ255" s="11">
        <f t="shared" si="288"/>
        <v>201</v>
      </c>
      <c r="AK255" s="11">
        <f t="shared" si="289"/>
        <v>880</v>
      </c>
      <c r="AL255" s="11">
        <f t="shared" si="290"/>
        <v>53923</v>
      </c>
      <c r="AM255" s="8">
        <f t="shared" si="296"/>
        <v>244242</v>
      </c>
      <c r="AN255" s="11">
        <f t="shared" si="291"/>
        <v>19513692</v>
      </c>
      <c r="AO255" s="2" t="str">
        <f t="shared" si="292"/>
        <v>LERMA</v>
      </c>
      <c r="AP255" s="37">
        <f t="shared" si="293"/>
        <v>0</v>
      </c>
      <c r="AQ255" s="37">
        <f t="shared" si="294"/>
        <v>0</v>
      </c>
    </row>
    <row r="256" spans="1:43" x14ac:dyDescent="0.25">
      <c r="B256" s="2" t="s">
        <v>10</v>
      </c>
      <c r="C256" s="2">
        <v>2024</v>
      </c>
      <c r="D256" s="1">
        <v>14386</v>
      </c>
      <c r="E256" s="11">
        <v>894704</v>
      </c>
      <c r="F256" s="1">
        <v>5993</v>
      </c>
      <c r="G256" s="11">
        <v>402767</v>
      </c>
      <c r="H256" s="1">
        <v>2010</v>
      </c>
      <c r="I256" s="11">
        <v>182286</v>
      </c>
      <c r="J256" s="1">
        <v>185412</v>
      </c>
      <c r="K256" s="11">
        <v>15032847</v>
      </c>
      <c r="L256" s="1">
        <v>1025</v>
      </c>
      <c r="M256" s="11">
        <v>131163</v>
      </c>
      <c r="N256" s="1">
        <v>23205</v>
      </c>
      <c r="O256" s="11">
        <v>1941311</v>
      </c>
      <c r="P256" s="8">
        <v>0</v>
      </c>
      <c r="Q256" s="11">
        <v>0</v>
      </c>
      <c r="R256" s="8">
        <v>828</v>
      </c>
      <c r="S256" s="11">
        <v>50541</v>
      </c>
      <c r="T256" s="53">
        <f t="shared" si="295"/>
        <v>232859</v>
      </c>
      <c r="U256" s="54">
        <f t="shared" si="278"/>
        <v>18635619</v>
      </c>
      <c r="V256" s="2" t="s">
        <v>66</v>
      </c>
      <c r="Y256" s="2" t="s">
        <v>10</v>
      </c>
      <c r="Z256" s="2">
        <v>2024</v>
      </c>
      <c r="AA256" s="1">
        <f t="shared" si="279"/>
        <v>22389</v>
      </c>
      <c r="AB256" s="11">
        <f t="shared" si="280"/>
        <v>1479757</v>
      </c>
      <c r="AC256" s="1">
        <f t="shared" si="281"/>
        <v>185412</v>
      </c>
      <c r="AD256" s="11">
        <f t="shared" si="282"/>
        <v>15032847</v>
      </c>
      <c r="AE256" s="8">
        <f t="shared" si="283"/>
        <v>1025</v>
      </c>
      <c r="AF256" s="11">
        <f t="shared" si="284"/>
        <v>131163</v>
      </c>
      <c r="AG256" s="8">
        <f t="shared" si="285"/>
        <v>23205</v>
      </c>
      <c r="AH256" s="11">
        <f t="shared" si="286"/>
        <v>1941311</v>
      </c>
      <c r="AI256" s="8">
        <f t="shared" si="287"/>
        <v>0</v>
      </c>
      <c r="AJ256" s="11">
        <f t="shared" si="288"/>
        <v>0</v>
      </c>
      <c r="AK256" s="11">
        <f t="shared" si="289"/>
        <v>828</v>
      </c>
      <c r="AL256" s="11">
        <f t="shared" si="290"/>
        <v>50541</v>
      </c>
      <c r="AM256" s="8">
        <f t="shared" si="296"/>
        <v>232859</v>
      </c>
      <c r="AN256" s="11">
        <f t="shared" si="291"/>
        <v>18635619</v>
      </c>
      <c r="AO256" s="2" t="str">
        <f t="shared" si="292"/>
        <v>LERMA</v>
      </c>
      <c r="AP256" s="37">
        <f t="shared" si="293"/>
        <v>0</v>
      </c>
      <c r="AQ256" s="37">
        <f t="shared" si="294"/>
        <v>0</v>
      </c>
    </row>
    <row r="257" spans="1:43" x14ac:dyDescent="0.25">
      <c r="B257" s="2" t="s">
        <v>11</v>
      </c>
      <c r="C257" s="2">
        <v>2024</v>
      </c>
      <c r="D257" s="1">
        <v>15617</v>
      </c>
      <c r="E257" s="11">
        <v>985769</v>
      </c>
      <c r="F257" s="1">
        <v>6687</v>
      </c>
      <c r="G257" s="11">
        <v>446242</v>
      </c>
      <c r="H257" s="1">
        <v>2296</v>
      </c>
      <c r="I257" s="11">
        <v>199347</v>
      </c>
      <c r="J257" s="1">
        <v>199497</v>
      </c>
      <c r="K257" s="11">
        <v>15951933</v>
      </c>
      <c r="L257" s="1">
        <v>1296</v>
      </c>
      <c r="M257" s="11">
        <v>158222</v>
      </c>
      <c r="N257" s="1">
        <v>23892</v>
      </c>
      <c r="O257" s="11">
        <v>2001645</v>
      </c>
      <c r="P257" s="8">
        <v>0</v>
      </c>
      <c r="Q257" s="11">
        <v>0</v>
      </c>
      <c r="R257" s="8">
        <v>930</v>
      </c>
      <c r="S257" s="11">
        <v>56355</v>
      </c>
      <c r="T257" s="53">
        <f t="shared" si="295"/>
        <v>250215</v>
      </c>
      <c r="U257" s="54">
        <f t="shared" si="278"/>
        <v>19799513</v>
      </c>
      <c r="V257" s="2" t="s">
        <v>66</v>
      </c>
      <c r="Y257" s="2" t="s">
        <v>11</v>
      </c>
      <c r="Z257" s="2">
        <v>2024</v>
      </c>
      <c r="AA257" s="1">
        <f t="shared" si="279"/>
        <v>24600</v>
      </c>
      <c r="AB257" s="11">
        <f t="shared" si="280"/>
        <v>1631358</v>
      </c>
      <c r="AC257" s="1">
        <f t="shared" si="281"/>
        <v>199497</v>
      </c>
      <c r="AD257" s="11">
        <f t="shared" si="282"/>
        <v>15951933</v>
      </c>
      <c r="AE257" s="8">
        <f t="shared" si="283"/>
        <v>1296</v>
      </c>
      <c r="AF257" s="11">
        <f t="shared" si="284"/>
        <v>158222</v>
      </c>
      <c r="AG257" s="8">
        <f t="shared" si="285"/>
        <v>23892</v>
      </c>
      <c r="AH257" s="11">
        <f t="shared" si="286"/>
        <v>2001645</v>
      </c>
      <c r="AI257" s="8">
        <f t="shared" si="287"/>
        <v>0</v>
      </c>
      <c r="AJ257" s="11">
        <f t="shared" si="288"/>
        <v>0</v>
      </c>
      <c r="AK257" s="11">
        <f t="shared" si="289"/>
        <v>930</v>
      </c>
      <c r="AL257" s="11">
        <f t="shared" si="290"/>
        <v>56355</v>
      </c>
      <c r="AM257" s="8">
        <f t="shared" si="296"/>
        <v>250215</v>
      </c>
      <c r="AN257" s="11">
        <f t="shared" si="291"/>
        <v>19799513</v>
      </c>
      <c r="AO257" s="2" t="str">
        <f t="shared" si="292"/>
        <v>LERMA</v>
      </c>
      <c r="AP257" s="37">
        <f t="shared" si="293"/>
        <v>0</v>
      </c>
      <c r="AQ257" s="37">
        <f t="shared" si="294"/>
        <v>0</v>
      </c>
    </row>
    <row r="258" spans="1:43" x14ac:dyDescent="0.25">
      <c r="B258" s="2" t="s">
        <v>4</v>
      </c>
      <c r="C258" s="2">
        <v>2024</v>
      </c>
      <c r="D258" s="1">
        <v>15339</v>
      </c>
      <c r="E258" s="11">
        <v>962061</v>
      </c>
      <c r="F258" s="1">
        <v>6630</v>
      </c>
      <c r="G258" s="11">
        <v>454469</v>
      </c>
      <c r="H258" s="1">
        <v>2627</v>
      </c>
      <c r="I258" s="11">
        <v>231290</v>
      </c>
      <c r="J258" s="1">
        <v>203846</v>
      </c>
      <c r="K258" s="11">
        <v>16383233</v>
      </c>
      <c r="L258" s="1">
        <v>1193</v>
      </c>
      <c r="M258" s="11">
        <v>147684</v>
      </c>
      <c r="N258" s="1">
        <v>24889</v>
      </c>
      <c r="O258" s="11">
        <v>2070513</v>
      </c>
      <c r="P258" s="8">
        <v>0</v>
      </c>
      <c r="Q258" s="11">
        <v>0</v>
      </c>
      <c r="R258" s="8">
        <v>1003</v>
      </c>
      <c r="S258" s="11">
        <v>66491</v>
      </c>
      <c r="T258" s="53">
        <f t="shared" si="295"/>
        <v>255527</v>
      </c>
      <c r="U258" s="54">
        <f t="shared" si="278"/>
        <v>20315741</v>
      </c>
      <c r="V258" s="2" t="s">
        <v>66</v>
      </c>
      <c r="Y258" s="2" t="s">
        <v>4</v>
      </c>
      <c r="Z258" s="2">
        <v>2024</v>
      </c>
      <c r="AA258" s="1">
        <f t="shared" si="279"/>
        <v>24596</v>
      </c>
      <c r="AB258" s="11">
        <f t="shared" si="280"/>
        <v>1647820</v>
      </c>
      <c r="AC258" s="1">
        <f t="shared" si="281"/>
        <v>203846</v>
      </c>
      <c r="AD258" s="11">
        <f t="shared" si="282"/>
        <v>16383233</v>
      </c>
      <c r="AE258" s="8">
        <f t="shared" si="283"/>
        <v>1193</v>
      </c>
      <c r="AF258" s="11">
        <f t="shared" si="284"/>
        <v>147684</v>
      </c>
      <c r="AG258" s="8">
        <f t="shared" si="285"/>
        <v>24889</v>
      </c>
      <c r="AH258" s="11">
        <f t="shared" si="286"/>
        <v>2070513</v>
      </c>
      <c r="AI258" s="8">
        <f t="shared" si="287"/>
        <v>0</v>
      </c>
      <c r="AJ258" s="11">
        <f t="shared" si="288"/>
        <v>0</v>
      </c>
      <c r="AK258" s="11">
        <f t="shared" si="289"/>
        <v>1003</v>
      </c>
      <c r="AL258" s="11">
        <f t="shared" si="290"/>
        <v>66491</v>
      </c>
      <c r="AM258" s="8">
        <f t="shared" si="296"/>
        <v>255527</v>
      </c>
      <c r="AN258" s="11">
        <f t="shared" si="291"/>
        <v>20315741</v>
      </c>
      <c r="AO258" s="2" t="str">
        <f t="shared" si="292"/>
        <v>LERMA</v>
      </c>
      <c r="AP258" s="37">
        <f t="shared" si="293"/>
        <v>0</v>
      </c>
      <c r="AQ258" s="37">
        <f t="shared" si="294"/>
        <v>0</v>
      </c>
    </row>
    <row r="259" spans="1:43" x14ac:dyDescent="0.25">
      <c r="B259" s="2" t="s">
        <v>28</v>
      </c>
      <c r="C259" s="2">
        <v>2024</v>
      </c>
      <c r="D259" s="1">
        <v>14686</v>
      </c>
      <c r="E259" s="11">
        <v>921169</v>
      </c>
      <c r="F259" s="1">
        <v>6275</v>
      </c>
      <c r="G259" s="11">
        <v>433443</v>
      </c>
      <c r="H259" s="1">
        <v>2319</v>
      </c>
      <c r="I259" s="11">
        <v>204400</v>
      </c>
      <c r="J259" s="1">
        <v>194170</v>
      </c>
      <c r="K259" s="11">
        <v>15369452</v>
      </c>
      <c r="L259" s="1">
        <v>1070</v>
      </c>
      <c r="M259" s="11">
        <v>134424</v>
      </c>
      <c r="N259" s="1">
        <v>23769</v>
      </c>
      <c r="O259" s="11">
        <v>1966755</v>
      </c>
      <c r="P259" s="8">
        <v>0</v>
      </c>
      <c r="Q259" s="11">
        <v>0</v>
      </c>
      <c r="R259" s="8">
        <v>992</v>
      </c>
      <c r="S259" s="11">
        <v>57214</v>
      </c>
      <c r="T259" s="53">
        <f t="shared" si="295"/>
        <v>243281</v>
      </c>
      <c r="U259" s="54">
        <f t="shared" si="278"/>
        <v>19086857</v>
      </c>
      <c r="V259" s="2" t="s">
        <v>66</v>
      </c>
      <c r="Y259" s="2" t="s">
        <v>28</v>
      </c>
      <c r="Z259" s="2">
        <v>2024</v>
      </c>
      <c r="AA259" s="1">
        <f t="shared" si="279"/>
        <v>23280</v>
      </c>
      <c r="AB259" s="11">
        <f t="shared" si="280"/>
        <v>1559012</v>
      </c>
      <c r="AC259" s="1">
        <f t="shared" si="281"/>
        <v>194170</v>
      </c>
      <c r="AD259" s="11">
        <f t="shared" si="282"/>
        <v>15369452</v>
      </c>
      <c r="AE259" s="8">
        <f t="shared" si="283"/>
        <v>1070</v>
      </c>
      <c r="AF259" s="11">
        <f t="shared" si="284"/>
        <v>134424</v>
      </c>
      <c r="AG259" s="8">
        <f t="shared" si="285"/>
        <v>23769</v>
      </c>
      <c r="AH259" s="11">
        <f t="shared" si="286"/>
        <v>1966755</v>
      </c>
      <c r="AI259" s="8">
        <f t="shared" si="287"/>
        <v>0</v>
      </c>
      <c r="AJ259" s="11">
        <f t="shared" si="288"/>
        <v>0</v>
      </c>
      <c r="AK259" s="11">
        <f t="shared" si="289"/>
        <v>992</v>
      </c>
      <c r="AL259" s="11">
        <f t="shared" si="290"/>
        <v>57214</v>
      </c>
      <c r="AM259" s="8">
        <f t="shared" si="296"/>
        <v>243281</v>
      </c>
      <c r="AN259" s="11">
        <f t="shared" si="291"/>
        <v>19086857</v>
      </c>
      <c r="AO259" s="2" t="str">
        <f t="shared" si="292"/>
        <v>LERMA</v>
      </c>
      <c r="AP259" s="37">
        <f t="shared" si="293"/>
        <v>0</v>
      </c>
      <c r="AQ259" s="37">
        <f t="shared" si="294"/>
        <v>0</v>
      </c>
    </row>
    <row r="260" spans="1:43" x14ac:dyDescent="0.25">
      <c r="B260" s="2" t="s">
        <v>29</v>
      </c>
      <c r="C260" s="2">
        <v>2024</v>
      </c>
      <c r="D260" s="1">
        <v>15652</v>
      </c>
      <c r="E260" s="11">
        <v>1000693</v>
      </c>
      <c r="F260" s="1">
        <v>6461</v>
      </c>
      <c r="G260" s="11">
        <v>465075</v>
      </c>
      <c r="H260" s="1">
        <v>2756</v>
      </c>
      <c r="I260" s="11">
        <v>246028</v>
      </c>
      <c r="J260" s="1">
        <v>206485</v>
      </c>
      <c r="K260" s="11">
        <v>16536739</v>
      </c>
      <c r="L260" s="1">
        <v>1354</v>
      </c>
      <c r="M260" s="11">
        <v>182818</v>
      </c>
      <c r="N260" s="1">
        <v>25594</v>
      </c>
      <c r="O260" s="11">
        <v>2143088</v>
      </c>
      <c r="P260" s="8">
        <v>4</v>
      </c>
      <c r="Q260" s="11">
        <v>430</v>
      </c>
      <c r="R260" s="8">
        <v>1143</v>
      </c>
      <c r="S260" s="11">
        <v>64906</v>
      </c>
      <c r="T260" s="53">
        <f t="shared" si="295"/>
        <v>259449</v>
      </c>
      <c r="U260" s="54">
        <f t="shared" si="278"/>
        <v>20639777</v>
      </c>
      <c r="V260" s="2" t="s">
        <v>66</v>
      </c>
      <c r="Y260" s="2" t="s">
        <v>29</v>
      </c>
      <c r="Z260" s="2">
        <v>2024</v>
      </c>
      <c r="AA260" s="1">
        <f t="shared" si="279"/>
        <v>24869</v>
      </c>
      <c r="AB260" s="11">
        <f t="shared" si="280"/>
        <v>1711796</v>
      </c>
      <c r="AC260" s="1">
        <f t="shared" si="281"/>
        <v>206485</v>
      </c>
      <c r="AD260" s="11">
        <f t="shared" si="282"/>
        <v>16536739</v>
      </c>
      <c r="AE260" s="8">
        <f t="shared" si="283"/>
        <v>1354</v>
      </c>
      <c r="AF260" s="11">
        <f t="shared" si="284"/>
        <v>182818</v>
      </c>
      <c r="AG260" s="8">
        <f t="shared" si="285"/>
        <v>25594</v>
      </c>
      <c r="AH260" s="11">
        <f t="shared" si="286"/>
        <v>2143088</v>
      </c>
      <c r="AI260" s="8">
        <f t="shared" si="287"/>
        <v>4</v>
      </c>
      <c r="AJ260" s="11">
        <f t="shared" si="288"/>
        <v>430</v>
      </c>
      <c r="AK260" s="11">
        <f t="shared" si="289"/>
        <v>1143</v>
      </c>
      <c r="AL260" s="11">
        <f t="shared" si="290"/>
        <v>64906</v>
      </c>
      <c r="AM260" s="8">
        <f t="shared" si="296"/>
        <v>259449</v>
      </c>
      <c r="AN260" s="11">
        <f t="shared" si="291"/>
        <v>20639777</v>
      </c>
      <c r="AO260" s="2" t="str">
        <f t="shared" si="292"/>
        <v>LERMA</v>
      </c>
      <c r="AP260" s="37">
        <f t="shared" si="293"/>
        <v>0</v>
      </c>
      <c r="AQ260" s="37">
        <f t="shared" si="294"/>
        <v>0</v>
      </c>
    </row>
    <row r="261" spans="1:43" x14ac:dyDescent="0.25">
      <c r="B261" s="2" t="s">
        <v>30</v>
      </c>
      <c r="C261" s="2">
        <v>2024</v>
      </c>
      <c r="D261" s="1">
        <v>17392</v>
      </c>
      <c r="E261" s="11">
        <v>1104338</v>
      </c>
      <c r="F261" s="1">
        <v>6648</v>
      </c>
      <c r="G261" s="11">
        <v>468693</v>
      </c>
      <c r="H261" s="1">
        <v>2483</v>
      </c>
      <c r="I261" s="11">
        <v>210806</v>
      </c>
      <c r="J261" s="1">
        <v>210512</v>
      </c>
      <c r="K261" s="11">
        <v>16428720</v>
      </c>
      <c r="L261" s="1">
        <v>1373</v>
      </c>
      <c r="M261" s="11">
        <v>182455</v>
      </c>
      <c r="N261" s="1">
        <v>25331</v>
      </c>
      <c r="O261" s="11">
        <v>2087832</v>
      </c>
      <c r="P261" s="8">
        <v>5</v>
      </c>
      <c r="Q261" s="11">
        <v>866</v>
      </c>
      <c r="R261" s="8">
        <v>1254</v>
      </c>
      <c r="S261" s="11">
        <v>69520</v>
      </c>
      <c r="T261" s="53">
        <f t="shared" si="295"/>
        <v>264998</v>
      </c>
      <c r="U261" s="54">
        <f t="shared" si="278"/>
        <v>20553230</v>
      </c>
      <c r="V261" s="2" t="s">
        <v>66</v>
      </c>
      <c r="Y261" s="2" t="s">
        <v>30</v>
      </c>
      <c r="Z261" s="2">
        <v>2024</v>
      </c>
      <c r="AA261" s="1">
        <f t="shared" si="279"/>
        <v>26523</v>
      </c>
      <c r="AB261" s="11">
        <f t="shared" si="280"/>
        <v>1783837</v>
      </c>
      <c r="AC261" s="1">
        <f t="shared" si="281"/>
        <v>210512</v>
      </c>
      <c r="AD261" s="11">
        <f t="shared" si="282"/>
        <v>16428720</v>
      </c>
      <c r="AE261" s="8">
        <f t="shared" si="283"/>
        <v>1373</v>
      </c>
      <c r="AF261" s="11">
        <f t="shared" si="284"/>
        <v>182455</v>
      </c>
      <c r="AG261" s="8">
        <f t="shared" si="285"/>
        <v>25331</v>
      </c>
      <c r="AH261" s="11">
        <f t="shared" si="286"/>
        <v>2087832</v>
      </c>
      <c r="AI261" s="8">
        <f t="shared" si="287"/>
        <v>5</v>
      </c>
      <c r="AJ261" s="11">
        <f t="shared" si="288"/>
        <v>866</v>
      </c>
      <c r="AK261" s="11">
        <f t="shared" si="289"/>
        <v>1254</v>
      </c>
      <c r="AL261" s="11">
        <f t="shared" si="290"/>
        <v>69520</v>
      </c>
      <c r="AM261" s="79">
        <f t="shared" si="296"/>
        <v>264998</v>
      </c>
      <c r="AN261" s="80">
        <f t="shared" si="291"/>
        <v>20553230</v>
      </c>
      <c r="AO261" s="2" t="str">
        <f t="shared" si="292"/>
        <v>LERMA</v>
      </c>
      <c r="AP261" s="37">
        <f t="shared" si="293"/>
        <v>0</v>
      </c>
      <c r="AQ261" s="37">
        <f t="shared" si="294"/>
        <v>0</v>
      </c>
    </row>
    <row r="262" spans="1:43" x14ac:dyDescent="0.25">
      <c r="B262" s="2" t="s">
        <v>31</v>
      </c>
      <c r="C262" s="2">
        <v>2024</v>
      </c>
      <c r="D262" s="1">
        <v>15890</v>
      </c>
      <c r="E262" s="11">
        <v>975125</v>
      </c>
      <c r="F262" s="1">
        <v>5998</v>
      </c>
      <c r="G262" s="11">
        <v>415220</v>
      </c>
      <c r="H262" s="1">
        <v>2586</v>
      </c>
      <c r="I262" s="11">
        <v>228518</v>
      </c>
      <c r="J262" s="1">
        <v>211559</v>
      </c>
      <c r="K262" s="11">
        <v>16111829</v>
      </c>
      <c r="L262" s="1">
        <v>1378</v>
      </c>
      <c r="M262" s="11">
        <v>167059</v>
      </c>
      <c r="N262" s="1">
        <v>26458</v>
      </c>
      <c r="O262" s="11">
        <v>2141279</v>
      </c>
      <c r="P262" s="8">
        <v>0</v>
      </c>
      <c r="Q262" s="11">
        <v>0</v>
      </c>
      <c r="R262" s="8">
        <v>1525</v>
      </c>
      <c r="S262" s="11">
        <v>83082</v>
      </c>
      <c r="T262" s="53">
        <f t="shared" si="295"/>
        <v>265394</v>
      </c>
      <c r="U262" s="54">
        <f t="shared" si="278"/>
        <v>20122112</v>
      </c>
      <c r="V262" s="2" t="s">
        <v>66</v>
      </c>
      <c r="W262" s="13"/>
      <c r="Y262" s="2" t="s">
        <v>31</v>
      </c>
      <c r="Z262" s="2">
        <v>2024</v>
      </c>
      <c r="AA262" s="1">
        <f t="shared" si="279"/>
        <v>24474</v>
      </c>
      <c r="AB262" s="11">
        <f t="shared" si="280"/>
        <v>1618863</v>
      </c>
      <c r="AC262" s="1">
        <f t="shared" si="281"/>
        <v>211559</v>
      </c>
      <c r="AD262" s="11">
        <f t="shared" si="282"/>
        <v>16111829</v>
      </c>
      <c r="AE262" s="8">
        <f t="shared" si="283"/>
        <v>1378</v>
      </c>
      <c r="AF262" s="11">
        <f t="shared" si="284"/>
        <v>167059</v>
      </c>
      <c r="AG262" s="8">
        <f t="shared" si="285"/>
        <v>26458</v>
      </c>
      <c r="AH262" s="11">
        <f t="shared" si="286"/>
        <v>2141279</v>
      </c>
      <c r="AI262" s="8">
        <f t="shared" si="287"/>
        <v>0</v>
      </c>
      <c r="AJ262" s="11">
        <f t="shared" si="288"/>
        <v>0</v>
      </c>
      <c r="AK262" s="11">
        <f t="shared" si="289"/>
        <v>1525</v>
      </c>
      <c r="AL262" s="11">
        <f t="shared" si="290"/>
        <v>83082</v>
      </c>
      <c r="AM262" s="8">
        <f t="shared" si="296"/>
        <v>265394</v>
      </c>
      <c r="AN262" s="11">
        <f t="shared" si="291"/>
        <v>20122112</v>
      </c>
      <c r="AO262" s="2" t="str">
        <f t="shared" si="292"/>
        <v>LERMA</v>
      </c>
      <c r="AP262" s="37">
        <f t="shared" si="293"/>
        <v>0</v>
      </c>
      <c r="AQ262" s="37">
        <f t="shared" si="294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297">SUM(D251:D263)</f>
        <v>184240</v>
      </c>
      <c r="E264" s="12">
        <f t="shared" si="297"/>
        <v>11528879</v>
      </c>
      <c r="F264" s="4">
        <f t="shared" si="297"/>
        <v>73734</v>
      </c>
      <c r="G264" s="12">
        <f t="shared" si="297"/>
        <v>4995103</v>
      </c>
      <c r="H264" s="4">
        <f t="shared" si="297"/>
        <v>27170</v>
      </c>
      <c r="I264" s="12">
        <f t="shared" si="297"/>
        <v>2424729</v>
      </c>
      <c r="J264" s="4">
        <f t="shared" si="297"/>
        <v>2344007</v>
      </c>
      <c r="K264" s="12">
        <f t="shared" si="297"/>
        <v>185640081</v>
      </c>
      <c r="L264" s="4">
        <f t="shared" si="297"/>
        <v>14980</v>
      </c>
      <c r="M264" s="12">
        <f t="shared" si="297"/>
        <v>1846130</v>
      </c>
      <c r="N264" s="4">
        <f t="shared" si="297"/>
        <v>291984</v>
      </c>
      <c r="O264" s="12">
        <f t="shared" si="297"/>
        <v>24197190</v>
      </c>
      <c r="P264" s="4">
        <f>SUM(P251:P263)</f>
        <v>36</v>
      </c>
      <c r="Q264" s="12">
        <f>SUM(Q251:Q263)</f>
        <v>5168</v>
      </c>
      <c r="R264" s="4">
        <f>SUM(R251:R263)</f>
        <v>10456</v>
      </c>
      <c r="S264" s="12">
        <f>SUM(S251:S263)</f>
        <v>620355</v>
      </c>
      <c r="T264" s="4">
        <f t="shared" ref="T264:U264" si="298">SUM(T251:T263)</f>
        <v>2946607</v>
      </c>
      <c r="U264" s="12">
        <f t="shared" si="298"/>
        <v>231257635</v>
      </c>
      <c r="V264" s="2" t="s">
        <v>127</v>
      </c>
      <c r="Y264" s="3" t="s">
        <v>12</v>
      </c>
      <c r="Z264" s="3"/>
      <c r="AA264" s="4">
        <f t="shared" ref="AA264:AN264" si="299">SUM(AA251:AA263)</f>
        <v>285144</v>
      </c>
      <c r="AB264" s="12">
        <f t="shared" si="299"/>
        <v>18948711</v>
      </c>
      <c r="AC264" s="4">
        <f t="shared" si="299"/>
        <v>2344007</v>
      </c>
      <c r="AD264" s="12">
        <f t="shared" si="299"/>
        <v>185640081</v>
      </c>
      <c r="AE264" s="4">
        <f t="shared" si="299"/>
        <v>14980</v>
      </c>
      <c r="AF264" s="12">
        <f t="shared" si="299"/>
        <v>1846130</v>
      </c>
      <c r="AG264" s="4">
        <f t="shared" si="299"/>
        <v>291984</v>
      </c>
      <c r="AH264" s="12">
        <f t="shared" si="299"/>
        <v>24197190</v>
      </c>
      <c r="AI264" s="4">
        <f t="shared" si="299"/>
        <v>36</v>
      </c>
      <c r="AJ264" s="12">
        <f t="shared" si="299"/>
        <v>5168</v>
      </c>
      <c r="AK264" s="4">
        <f t="shared" si="299"/>
        <v>10456</v>
      </c>
      <c r="AL264" s="12">
        <f t="shared" si="299"/>
        <v>620355</v>
      </c>
      <c r="AM264" s="4">
        <f t="shared" si="299"/>
        <v>2946607</v>
      </c>
      <c r="AN264" s="12">
        <f t="shared" si="299"/>
        <v>231257635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1325</v>
      </c>
      <c r="M265" s="60">
        <f>AVERAGE(M251:M252)</f>
        <v>158169.5</v>
      </c>
      <c r="T265" s="15">
        <f t="shared" ref="T265:U265" si="300">AVERAGE(T251:T252)</f>
        <v>224423</v>
      </c>
      <c r="U265" s="28">
        <f t="shared" si="300"/>
        <v>17280232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1.028411317957614E-2</v>
      </c>
      <c r="M266" s="36">
        <f>+M265/$M$371</f>
        <v>7.7629326679960562E-3</v>
      </c>
      <c r="N266" s="18"/>
      <c r="O266" s="19"/>
      <c r="P266" s="19"/>
      <c r="Q266" s="19"/>
      <c r="R266" s="19"/>
      <c r="S266" s="19"/>
      <c r="T266" s="36">
        <f>+L265/T265</f>
        <v>5.9040294443974102E-3</v>
      </c>
      <c r="U266" s="62">
        <f>+M265/U265</f>
        <v>9.153204656048599E-3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0"/>
      <c r="F269" s="89" t="s">
        <v>71</v>
      </c>
      <c r="G269" s="90"/>
      <c r="H269" s="89" t="s">
        <v>16</v>
      </c>
      <c r="I269" s="90"/>
      <c r="J269" s="89" t="s">
        <v>17</v>
      </c>
      <c r="K269" s="93"/>
      <c r="L269" s="89" t="s">
        <v>18</v>
      </c>
      <c r="M269" s="93"/>
      <c r="N269" s="89" t="s">
        <v>13</v>
      </c>
      <c r="O269" s="93"/>
      <c r="P269" s="89" t="s">
        <v>34</v>
      </c>
      <c r="Q269" s="93"/>
      <c r="R269" s="89" t="s">
        <v>87</v>
      </c>
      <c r="S269" s="93"/>
      <c r="T269" s="89" t="s">
        <v>12</v>
      </c>
      <c r="U269" s="93"/>
      <c r="AA269" s="89" t="s">
        <v>69</v>
      </c>
      <c r="AB269" s="90"/>
      <c r="AC269" s="89" t="s">
        <v>17</v>
      </c>
      <c r="AD269" s="93"/>
      <c r="AE269" s="89" t="s">
        <v>18</v>
      </c>
      <c r="AF269" s="93"/>
      <c r="AG269" s="89" t="s">
        <v>13</v>
      </c>
      <c r="AH269" s="93"/>
      <c r="AI269" s="89" t="s">
        <v>34</v>
      </c>
      <c r="AJ269" s="93"/>
      <c r="AK269" s="89" t="s">
        <v>87</v>
      </c>
      <c r="AL269" s="93"/>
      <c r="AM269" s="89" t="s">
        <v>12</v>
      </c>
      <c r="AN269" s="93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2024</v>
      </c>
      <c r="D272" s="1">
        <v>949</v>
      </c>
      <c r="E272" s="11">
        <v>73024</v>
      </c>
      <c r="F272" s="1">
        <v>577</v>
      </c>
      <c r="G272" s="11">
        <v>52355</v>
      </c>
      <c r="H272" s="1">
        <v>437</v>
      </c>
      <c r="I272" s="11">
        <v>36914</v>
      </c>
      <c r="J272" s="1">
        <v>30666</v>
      </c>
      <c r="K272" s="11">
        <v>2948079</v>
      </c>
      <c r="L272" s="1">
        <v>698</v>
      </c>
      <c r="M272" s="11">
        <v>79275</v>
      </c>
      <c r="N272" s="1">
        <v>1333</v>
      </c>
      <c r="O272" s="11">
        <v>143324</v>
      </c>
      <c r="P272" s="8">
        <v>20</v>
      </c>
      <c r="Q272" s="11">
        <v>1808</v>
      </c>
      <c r="R272" s="8">
        <v>50</v>
      </c>
      <c r="S272" s="11">
        <v>3891</v>
      </c>
      <c r="T272" s="53">
        <f t="shared" ref="T272:U283" si="301">N272+L272+J272+H272+D272+P272+F272+R272</f>
        <v>34730</v>
      </c>
      <c r="U272" s="54">
        <f t="shared" si="301"/>
        <v>3338670</v>
      </c>
      <c r="V272" s="2" t="s">
        <v>68</v>
      </c>
      <c r="Y272" s="2" t="s">
        <v>5</v>
      </c>
      <c r="Z272" s="2">
        <v>2024</v>
      </c>
      <c r="AA272" s="1">
        <f t="shared" ref="AA272:AA283" si="302">D272+H272+F272</f>
        <v>1963</v>
      </c>
      <c r="AB272" s="11">
        <f t="shared" ref="AB272:AB283" si="303">E272+I272+G272</f>
        <v>162293</v>
      </c>
      <c r="AC272" s="1">
        <f t="shared" ref="AC272:AC283" si="304">+J272</f>
        <v>30666</v>
      </c>
      <c r="AD272" s="11">
        <f t="shared" ref="AD272:AD283" si="305">+K272</f>
        <v>2948079</v>
      </c>
      <c r="AE272" s="8">
        <f t="shared" ref="AE272:AE283" si="306">+L272</f>
        <v>698</v>
      </c>
      <c r="AF272" s="11">
        <f t="shared" ref="AF272:AF283" si="307">+M272</f>
        <v>79275</v>
      </c>
      <c r="AG272" s="8">
        <f t="shared" ref="AG272:AG283" si="308">+N272</f>
        <v>1333</v>
      </c>
      <c r="AH272" s="11">
        <f t="shared" ref="AH272:AH283" si="309">+O272</f>
        <v>143324</v>
      </c>
      <c r="AI272" s="8">
        <f t="shared" ref="AI272:AI283" si="310">+P272</f>
        <v>20</v>
      </c>
      <c r="AJ272" s="11">
        <f t="shared" ref="AJ272:AJ283" si="311">+Q272</f>
        <v>1808</v>
      </c>
      <c r="AK272" s="11">
        <f t="shared" ref="AK272:AK283" si="312">+R272</f>
        <v>50</v>
      </c>
      <c r="AL272" s="11">
        <f t="shared" ref="AL272:AL283" si="313">+S272</f>
        <v>3891</v>
      </c>
      <c r="AM272" s="8">
        <f>AI272+AG272+AE272+AC272+AA272+AK272</f>
        <v>34730</v>
      </c>
      <c r="AN272" s="11">
        <f t="shared" ref="AN272:AN283" si="314">AJ272+AH272+AF272+AD272+AB272+AL272</f>
        <v>3338670</v>
      </c>
      <c r="AO272" s="2" t="str">
        <f t="shared" ref="AO272:AO283" si="315">+V272</f>
        <v>IRAPUATO</v>
      </c>
      <c r="AP272" s="37">
        <f t="shared" ref="AP272:AP283" si="316">+AM272-T272</f>
        <v>0</v>
      </c>
      <c r="AQ272" s="37">
        <f t="shared" ref="AQ272:AQ283" si="317">+AN272-U272</f>
        <v>0</v>
      </c>
    </row>
    <row r="273" spans="1:43" x14ac:dyDescent="0.25">
      <c r="B273" s="2" t="s">
        <v>6</v>
      </c>
      <c r="C273" s="2">
        <v>2024</v>
      </c>
      <c r="D273" s="1">
        <v>1198</v>
      </c>
      <c r="E273" s="11">
        <v>103880</v>
      </c>
      <c r="F273" s="1">
        <v>611</v>
      </c>
      <c r="G273" s="11">
        <v>54551</v>
      </c>
      <c r="H273" s="1">
        <v>569</v>
      </c>
      <c r="I273" s="11">
        <v>47730</v>
      </c>
      <c r="J273" s="1">
        <v>32200</v>
      </c>
      <c r="K273" s="11">
        <v>3101127</v>
      </c>
      <c r="L273" s="1">
        <v>705</v>
      </c>
      <c r="M273" s="11">
        <v>79853</v>
      </c>
      <c r="N273" s="1">
        <v>1286</v>
      </c>
      <c r="O273" s="11">
        <v>138206</v>
      </c>
      <c r="P273" s="8">
        <v>16</v>
      </c>
      <c r="Q273" s="11">
        <v>1080</v>
      </c>
      <c r="R273" s="8">
        <v>50</v>
      </c>
      <c r="S273" s="11">
        <v>4145</v>
      </c>
      <c r="T273" s="53">
        <f t="shared" si="301"/>
        <v>36635</v>
      </c>
      <c r="U273" s="54">
        <f t="shared" si="301"/>
        <v>3530572</v>
      </c>
      <c r="V273" s="2" t="s">
        <v>68</v>
      </c>
      <c r="Y273" s="2" t="s">
        <v>6</v>
      </c>
      <c r="Z273" s="2">
        <v>2024</v>
      </c>
      <c r="AA273" s="1">
        <f t="shared" si="302"/>
        <v>2378</v>
      </c>
      <c r="AB273" s="11">
        <f t="shared" si="303"/>
        <v>206161</v>
      </c>
      <c r="AC273" s="1">
        <f t="shared" si="304"/>
        <v>32200</v>
      </c>
      <c r="AD273" s="11">
        <f t="shared" si="305"/>
        <v>3101127</v>
      </c>
      <c r="AE273" s="8">
        <f t="shared" si="306"/>
        <v>705</v>
      </c>
      <c r="AF273" s="11">
        <f t="shared" si="307"/>
        <v>79853</v>
      </c>
      <c r="AG273" s="8">
        <f t="shared" si="308"/>
        <v>1286</v>
      </c>
      <c r="AH273" s="11">
        <f t="shared" si="309"/>
        <v>138206</v>
      </c>
      <c r="AI273" s="8">
        <f t="shared" si="310"/>
        <v>16</v>
      </c>
      <c r="AJ273" s="11">
        <f t="shared" si="311"/>
        <v>1080</v>
      </c>
      <c r="AK273" s="11">
        <f t="shared" si="312"/>
        <v>50</v>
      </c>
      <c r="AL273" s="11">
        <f t="shared" si="313"/>
        <v>4145</v>
      </c>
      <c r="AM273" s="8">
        <f t="shared" ref="AM273:AM283" si="318">AI273+AG273+AE273+AC273+AA273+AK273</f>
        <v>36635</v>
      </c>
      <c r="AN273" s="11">
        <f t="shared" si="314"/>
        <v>3530572</v>
      </c>
      <c r="AO273" s="2" t="str">
        <f t="shared" si="315"/>
        <v>IRAPUATO</v>
      </c>
      <c r="AP273" s="37">
        <f t="shared" si="316"/>
        <v>0</v>
      </c>
      <c r="AQ273" s="37">
        <f t="shared" si="317"/>
        <v>0</v>
      </c>
    </row>
    <row r="274" spans="1:43" x14ac:dyDescent="0.25">
      <c r="B274" s="2" t="s">
        <v>7</v>
      </c>
      <c r="C274" s="2">
        <v>2024</v>
      </c>
      <c r="D274" s="1">
        <v>1574</v>
      </c>
      <c r="E274" s="11">
        <v>139211</v>
      </c>
      <c r="F274" s="1">
        <v>510</v>
      </c>
      <c r="G274" s="11">
        <v>45383</v>
      </c>
      <c r="H274" s="1">
        <v>491</v>
      </c>
      <c r="I274" s="11">
        <v>38695</v>
      </c>
      <c r="J274" s="1">
        <v>29849</v>
      </c>
      <c r="K274" s="11">
        <v>2910620</v>
      </c>
      <c r="L274" s="1">
        <v>546</v>
      </c>
      <c r="M274" s="11">
        <v>58362</v>
      </c>
      <c r="N274" s="1">
        <v>1192</v>
      </c>
      <c r="O274" s="11">
        <v>130073</v>
      </c>
      <c r="P274" s="8">
        <v>48</v>
      </c>
      <c r="Q274" s="11">
        <v>6287</v>
      </c>
      <c r="R274" s="8">
        <v>117</v>
      </c>
      <c r="S274" s="11">
        <v>11109</v>
      </c>
      <c r="T274" s="53">
        <f t="shared" si="301"/>
        <v>34327</v>
      </c>
      <c r="U274" s="54">
        <f t="shared" si="301"/>
        <v>3339740</v>
      </c>
      <c r="V274" s="2" t="s">
        <v>68</v>
      </c>
      <c r="X274" s="13"/>
      <c r="Y274" s="2" t="s">
        <v>7</v>
      </c>
      <c r="Z274" s="2">
        <v>2024</v>
      </c>
      <c r="AA274" s="1">
        <f t="shared" si="302"/>
        <v>2575</v>
      </c>
      <c r="AB274" s="11">
        <f t="shared" si="303"/>
        <v>223289</v>
      </c>
      <c r="AC274" s="1">
        <f t="shared" si="304"/>
        <v>29849</v>
      </c>
      <c r="AD274" s="11">
        <f t="shared" si="305"/>
        <v>2910620</v>
      </c>
      <c r="AE274" s="8">
        <f t="shared" si="306"/>
        <v>546</v>
      </c>
      <c r="AF274" s="11">
        <f t="shared" si="307"/>
        <v>58362</v>
      </c>
      <c r="AG274" s="8">
        <f t="shared" si="308"/>
        <v>1192</v>
      </c>
      <c r="AH274" s="11">
        <f t="shared" si="309"/>
        <v>130073</v>
      </c>
      <c r="AI274" s="8">
        <f t="shared" si="310"/>
        <v>48</v>
      </c>
      <c r="AJ274" s="11">
        <f t="shared" si="311"/>
        <v>6287</v>
      </c>
      <c r="AK274" s="11">
        <f t="shared" si="312"/>
        <v>117</v>
      </c>
      <c r="AL274" s="11">
        <f t="shared" si="313"/>
        <v>11109</v>
      </c>
      <c r="AM274" s="8">
        <f t="shared" si="318"/>
        <v>34327</v>
      </c>
      <c r="AN274" s="11">
        <f t="shared" si="314"/>
        <v>3339740</v>
      </c>
      <c r="AO274" s="2" t="str">
        <f t="shared" si="315"/>
        <v>IRAPUATO</v>
      </c>
      <c r="AP274" s="37">
        <f t="shared" si="316"/>
        <v>0</v>
      </c>
      <c r="AQ274" s="37">
        <f t="shared" si="317"/>
        <v>0</v>
      </c>
    </row>
    <row r="275" spans="1:43" x14ac:dyDescent="0.25">
      <c r="B275" s="2" t="s">
        <v>8</v>
      </c>
      <c r="C275" s="2">
        <v>2024</v>
      </c>
      <c r="D275" s="1">
        <v>1614</v>
      </c>
      <c r="E275" s="11">
        <v>135813</v>
      </c>
      <c r="F275" s="1">
        <v>779</v>
      </c>
      <c r="G275" s="11">
        <v>74071</v>
      </c>
      <c r="H275" s="1">
        <v>581</v>
      </c>
      <c r="I275" s="11">
        <v>47364</v>
      </c>
      <c r="J275" s="1">
        <v>31964</v>
      </c>
      <c r="K275" s="11">
        <v>3035240</v>
      </c>
      <c r="L275" s="1">
        <v>516</v>
      </c>
      <c r="M275" s="11">
        <v>52882</v>
      </c>
      <c r="N275" s="1">
        <v>1469</v>
      </c>
      <c r="O275" s="11">
        <v>160989</v>
      </c>
      <c r="P275" s="8">
        <v>0</v>
      </c>
      <c r="Q275" s="11">
        <v>0</v>
      </c>
      <c r="R275" s="8">
        <v>157</v>
      </c>
      <c r="S275" s="11">
        <v>16652</v>
      </c>
      <c r="T275" s="53">
        <f t="shared" si="301"/>
        <v>37080</v>
      </c>
      <c r="U275" s="54">
        <f t="shared" si="301"/>
        <v>3523011</v>
      </c>
      <c r="V275" s="2" t="s">
        <v>68</v>
      </c>
      <c r="X275" s="13"/>
      <c r="Y275" s="2" t="s">
        <v>8</v>
      </c>
      <c r="Z275" s="2">
        <v>2024</v>
      </c>
      <c r="AA275" s="1">
        <f t="shared" si="302"/>
        <v>2974</v>
      </c>
      <c r="AB275" s="11">
        <f t="shared" si="303"/>
        <v>257248</v>
      </c>
      <c r="AC275" s="1">
        <f t="shared" si="304"/>
        <v>31964</v>
      </c>
      <c r="AD275" s="11">
        <f t="shared" si="305"/>
        <v>3035240</v>
      </c>
      <c r="AE275" s="8">
        <f t="shared" si="306"/>
        <v>516</v>
      </c>
      <c r="AF275" s="11">
        <f t="shared" si="307"/>
        <v>52882</v>
      </c>
      <c r="AG275" s="8">
        <f t="shared" si="308"/>
        <v>1469</v>
      </c>
      <c r="AH275" s="11">
        <f t="shared" si="309"/>
        <v>160989</v>
      </c>
      <c r="AI275" s="8">
        <f t="shared" si="310"/>
        <v>0</v>
      </c>
      <c r="AJ275" s="11">
        <f t="shared" si="311"/>
        <v>0</v>
      </c>
      <c r="AK275" s="11">
        <f t="shared" si="312"/>
        <v>157</v>
      </c>
      <c r="AL275" s="11">
        <f t="shared" si="313"/>
        <v>16652</v>
      </c>
      <c r="AM275" s="8">
        <f t="shared" si="318"/>
        <v>37080</v>
      </c>
      <c r="AN275" s="11">
        <f t="shared" si="314"/>
        <v>3523011</v>
      </c>
      <c r="AO275" s="2" t="str">
        <f t="shared" si="315"/>
        <v>IRAPUATO</v>
      </c>
      <c r="AP275" s="37">
        <f t="shared" si="316"/>
        <v>0</v>
      </c>
      <c r="AQ275" s="37">
        <f t="shared" si="317"/>
        <v>0</v>
      </c>
    </row>
    <row r="276" spans="1:43" x14ac:dyDescent="0.25">
      <c r="B276" s="2" t="s">
        <v>9</v>
      </c>
      <c r="C276" s="2">
        <v>2024</v>
      </c>
      <c r="D276" s="1">
        <v>1494</v>
      </c>
      <c r="E276" s="11">
        <v>133170</v>
      </c>
      <c r="F276" s="1">
        <v>554</v>
      </c>
      <c r="G276" s="11">
        <v>52193</v>
      </c>
      <c r="H276" s="1">
        <v>453</v>
      </c>
      <c r="I276" s="11">
        <v>39003</v>
      </c>
      <c r="J276" s="1">
        <v>27763</v>
      </c>
      <c r="K276" s="11">
        <v>2635332</v>
      </c>
      <c r="L276" s="1">
        <v>497</v>
      </c>
      <c r="M276" s="11">
        <v>48624</v>
      </c>
      <c r="N276" s="1">
        <v>1277</v>
      </c>
      <c r="O276" s="11">
        <v>140603</v>
      </c>
      <c r="P276" s="8">
        <v>1</v>
      </c>
      <c r="Q276" s="11">
        <v>171</v>
      </c>
      <c r="R276" s="8">
        <v>145</v>
      </c>
      <c r="S276" s="11">
        <v>14694</v>
      </c>
      <c r="T276" s="53">
        <f t="shared" si="301"/>
        <v>32184</v>
      </c>
      <c r="U276" s="54">
        <f t="shared" si="301"/>
        <v>3063790</v>
      </c>
      <c r="V276" s="2" t="s">
        <v>68</v>
      </c>
      <c r="X276" s="13"/>
      <c r="Y276" s="2" t="s">
        <v>9</v>
      </c>
      <c r="Z276" s="2">
        <v>2024</v>
      </c>
      <c r="AA276" s="1">
        <f t="shared" si="302"/>
        <v>2501</v>
      </c>
      <c r="AB276" s="11">
        <f t="shared" si="303"/>
        <v>224366</v>
      </c>
      <c r="AC276" s="1">
        <f t="shared" si="304"/>
        <v>27763</v>
      </c>
      <c r="AD276" s="11">
        <f t="shared" si="305"/>
        <v>2635332</v>
      </c>
      <c r="AE276" s="8">
        <f t="shared" si="306"/>
        <v>497</v>
      </c>
      <c r="AF276" s="11">
        <f t="shared" si="307"/>
        <v>48624</v>
      </c>
      <c r="AG276" s="8">
        <f t="shared" si="308"/>
        <v>1277</v>
      </c>
      <c r="AH276" s="11">
        <f t="shared" si="309"/>
        <v>140603</v>
      </c>
      <c r="AI276" s="8">
        <f t="shared" si="310"/>
        <v>1</v>
      </c>
      <c r="AJ276" s="11">
        <f t="shared" si="311"/>
        <v>171</v>
      </c>
      <c r="AK276" s="11">
        <f t="shared" si="312"/>
        <v>145</v>
      </c>
      <c r="AL276" s="11">
        <f t="shared" si="313"/>
        <v>14694</v>
      </c>
      <c r="AM276" s="8">
        <f t="shared" si="318"/>
        <v>32184</v>
      </c>
      <c r="AN276" s="11">
        <f t="shared" si="314"/>
        <v>3063790</v>
      </c>
      <c r="AO276" s="2" t="str">
        <f t="shared" si="315"/>
        <v>IRAPUATO</v>
      </c>
      <c r="AP276" s="37">
        <f t="shared" si="316"/>
        <v>0</v>
      </c>
      <c r="AQ276" s="37">
        <f t="shared" si="317"/>
        <v>0</v>
      </c>
    </row>
    <row r="277" spans="1:43" x14ac:dyDescent="0.25">
      <c r="B277" s="2" t="s">
        <v>10</v>
      </c>
      <c r="C277" s="2">
        <v>2024</v>
      </c>
      <c r="D277" s="1">
        <v>1232</v>
      </c>
      <c r="E277" s="11">
        <v>100995</v>
      </c>
      <c r="F277" s="1">
        <v>684</v>
      </c>
      <c r="G277" s="11">
        <v>59506</v>
      </c>
      <c r="H277" s="1">
        <v>460</v>
      </c>
      <c r="I277" s="11">
        <v>39724</v>
      </c>
      <c r="J277" s="1">
        <v>29838</v>
      </c>
      <c r="K277" s="11">
        <v>2677026</v>
      </c>
      <c r="L277" s="1">
        <v>393</v>
      </c>
      <c r="M277" s="11">
        <v>36546</v>
      </c>
      <c r="N277" s="1">
        <v>1213</v>
      </c>
      <c r="O277" s="11">
        <v>135927</v>
      </c>
      <c r="P277" s="8">
        <v>1</v>
      </c>
      <c r="Q277" s="11">
        <v>171</v>
      </c>
      <c r="R277" s="8">
        <v>115</v>
      </c>
      <c r="S277" s="11">
        <v>11172</v>
      </c>
      <c r="T277" s="53">
        <f t="shared" si="301"/>
        <v>33936</v>
      </c>
      <c r="U277" s="54">
        <f t="shared" si="301"/>
        <v>3061067</v>
      </c>
      <c r="V277" s="2" t="s">
        <v>68</v>
      </c>
      <c r="Y277" s="2" t="s">
        <v>10</v>
      </c>
      <c r="Z277" s="2">
        <v>2024</v>
      </c>
      <c r="AA277" s="1">
        <f t="shared" si="302"/>
        <v>2376</v>
      </c>
      <c r="AB277" s="11">
        <f t="shared" si="303"/>
        <v>200225</v>
      </c>
      <c r="AC277" s="1">
        <f t="shared" si="304"/>
        <v>29838</v>
      </c>
      <c r="AD277" s="11">
        <f t="shared" si="305"/>
        <v>2677026</v>
      </c>
      <c r="AE277" s="8">
        <f t="shared" si="306"/>
        <v>393</v>
      </c>
      <c r="AF277" s="11">
        <f t="shared" si="307"/>
        <v>36546</v>
      </c>
      <c r="AG277" s="8">
        <f t="shared" si="308"/>
        <v>1213</v>
      </c>
      <c r="AH277" s="11">
        <f t="shared" si="309"/>
        <v>135927</v>
      </c>
      <c r="AI277" s="8">
        <f t="shared" si="310"/>
        <v>1</v>
      </c>
      <c r="AJ277" s="11">
        <f t="shared" si="311"/>
        <v>171</v>
      </c>
      <c r="AK277" s="11">
        <f t="shared" si="312"/>
        <v>115</v>
      </c>
      <c r="AL277" s="11">
        <f t="shared" si="313"/>
        <v>11172</v>
      </c>
      <c r="AM277" s="8">
        <f t="shared" si="318"/>
        <v>33936</v>
      </c>
      <c r="AN277" s="11">
        <f t="shared" si="314"/>
        <v>3061067</v>
      </c>
      <c r="AO277" s="2" t="str">
        <f t="shared" si="315"/>
        <v>IRAPUATO</v>
      </c>
      <c r="AP277" s="37">
        <f t="shared" si="316"/>
        <v>0</v>
      </c>
      <c r="AQ277" s="37">
        <f t="shared" si="317"/>
        <v>0</v>
      </c>
    </row>
    <row r="278" spans="1:43" x14ac:dyDescent="0.25">
      <c r="B278" s="2" t="s">
        <v>11</v>
      </c>
      <c r="C278" s="2">
        <v>2024</v>
      </c>
      <c r="D278" s="1">
        <v>1497</v>
      </c>
      <c r="E278" s="11">
        <v>133635</v>
      </c>
      <c r="F278" s="1">
        <v>775</v>
      </c>
      <c r="G278" s="11">
        <v>67071</v>
      </c>
      <c r="H278" s="1">
        <v>462</v>
      </c>
      <c r="I278" s="11">
        <v>36743</v>
      </c>
      <c r="J278" s="1">
        <v>29392</v>
      </c>
      <c r="K278" s="11">
        <v>2606965</v>
      </c>
      <c r="L278" s="1">
        <v>382</v>
      </c>
      <c r="M278" s="11">
        <v>37476</v>
      </c>
      <c r="N278" s="1">
        <v>1185</v>
      </c>
      <c r="O278" s="11">
        <v>133771</v>
      </c>
      <c r="P278" s="8">
        <v>0</v>
      </c>
      <c r="Q278" s="11">
        <v>0</v>
      </c>
      <c r="R278" s="8">
        <v>164</v>
      </c>
      <c r="S278" s="11">
        <v>15592</v>
      </c>
      <c r="T278" s="53">
        <f t="shared" si="301"/>
        <v>33857</v>
      </c>
      <c r="U278" s="54">
        <f t="shared" si="301"/>
        <v>3031253</v>
      </c>
      <c r="V278" s="2" t="s">
        <v>68</v>
      </c>
      <c r="Y278" s="2" t="s">
        <v>11</v>
      </c>
      <c r="Z278" s="2">
        <v>2024</v>
      </c>
      <c r="AA278" s="1">
        <f t="shared" si="302"/>
        <v>2734</v>
      </c>
      <c r="AB278" s="11">
        <f t="shared" si="303"/>
        <v>237449</v>
      </c>
      <c r="AC278" s="1">
        <f t="shared" si="304"/>
        <v>29392</v>
      </c>
      <c r="AD278" s="11">
        <f t="shared" si="305"/>
        <v>2606965</v>
      </c>
      <c r="AE278" s="8">
        <f t="shared" si="306"/>
        <v>382</v>
      </c>
      <c r="AF278" s="11">
        <f t="shared" si="307"/>
        <v>37476</v>
      </c>
      <c r="AG278" s="8">
        <f t="shared" si="308"/>
        <v>1185</v>
      </c>
      <c r="AH278" s="11">
        <f t="shared" si="309"/>
        <v>133771</v>
      </c>
      <c r="AI278" s="8">
        <f t="shared" si="310"/>
        <v>0</v>
      </c>
      <c r="AJ278" s="11">
        <f t="shared" si="311"/>
        <v>0</v>
      </c>
      <c r="AK278" s="11">
        <f t="shared" si="312"/>
        <v>164</v>
      </c>
      <c r="AL278" s="11">
        <f t="shared" si="313"/>
        <v>15592</v>
      </c>
      <c r="AM278" s="8">
        <f t="shared" si="318"/>
        <v>33857</v>
      </c>
      <c r="AN278" s="11">
        <f t="shared" si="314"/>
        <v>3031253</v>
      </c>
      <c r="AO278" s="2" t="str">
        <f t="shared" si="315"/>
        <v>IRAPUATO</v>
      </c>
      <c r="AP278" s="37">
        <f t="shared" si="316"/>
        <v>0</v>
      </c>
      <c r="AQ278" s="37">
        <f t="shared" si="317"/>
        <v>0</v>
      </c>
    </row>
    <row r="279" spans="1:43" x14ac:dyDescent="0.25">
      <c r="B279" s="2" t="s">
        <v>4</v>
      </c>
      <c r="C279" s="2">
        <v>2024</v>
      </c>
      <c r="D279" s="1">
        <v>1535</v>
      </c>
      <c r="E279" s="11">
        <v>131297</v>
      </c>
      <c r="F279" s="1">
        <v>729</v>
      </c>
      <c r="G279" s="11">
        <v>63827</v>
      </c>
      <c r="H279" s="1">
        <v>542</v>
      </c>
      <c r="I279" s="11">
        <v>43797</v>
      </c>
      <c r="J279" s="1">
        <v>27391</v>
      </c>
      <c r="K279" s="11">
        <v>2538978</v>
      </c>
      <c r="L279" s="1">
        <v>448</v>
      </c>
      <c r="M279" s="11">
        <v>41747</v>
      </c>
      <c r="N279" s="1">
        <v>1342</v>
      </c>
      <c r="O279" s="11">
        <v>149457</v>
      </c>
      <c r="P279" s="8">
        <v>3</v>
      </c>
      <c r="Q279" s="11">
        <v>351</v>
      </c>
      <c r="R279" s="8">
        <v>138</v>
      </c>
      <c r="S279" s="11">
        <v>12786</v>
      </c>
      <c r="T279" s="53">
        <f t="shared" si="301"/>
        <v>32128</v>
      </c>
      <c r="U279" s="54">
        <f t="shared" si="301"/>
        <v>2982240</v>
      </c>
      <c r="V279" s="2" t="s">
        <v>68</v>
      </c>
      <c r="Y279" s="2" t="s">
        <v>4</v>
      </c>
      <c r="Z279" s="2">
        <v>2024</v>
      </c>
      <c r="AA279" s="1">
        <f t="shared" si="302"/>
        <v>2806</v>
      </c>
      <c r="AB279" s="11">
        <f t="shared" si="303"/>
        <v>238921</v>
      </c>
      <c r="AC279" s="1">
        <f t="shared" si="304"/>
        <v>27391</v>
      </c>
      <c r="AD279" s="11">
        <f t="shared" si="305"/>
        <v>2538978</v>
      </c>
      <c r="AE279" s="8">
        <f t="shared" si="306"/>
        <v>448</v>
      </c>
      <c r="AF279" s="11">
        <f t="shared" si="307"/>
        <v>41747</v>
      </c>
      <c r="AG279" s="8">
        <f t="shared" si="308"/>
        <v>1342</v>
      </c>
      <c r="AH279" s="11">
        <f t="shared" si="309"/>
        <v>149457</v>
      </c>
      <c r="AI279" s="8">
        <f t="shared" si="310"/>
        <v>3</v>
      </c>
      <c r="AJ279" s="11">
        <f t="shared" si="311"/>
        <v>351</v>
      </c>
      <c r="AK279" s="11">
        <f t="shared" si="312"/>
        <v>138</v>
      </c>
      <c r="AL279" s="11">
        <f t="shared" si="313"/>
        <v>12786</v>
      </c>
      <c r="AM279" s="8">
        <f t="shared" si="318"/>
        <v>32128</v>
      </c>
      <c r="AN279" s="11">
        <f t="shared" si="314"/>
        <v>2982240</v>
      </c>
      <c r="AO279" s="2" t="str">
        <f t="shared" si="315"/>
        <v>IRAPUATO</v>
      </c>
      <c r="AP279" s="37">
        <f t="shared" si="316"/>
        <v>0</v>
      </c>
      <c r="AQ279" s="37">
        <f t="shared" si="317"/>
        <v>0</v>
      </c>
    </row>
    <row r="280" spans="1:43" x14ac:dyDescent="0.25">
      <c r="B280" s="2" t="s">
        <v>28</v>
      </c>
      <c r="C280" s="2">
        <v>2024</v>
      </c>
      <c r="D280" s="1">
        <v>1354</v>
      </c>
      <c r="E280" s="11">
        <v>101946</v>
      </c>
      <c r="F280" s="1">
        <v>658</v>
      </c>
      <c r="G280" s="11">
        <v>56153</v>
      </c>
      <c r="H280" s="1">
        <v>395</v>
      </c>
      <c r="I280" s="11">
        <v>33397</v>
      </c>
      <c r="J280" s="1">
        <v>31624</v>
      </c>
      <c r="K280" s="11">
        <v>2832924</v>
      </c>
      <c r="L280" s="1">
        <v>474</v>
      </c>
      <c r="M280" s="11">
        <v>44997</v>
      </c>
      <c r="N280" s="1">
        <v>1147</v>
      </c>
      <c r="O280" s="11">
        <v>133464</v>
      </c>
      <c r="P280" s="8">
        <v>9</v>
      </c>
      <c r="Q280" s="11">
        <v>1382</v>
      </c>
      <c r="R280" s="8">
        <v>124</v>
      </c>
      <c r="S280" s="11">
        <v>11244</v>
      </c>
      <c r="T280" s="53">
        <f t="shared" si="301"/>
        <v>35785</v>
      </c>
      <c r="U280" s="54">
        <f t="shared" si="301"/>
        <v>3215507</v>
      </c>
      <c r="V280" s="2" t="s">
        <v>68</v>
      </c>
      <c r="Y280" s="2" t="s">
        <v>28</v>
      </c>
      <c r="Z280" s="2">
        <v>2024</v>
      </c>
      <c r="AA280" s="1">
        <f t="shared" si="302"/>
        <v>2407</v>
      </c>
      <c r="AB280" s="11">
        <f t="shared" si="303"/>
        <v>191496</v>
      </c>
      <c r="AC280" s="1">
        <f t="shared" si="304"/>
        <v>31624</v>
      </c>
      <c r="AD280" s="11">
        <f t="shared" si="305"/>
        <v>2832924</v>
      </c>
      <c r="AE280" s="8">
        <f t="shared" si="306"/>
        <v>474</v>
      </c>
      <c r="AF280" s="11">
        <f t="shared" si="307"/>
        <v>44997</v>
      </c>
      <c r="AG280" s="8">
        <f t="shared" si="308"/>
        <v>1147</v>
      </c>
      <c r="AH280" s="11">
        <f t="shared" si="309"/>
        <v>133464</v>
      </c>
      <c r="AI280" s="8">
        <f t="shared" si="310"/>
        <v>9</v>
      </c>
      <c r="AJ280" s="11">
        <f t="shared" si="311"/>
        <v>1382</v>
      </c>
      <c r="AK280" s="11">
        <f t="shared" si="312"/>
        <v>124</v>
      </c>
      <c r="AL280" s="11">
        <f t="shared" si="313"/>
        <v>11244</v>
      </c>
      <c r="AM280" s="8">
        <f t="shared" si="318"/>
        <v>35785</v>
      </c>
      <c r="AN280" s="11">
        <f t="shared" si="314"/>
        <v>3215507</v>
      </c>
      <c r="AO280" s="2" t="str">
        <f t="shared" si="315"/>
        <v>IRAPUATO</v>
      </c>
      <c r="AP280" s="37">
        <f t="shared" si="316"/>
        <v>0</v>
      </c>
      <c r="AQ280" s="37">
        <f t="shared" si="317"/>
        <v>0</v>
      </c>
    </row>
    <row r="281" spans="1:43" x14ac:dyDescent="0.25">
      <c r="B281" s="2" t="s">
        <v>29</v>
      </c>
      <c r="C281" s="2">
        <v>2024</v>
      </c>
      <c r="D281" s="1">
        <v>1575</v>
      </c>
      <c r="E281" s="11">
        <v>129379</v>
      </c>
      <c r="F281" s="1">
        <v>744</v>
      </c>
      <c r="G281" s="11">
        <v>63664</v>
      </c>
      <c r="H281" s="1">
        <v>378</v>
      </c>
      <c r="I281" s="11">
        <v>31101</v>
      </c>
      <c r="J281" s="1">
        <v>31113</v>
      </c>
      <c r="K281" s="11">
        <v>2862462</v>
      </c>
      <c r="L281" s="1">
        <v>471</v>
      </c>
      <c r="M281" s="11">
        <v>45902</v>
      </c>
      <c r="N281" s="1">
        <v>1517</v>
      </c>
      <c r="O281" s="11">
        <v>177790</v>
      </c>
      <c r="P281" s="8">
        <v>53</v>
      </c>
      <c r="Q281" s="11">
        <v>7297</v>
      </c>
      <c r="R281" s="8">
        <v>102</v>
      </c>
      <c r="S281" s="11">
        <v>9903</v>
      </c>
      <c r="T281" s="53">
        <f>N281+L281+J281+H281+D281+P281+F281+R281</f>
        <v>35953</v>
      </c>
      <c r="U281" s="54">
        <f>O281+M281+K281+I281+E281+Q281+G281+S281</f>
        <v>3327498</v>
      </c>
      <c r="V281" s="2" t="s">
        <v>68</v>
      </c>
      <c r="Y281" s="2" t="s">
        <v>29</v>
      </c>
      <c r="Z281" s="2">
        <v>2024</v>
      </c>
      <c r="AA281" s="1">
        <f t="shared" si="302"/>
        <v>2697</v>
      </c>
      <c r="AB281" s="11">
        <f t="shared" si="303"/>
        <v>224144</v>
      </c>
      <c r="AC281" s="1">
        <f t="shared" si="304"/>
        <v>31113</v>
      </c>
      <c r="AD281" s="11">
        <f t="shared" si="305"/>
        <v>2862462</v>
      </c>
      <c r="AE281" s="8">
        <f t="shared" si="306"/>
        <v>471</v>
      </c>
      <c r="AF281" s="11">
        <f t="shared" si="307"/>
        <v>45902</v>
      </c>
      <c r="AG281" s="8">
        <f t="shared" si="308"/>
        <v>1517</v>
      </c>
      <c r="AH281" s="11">
        <f t="shared" si="309"/>
        <v>177790</v>
      </c>
      <c r="AI281" s="8">
        <f t="shared" si="310"/>
        <v>53</v>
      </c>
      <c r="AJ281" s="11">
        <f t="shared" si="311"/>
        <v>7297</v>
      </c>
      <c r="AK281" s="11">
        <f t="shared" si="312"/>
        <v>102</v>
      </c>
      <c r="AL281" s="11">
        <f t="shared" si="313"/>
        <v>9903</v>
      </c>
      <c r="AM281" s="8">
        <f t="shared" si="318"/>
        <v>35953</v>
      </c>
      <c r="AN281" s="11">
        <f t="shared" si="314"/>
        <v>3327498</v>
      </c>
      <c r="AO281" s="2" t="str">
        <f t="shared" si="315"/>
        <v>IRAPUATO</v>
      </c>
      <c r="AP281" s="37">
        <f t="shared" si="316"/>
        <v>0</v>
      </c>
      <c r="AQ281" s="37">
        <f t="shared" si="317"/>
        <v>0</v>
      </c>
    </row>
    <row r="282" spans="1:43" x14ac:dyDescent="0.25">
      <c r="B282" s="2" t="s">
        <v>30</v>
      </c>
      <c r="C282" s="2">
        <v>2024</v>
      </c>
      <c r="D282" s="1">
        <v>1908</v>
      </c>
      <c r="E282" s="11">
        <v>140187</v>
      </c>
      <c r="F282" s="1">
        <v>839</v>
      </c>
      <c r="G282" s="11">
        <v>67385</v>
      </c>
      <c r="H282" s="1">
        <v>573</v>
      </c>
      <c r="I282" s="11">
        <v>46179</v>
      </c>
      <c r="J282" s="1">
        <v>37195</v>
      </c>
      <c r="K282" s="11">
        <v>3256034</v>
      </c>
      <c r="L282" s="1">
        <v>575</v>
      </c>
      <c r="M282" s="11">
        <v>53669</v>
      </c>
      <c r="N282" s="1">
        <v>1412</v>
      </c>
      <c r="O282" s="11">
        <v>151692</v>
      </c>
      <c r="P282" s="8">
        <v>60</v>
      </c>
      <c r="Q282" s="11">
        <v>7601</v>
      </c>
      <c r="R282" s="8">
        <v>114</v>
      </c>
      <c r="S282" s="11">
        <v>9448</v>
      </c>
      <c r="T282" s="53">
        <f>N282+L282+J282+H282+D282+P282+F282+R282</f>
        <v>42676</v>
      </c>
      <c r="U282" s="54">
        <f>O282+M282+K282+I282+E282+Q282+G282+S282</f>
        <v>3732195</v>
      </c>
      <c r="V282" s="2" t="s">
        <v>68</v>
      </c>
      <c r="Y282" s="2" t="s">
        <v>30</v>
      </c>
      <c r="Z282" s="2">
        <v>2024</v>
      </c>
      <c r="AA282" s="1">
        <f t="shared" si="302"/>
        <v>3320</v>
      </c>
      <c r="AB282" s="11">
        <f t="shared" si="303"/>
        <v>253751</v>
      </c>
      <c r="AC282" s="1">
        <f t="shared" si="304"/>
        <v>37195</v>
      </c>
      <c r="AD282" s="11">
        <f t="shared" si="305"/>
        <v>3256034</v>
      </c>
      <c r="AE282" s="8">
        <f t="shared" si="306"/>
        <v>575</v>
      </c>
      <c r="AF282" s="11">
        <f t="shared" si="307"/>
        <v>53669</v>
      </c>
      <c r="AG282" s="8">
        <f t="shared" si="308"/>
        <v>1412</v>
      </c>
      <c r="AH282" s="11">
        <f t="shared" si="309"/>
        <v>151692</v>
      </c>
      <c r="AI282" s="8">
        <f t="shared" si="310"/>
        <v>60</v>
      </c>
      <c r="AJ282" s="11">
        <f t="shared" si="311"/>
        <v>7601</v>
      </c>
      <c r="AK282" s="11">
        <f t="shared" si="312"/>
        <v>114</v>
      </c>
      <c r="AL282" s="11">
        <f t="shared" si="313"/>
        <v>9448</v>
      </c>
      <c r="AM282" s="79">
        <f t="shared" si="318"/>
        <v>42676</v>
      </c>
      <c r="AN282" s="80">
        <f t="shared" si="314"/>
        <v>3732195</v>
      </c>
      <c r="AO282" s="2" t="str">
        <f t="shared" si="315"/>
        <v>IRAPUATO</v>
      </c>
      <c r="AP282" s="37">
        <f t="shared" si="316"/>
        <v>0</v>
      </c>
      <c r="AQ282" s="37">
        <f t="shared" si="317"/>
        <v>0</v>
      </c>
    </row>
    <row r="283" spans="1:43" x14ac:dyDescent="0.25">
      <c r="B283" s="2" t="s">
        <v>31</v>
      </c>
      <c r="C283" s="2">
        <v>2024</v>
      </c>
      <c r="D283" s="1">
        <v>1756</v>
      </c>
      <c r="E283" s="11">
        <v>136668</v>
      </c>
      <c r="F283" s="1">
        <v>693</v>
      </c>
      <c r="G283" s="11">
        <v>58100</v>
      </c>
      <c r="H283" s="1">
        <v>529</v>
      </c>
      <c r="I283" s="11">
        <v>45414</v>
      </c>
      <c r="J283" s="1">
        <v>30883</v>
      </c>
      <c r="K283" s="11">
        <v>2921531</v>
      </c>
      <c r="L283" s="1">
        <v>487</v>
      </c>
      <c r="M283" s="11">
        <v>49183</v>
      </c>
      <c r="N283" s="1">
        <v>1504</v>
      </c>
      <c r="O283" s="11">
        <v>178041</v>
      </c>
      <c r="P283" s="8">
        <v>70</v>
      </c>
      <c r="Q283" s="11">
        <v>10009</v>
      </c>
      <c r="R283" s="8">
        <v>144</v>
      </c>
      <c r="S283" s="11">
        <v>11694</v>
      </c>
      <c r="T283" s="53">
        <f t="shared" si="301"/>
        <v>36066</v>
      </c>
      <c r="U283" s="54">
        <f t="shared" si="301"/>
        <v>3410640</v>
      </c>
      <c r="V283" s="2" t="s">
        <v>68</v>
      </c>
      <c r="W283" s="13"/>
      <c r="Y283" s="2" t="s">
        <v>31</v>
      </c>
      <c r="Z283" s="2">
        <v>2024</v>
      </c>
      <c r="AA283" s="1">
        <f t="shared" si="302"/>
        <v>2978</v>
      </c>
      <c r="AB283" s="11">
        <f t="shared" si="303"/>
        <v>240182</v>
      </c>
      <c r="AC283" s="1">
        <f t="shared" si="304"/>
        <v>30883</v>
      </c>
      <c r="AD283" s="11">
        <f t="shared" si="305"/>
        <v>2921531</v>
      </c>
      <c r="AE283" s="8">
        <f t="shared" si="306"/>
        <v>487</v>
      </c>
      <c r="AF283" s="11">
        <f t="shared" si="307"/>
        <v>49183</v>
      </c>
      <c r="AG283" s="8">
        <f t="shared" si="308"/>
        <v>1504</v>
      </c>
      <c r="AH283" s="11">
        <f t="shared" si="309"/>
        <v>178041</v>
      </c>
      <c r="AI283" s="8">
        <f t="shared" si="310"/>
        <v>70</v>
      </c>
      <c r="AJ283" s="11">
        <f t="shared" si="311"/>
        <v>10009</v>
      </c>
      <c r="AK283" s="11">
        <f t="shared" si="312"/>
        <v>144</v>
      </c>
      <c r="AL283" s="11">
        <f t="shared" si="313"/>
        <v>11694</v>
      </c>
      <c r="AM283" s="8">
        <f t="shared" si="318"/>
        <v>36066</v>
      </c>
      <c r="AN283" s="11">
        <f t="shared" si="314"/>
        <v>3410640</v>
      </c>
      <c r="AO283" s="2" t="str">
        <f t="shared" si="315"/>
        <v>IRAPUATO</v>
      </c>
      <c r="AP283" s="37">
        <f t="shared" si="316"/>
        <v>0</v>
      </c>
      <c r="AQ283" s="37">
        <f t="shared" si="317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319">SUM(D272:D284)</f>
        <v>17686</v>
      </c>
      <c r="E285" s="12">
        <f t="shared" si="319"/>
        <v>1459205</v>
      </c>
      <c r="F285" s="4">
        <f t="shared" si="319"/>
        <v>8153</v>
      </c>
      <c r="G285" s="12">
        <f t="shared" si="319"/>
        <v>714259</v>
      </c>
      <c r="H285" s="4">
        <f t="shared" si="319"/>
        <v>5870</v>
      </c>
      <c r="I285" s="12">
        <f t="shared" si="319"/>
        <v>486061</v>
      </c>
      <c r="J285" s="4">
        <f t="shared" si="319"/>
        <v>369878</v>
      </c>
      <c r="K285" s="12">
        <f t="shared" si="319"/>
        <v>34326318</v>
      </c>
      <c r="L285" s="4">
        <f t="shared" si="319"/>
        <v>6192</v>
      </c>
      <c r="M285" s="12">
        <f t="shared" si="319"/>
        <v>628516</v>
      </c>
      <c r="N285" s="4">
        <f t="shared" si="319"/>
        <v>15877</v>
      </c>
      <c r="O285" s="12">
        <f t="shared" si="319"/>
        <v>1773337</v>
      </c>
      <c r="P285" s="4">
        <f>SUM(P272:P284)</f>
        <v>281</v>
      </c>
      <c r="Q285" s="12">
        <f>SUM(Q272:Q284)</f>
        <v>36157</v>
      </c>
      <c r="R285" s="4">
        <f>SUM(R272:R284)</f>
        <v>1420</v>
      </c>
      <c r="S285" s="12">
        <f>SUM(S272:S284)</f>
        <v>132330</v>
      </c>
      <c r="T285" s="4">
        <f t="shared" si="319"/>
        <v>425357</v>
      </c>
      <c r="U285" s="12">
        <f t="shared" si="319"/>
        <v>39556183</v>
      </c>
      <c r="V285" s="2" t="s">
        <v>128</v>
      </c>
      <c r="Y285" s="3" t="s">
        <v>12</v>
      </c>
      <c r="Z285" s="3"/>
      <c r="AA285" s="4">
        <f t="shared" ref="AA285:AN285" si="320">SUM(AA272:AA284)</f>
        <v>31709</v>
      </c>
      <c r="AB285" s="12">
        <f t="shared" si="320"/>
        <v>2659525</v>
      </c>
      <c r="AC285" s="4">
        <f t="shared" si="320"/>
        <v>369878</v>
      </c>
      <c r="AD285" s="12">
        <f t="shared" si="320"/>
        <v>34326318</v>
      </c>
      <c r="AE285" s="4">
        <f t="shared" si="320"/>
        <v>6192</v>
      </c>
      <c r="AF285" s="12">
        <f t="shared" si="320"/>
        <v>628516</v>
      </c>
      <c r="AG285" s="4">
        <f t="shared" si="320"/>
        <v>15877</v>
      </c>
      <c r="AH285" s="12">
        <f t="shared" si="320"/>
        <v>1773337</v>
      </c>
      <c r="AI285" s="4">
        <f t="shared" si="320"/>
        <v>281</v>
      </c>
      <c r="AJ285" s="12">
        <f t="shared" si="320"/>
        <v>36157</v>
      </c>
      <c r="AK285" s="4">
        <f t="shared" si="320"/>
        <v>1420</v>
      </c>
      <c r="AL285" s="12">
        <f t="shared" si="320"/>
        <v>132330</v>
      </c>
      <c r="AM285" s="4">
        <f t="shared" si="320"/>
        <v>425357</v>
      </c>
      <c r="AN285" s="12">
        <f t="shared" si="320"/>
        <v>39556183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701.5</v>
      </c>
      <c r="M286" s="60">
        <f>AVERAGE(M272:M273)</f>
        <v>79564</v>
      </c>
      <c r="T286" s="15">
        <f t="shared" ref="T286:U286" si="321">AVERAGE(T272:T273)</f>
        <v>35682.5</v>
      </c>
      <c r="U286" s="28">
        <f t="shared" si="321"/>
        <v>3434621</v>
      </c>
    </row>
    <row r="287" spans="1:43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5.4447587890359712E-3</v>
      </c>
      <c r="M287" s="36">
        <f>+M286/$M$371</f>
        <v>3.9049878440308543E-3</v>
      </c>
      <c r="N287" s="18"/>
      <c r="O287" s="19"/>
      <c r="P287" s="19"/>
      <c r="Q287" s="19"/>
      <c r="R287" s="19"/>
      <c r="S287" s="19"/>
      <c r="T287" s="36">
        <f>+L286/T286</f>
        <v>1.9659496952287536E-2</v>
      </c>
      <c r="U287" s="62">
        <f>+M286/U286</f>
        <v>2.3165292473318017E-2</v>
      </c>
    </row>
    <row r="288" spans="1:43" x14ac:dyDescent="0.25">
      <c r="A288" s="67" t="s">
        <v>81</v>
      </c>
      <c r="L288" s="26"/>
      <c r="M288" s="26"/>
    </row>
    <row r="289" spans="1:43" x14ac:dyDescent="0.25">
      <c r="B289" s="5"/>
    </row>
    <row r="290" spans="1:43" x14ac:dyDescent="0.25">
      <c r="D290" s="89" t="s">
        <v>15</v>
      </c>
      <c r="E290" s="90"/>
      <c r="F290" s="89" t="s">
        <v>71</v>
      </c>
      <c r="G290" s="90"/>
      <c r="H290" s="89" t="s">
        <v>16</v>
      </c>
      <c r="I290" s="90"/>
      <c r="J290" s="89" t="s">
        <v>17</v>
      </c>
      <c r="K290" s="93"/>
      <c r="L290" s="89" t="s">
        <v>18</v>
      </c>
      <c r="M290" s="93"/>
      <c r="N290" s="89" t="s">
        <v>13</v>
      </c>
      <c r="O290" s="93"/>
      <c r="P290" s="89" t="s">
        <v>34</v>
      </c>
      <c r="Q290" s="93"/>
      <c r="R290" s="89" t="s">
        <v>87</v>
      </c>
      <c r="S290" s="93"/>
      <c r="T290" s="89" t="s">
        <v>12</v>
      </c>
      <c r="U290" s="93"/>
      <c r="AA290" s="89" t="s">
        <v>69</v>
      </c>
      <c r="AB290" s="90"/>
      <c r="AC290" s="89" t="s">
        <v>17</v>
      </c>
      <c r="AD290" s="93"/>
      <c r="AE290" s="89" t="s">
        <v>18</v>
      </c>
      <c r="AF290" s="93"/>
      <c r="AG290" s="89" t="s">
        <v>13</v>
      </c>
      <c r="AH290" s="93"/>
      <c r="AI290" s="89" t="s">
        <v>34</v>
      </c>
      <c r="AJ290" s="93"/>
      <c r="AK290" s="89" t="s">
        <v>87</v>
      </c>
      <c r="AL290" s="93"/>
      <c r="AM290" s="89" t="s">
        <v>12</v>
      </c>
      <c r="AN290" s="93"/>
    </row>
    <row r="291" spans="1:43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x14ac:dyDescent="0.25">
      <c r="B293" s="2" t="s">
        <v>5</v>
      </c>
      <c r="C293" s="2">
        <v>2024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U304" si="322">N293+L293+J293+H293+D293+P293+F293+R293</f>
        <v>0</v>
      </c>
      <c r="U293" s="54">
        <f t="shared" si="322"/>
        <v>0</v>
      </c>
      <c r="V293" s="2" t="s">
        <v>82</v>
      </c>
      <c r="Y293" s="2" t="s">
        <v>5</v>
      </c>
      <c r="Z293" s="2">
        <v>2024</v>
      </c>
      <c r="AA293" s="1">
        <f t="shared" ref="AA293:AA304" si="323">D293+H293+F293</f>
        <v>0</v>
      </c>
      <c r="AB293" s="11">
        <f t="shared" ref="AB293:AB304" si="324">E293+I293+G293</f>
        <v>0</v>
      </c>
      <c r="AC293" s="1">
        <f t="shared" ref="AC293:AC304" si="325">+J293</f>
        <v>0</v>
      </c>
      <c r="AD293" s="11">
        <f t="shared" ref="AD293:AD304" si="326">+K293</f>
        <v>0</v>
      </c>
      <c r="AE293" s="8">
        <f t="shared" ref="AE293:AE304" si="327">+L293</f>
        <v>0</v>
      </c>
      <c r="AF293" s="11">
        <f t="shared" ref="AF293:AF304" si="328">+M293</f>
        <v>0</v>
      </c>
      <c r="AG293" s="8">
        <f t="shared" ref="AG293:AG304" si="329">+N293</f>
        <v>0</v>
      </c>
      <c r="AH293" s="11">
        <f t="shared" ref="AH293:AH304" si="330">+O293</f>
        <v>0</v>
      </c>
      <c r="AI293" s="8">
        <f t="shared" ref="AI293:AI304" si="331">+P293</f>
        <v>0</v>
      </c>
      <c r="AJ293" s="11">
        <f t="shared" ref="AJ293:AJ304" si="332">+Q293</f>
        <v>0</v>
      </c>
      <c r="AK293" s="11">
        <f t="shared" ref="AK293:AK304" si="333">+R293</f>
        <v>0</v>
      </c>
      <c r="AL293" s="11">
        <f t="shared" ref="AL293:AL304" si="334">+S293</f>
        <v>0</v>
      </c>
      <c r="AM293" s="8">
        <f>AI293+AG293+AE293+AC293+AA293+AK293</f>
        <v>0</v>
      </c>
      <c r="AN293" s="11">
        <f t="shared" ref="AN293:AN304" si="335">AJ293+AH293+AF293+AD293+AB293+AL293</f>
        <v>0</v>
      </c>
      <c r="AO293" s="2" t="str">
        <f t="shared" ref="AO293:AO304" si="336">+V293</f>
        <v>META</v>
      </c>
      <c r="AP293" s="37">
        <f t="shared" ref="AP293:AP304" si="337">+AM293-T293</f>
        <v>0</v>
      </c>
      <c r="AQ293" s="37">
        <f t="shared" ref="AQ293:AQ304" si="338">+AN293-U293</f>
        <v>0</v>
      </c>
    </row>
    <row r="294" spans="1:43" x14ac:dyDescent="0.25">
      <c r="B294" s="2" t="s">
        <v>6</v>
      </c>
      <c r="C294" s="2">
        <v>2024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322"/>
        <v>0</v>
      </c>
      <c r="U294" s="54">
        <f t="shared" si="322"/>
        <v>0</v>
      </c>
      <c r="V294" s="2" t="s">
        <v>82</v>
      </c>
      <c r="Y294" s="2" t="s">
        <v>6</v>
      </c>
      <c r="Z294" s="2">
        <v>2024</v>
      </c>
      <c r="AA294" s="1">
        <f t="shared" si="323"/>
        <v>0</v>
      </c>
      <c r="AB294" s="11">
        <f t="shared" si="324"/>
        <v>0</v>
      </c>
      <c r="AC294" s="1">
        <f t="shared" si="325"/>
        <v>0</v>
      </c>
      <c r="AD294" s="11">
        <f t="shared" si="326"/>
        <v>0</v>
      </c>
      <c r="AE294" s="8">
        <f t="shared" si="327"/>
        <v>0</v>
      </c>
      <c r="AF294" s="11">
        <f t="shared" si="328"/>
        <v>0</v>
      </c>
      <c r="AG294" s="8">
        <f t="shared" si="329"/>
        <v>0</v>
      </c>
      <c r="AH294" s="11">
        <f t="shared" si="330"/>
        <v>0</v>
      </c>
      <c r="AI294" s="8">
        <f t="shared" si="331"/>
        <v>0</v>
      </c>
      <c r="AJ294" s="11">
        <f t="shared" si="332"/>
        <v>0</v>
      </c>
      <c r="AK294" s="11">
        <f t="shared" si="333"/>
        <v>0</v>
      </c>
      <c r="AL294" s="11">
        <f t="shared" si="334"/>
        <v>0</v>
      </c>
      <c r="AM294" s="8">
        <f t="shared" ref="AM294:AM304" si="339">AI294+AG294+AE294+AC294+AA294+AK294</f>
        <v>0</v>
      </c>
      <c r="AN294" s="11">
        <f t="shared" si="335"/>
        <v>0</v>
      </c>
      <c r="AO294" s="2" t="str">
        <f t="shared" si="336"/>
        <v>META</v>
      </c>
      <c r="AP294" s="37">
        <f t="shared" si="337"/>
        <v>0</v>
      </c>
      <c r="AQ294" s="37">
        <f t="shared" si="338"/>
        <v>0</v>
      </c>
    </row>
    <row r="295" spans="1:43" x14ac:dyDescent="0.25">
      <c r="B295" s="2" t="s">
        <v>7</v>
      </c>
      <c r="C295" s="2">
        <v>2024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322"/>
        <v>0</v>
      </c>
      <c r="U295" s="54">
        <f t="shared" si="322"/>
        <v>0</v>
      </c>
      <c r="V295" s="2" t="s">
        <v>82</v>
      </c>
      <c r="X295" s="13"/>
      <c r="Y295" s="2" t="s">
        <v>7</v>
      </c>
      <c r="Z295" s="2">
        <v>2024</v>
      </c>
      <c r="AA295" s="1">
        <f t="shared" si="323"/>
        <v>0</v>
      </c>
      <c r="AB295" s="11">
        <f t="shared" si="324"/>
        <v>0</v>
      </c>
      <c r="AC295" s="1">
        <f t="shared" si="325"/>
        <v>0</v>
      </c>
      <c r="AD295" s="11">
        <f t="shared" si="326"/>
        <v>0</v>
      </c>
      <c r="AE295" s="8">
        <f t="shared" si="327"/>
        <v>0</v>
      </c>
      <c r="AF295" s="11">
        <f t="shared" si="328"/>
        <v>0</v>
      </c>
      <c r="AG295" s="8">
        <f t="shared" si="329"/>
        <v>0</v>
      </c>
      <c r="AH295" s="11">
        <f t="shared" si="330"/>
        <v>0</v>
      </c>
      <c r="AI295" s="8">
        <f t="shared" si="331"/>
        <v>0</v>
      </c>
      <c r="AJ295" s="11">
        <f t="shared" si="332"/>
        <v>0</v>
      </c>
      <c r="AK295" s="11">
        <f t="shared" si="333"/>
        <v>0</v>
      </c>
      <c r="AL295" s="11">
        <f t="shared" si="334"/>
        <v>0</v>
      </c>
      <c r="AM295" s="8">
        <f t="shared" si="339"/>
        <v>0</v>
      </c>
      <c r="AN295" s="11">
        <f t="shared" si="335"/>
        <v>0</v>
      </c>
      <c r="AO295" s="2" t="str">
        <f t="shared" si="336"/>
        <v>META</v>
      </c>
      <c r="AP295" s="37">
        <f t="shared" si="337"/>
        <v>0</v>
      </c>
      <c r="AQ295" s="37">
        <f t="shared" si="338"/>
        <v>0</v>
      </c>
    </row>
    <row r="296" spans="1:43" x14ac:dyDescent="0.25">
      <c r="B296" s="2" t="s">
        <v>8</v>
      </c>
      <c r="C296" s="2">
        <v>2024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322"/>
        <v>0</v>
      </c>
      <c r="U296" s="54">
        <f t="shared" si="322"/>
        <v>0</v>
      </c>
      <c r="V296" s="2" t="s">
        <v>82</v>
      </c>
      <c r="X296" s="13"/>
      <c r="Y296" s="2" t="s">
        <v>8</v>
      </c>
      <c r="Z296" s="2">
        <v>2024</v>
      </c>
      <c r="AA296" s="1">
        <f t="shared" si="323"/>
        <v>0</v>
      </c>
      <c r="AB296" s="11">
        <f t="shared" si="324"/>
        <v>0</v>
      </c>
      <c r="AC296" s="1">
        <f t="shared" si="325"/>
        <v>0</v>
      </c>
      <c r="AD296" s="11">
        <f t="shared" si="326"/>
        <v>0</v>
      </c>
      <c r="AE296" s="8">
        <f t="shared" si="327"/>
        <v>0</v>
      </c>
      <c r="AF296" s="11">
        <f t="shared" si="328"/>
        <v>0</v>
      </c>
      <c r="AG296" s="8">
        <f t="shared" si="329"/>
        <v>0</v>
      </c>
      <c r="AH296" s="11">
        <f t="shared" si="330"/>
        <v>0</v>
      </c>
      <c r="AI296" s="8">
        <f t="shared" si="331"/>
        <v>0</v>
      </c>
      <c r="AJ296" s="11">
        <f t="shared" si="332"/>
        <v>0</v>
      </c>
      <c r="AK296" s="11">
        <f t="shared" si="333"/>
        <v>0</v>
      </c>
      <c r="AL296" s="11">
        <f t="shared" si="334"/>
        <v>0</v>
      </c>
      <c r="AM296" s="8">
        <f t="shared" si="339"/>
        <v>0</v>
      </c>
      <c r="AN296" s="11">
        <f t="shared" si="335"/>
        <v>0</v>
      </c>
      <c r="AO296" s="2" t="str">
        <f t="shared" si="336"/>
        <v>META</v>
      </c>
      <c r="AP296" s="37">
        <f t="shared" si="337"/>
        <v>0</v>
      </c>
      <c r="AQ296" s="37">
        <f t="shared" si="338"/>
        <v>0</v>
      </c>
    </row>
    <row r="297" spans="1:43" x14ac:dyDescent="0.25">
      <c r="B297" s="2" t="s">
        <v>9</v>
      </c>
      <c r="C297" s="2">
        <v>2024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322"/>
        <v>0</v>
      </c>
      <c r="U297" s="54">
        <f t="shared" si="322"/>
        <v>0</v>
      </c>
      <c r="V297" s="2" t="s">
        <v>82</v>
      </c>
      <c r="X297" s="13"/>
      <c r="Y297" s="2" t="s">
        <v>9</v>
      </c>
      <c r="Z297" s="2">
        <v>2024</v>
      </c>
      <c r="AA297" s="1">
        <f t="shared" si="323"/>
        <v>0</v>
      </c>
      <c r="AB297" s="11">
        <f t="shared" si="324"/>
        <v>0</v>
      </c>
      <c r="AC297" s="1">
        <f t="shared" si="325"/>
        <v>0</v>
      </c>
      <c r="AD297" s="11">
        <f t="shared" si="326"/>
        <v>0</v>
      </c>
      <c r="AE297" s="8">
        <f t="shared" si="327"/>
        <v>0</v>
      </c>
      <c r="AF297" s="11">
        <f t="shared" si="328"/>
        <v>0</v>
      </c>
      <c r="AG297" s="8">
        <f t="shared" si="329"/>
        <v>0</v>
      </c>
      <c r="AH297" s="11">
        <f t="shared" si="330"/>
        <v>0</v>
      </c>
      <c r="AI297" s="8">
        <f t="shared" si="331"/>
        <v>0</v>
      </c>
      <c r="AJ297" s="11">
        <f t="shared" si="332"/>
        <v>0</v>
      </c>
      <c r="AK297" s="11">
        <f t="shared" si="333"/>
        <v>0</v>
      </c>
      <c r="AL297" s="11">
        <f t="shared" si="334"/>
        <v>0</v>
      </c>
      <c r="AM297" s="8">
        <f t="shared" si="339"/>
        <v>0</v>
      </c>
      <c r="AN297" s="11">
        <f t="shared" si="335"/>
        <v>0</v>
      </c>
      <c r="AO297" s="2" t="str">
        <f t="shared" si="336"/>
        <v>META</v>
      </c>
      <c r="AP297" s="37">
        <f t="shared" si="337"/>
        <v>0</v>
      </c>
      <c r="AQ297" s="37">
        <f t="shared" si="338"/>
        <v>0</v>
      </c>
    </row>
    <row r="298" spans="1:43" x14ac:dyDescent="0.25">
      <c r="B298" s="2" t="s">
        <v>10</v>
      </c>
      <c r="C298" s="2">
        <v>2024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322"/>
        <v>0</v>
      </c>
      <c r="U298" s="54">
        <f t="shared" si="322"/>
        <v>0</v>
      </c>
      <c r="V298" s="2" t="s">
        <v>82</v>
      </c>
      <c r="Y298" s="2" t="s">
        <v>10</v>
      </c>
      <c r="Z298" s="2">
        <v>2024</v>
      </c>
      <c r="AA298" s="1">
        <f t="shared" si="323"/>
        <v>0</v>
      </c>
      <c r="AB298" s="11">
        <f t="shared" si="324"/>
        <v>0</v>
      </c>
      <c r="AC298" s="1">
        <f t="shared" si="325"/>
        <v>0</v>
      </c>
      <c r="AD298" s="11">
        <f t="shared" si="326"/>
        <v>0</v>
      </c>
      <c r="AE298" s="8">
        <f t="shared" si="327"/>
        <v>0</v>
      </c>
      <c r="AF298" s="11">
        <f t="shared" si="328"/>
        <v>0</v>
      </c>
      <c r="AG298" s="8">
        <f t="shared" si="329"/>
        <v>0</v>
      </c>
      <c r="AH298" s="11">
        <f t="shared" si="330"/>
        <v>0</v>
      </c>
      <c r="AI298" s="8">
        <f t="shared" si="331"/>
        <v>0</v>
      </c>
      <c r="AJ298" s="11">
        <f t="shared" si="332"/>
        <v>0</v>
      </c>
      <c r="AK298" s="11">
        <f t="shared" si="333"/>
        <v>0</v>
      </c>
      <c r="AL298" s="11">
        <f t="shared" si="334"/>
        <v>0</v>
      </c>
      <c r="AM298" s="8">
        <f t="shared" si="339"/>
        <v>0</v>
      </c>
      <c r="AN298" s="11">
        <f t="shared" si="335"/>
        <v>0</v>
      </c>
      <c r="AO298" s="2" t="str">
        <f t="shared" si="336"/>
        <v>META</v>
      </c>
      <c r="AP298" s="37">
        <f t="shared" si="337"/>
        <v>0</v>
      </c>
      <c r="AQ298" s="37">
        <f t="shared" si="338"/>
        <v>0</v>
      </c>
    </row>
    <row r="299" spans="1:43" x14ac:dyDescent="0.25">
      <c r="B299" s="2" t="s">
        <v>11</v>
      </c>
      <c r="C299" s="2">
        <v>2024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322"/>
        <v>0</v>
      </c>
      <c r="U299" s="54">
        <f t="shared" si="322"/>
        <v>0</v>
      </c>
      <c r="V299" s="2" t="s">
        <v>82</v>
      </c>
      <c r="Y299" s="2" t="s">
        <v>11</v>
      </c>
      <c r="Z299" s="2">
        <v>2024</v>
      </c>
      <c r="AA299" s="1">
        <f t="shared" si="323"/>
        <v>0</v>
      </c>
      <c r="AB299" s="11">
        <f t="shared" si="324"/>
        <v>0</v>
      </c>
      <c r="AC299" s="1">
        <f t="shared" si="325"/>
        <v>0</v>
      </c>
      <c r="AD299" s="11">
        <f t="shared" si="326"/>
        <v>0</v>
      </c>
      <c r="AE299" s="8">
        <f t="shared" si="327"/>
        <v>0</v>
      </c>
      <c r="AF299" s="11">
        <f t="shared" si="328"/>
        <v>0</v>
      </c>
      <c r="AG299" s="8">
        <f t="shared" si="329"/>
        <v>0</v>
      </c>
      <c r="AH299" s="11">
        <f t="shared" si="330"/>
        <v>0</v>
      </c>
      <c r="AI299" s="8">
        <f t="shared" si="331"/>
        <v>0</v>
      </c>
      <c r="AJ299" s="11">
        <f t="shared" si="332"/>
        <v>0</v>
      </c>
      <c r="AK299" s="11">
        <f t="shared" si="333"/>
        <v>0</v>
      </c>
      <c r="AL299" s="11">
        <f t="shared" si="334"/>
        <v>0</v>
      </c>
      <c r="AM299" s="8">
        <f t="shared" si="339"/>
        <v>0</v>
      </c>
      <c r="AN299" s="11">
        <f t="shared" si="335"/>
        <v>0</v>
      </c>
      <c r="AO299" s="2" t="str">
        <f t="shared" si="336"/>
        <v>META</v>
      </c>
      <c r="AP299" s="37">
        <f t="shared" si="337"/>
        <v>0</v>
      </c>
      <c r="AQ299" s="37">
        <f t="shared" si="338"/>
        <v>0</v>
      </c>
    </row>
    <row r="300" spans="1:43" x14ac:dyDescent="0.25">
      <c r="B300" s="2" t="s">
        <v>4</v>
      </c>
      <c r="C300" s="2">
        <v>2024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322"/>
        <v>0</v>
      </c>
      <c r="U300" s="54">
        <f t="shared" si="322"/>
        <v>0</v>
      </c>
      <c r="V300" s="2" t="s">
        <v>82</v>
      </c>
      <c r="Y300" s="2" t="s">
        <v>4</v>
      </c>
      <c r="Z300" s="2">
        <v>2024</v>
      </c>
      <c r="AA300" s="1">
        <f t="shared" si="323"/>
        <v>0</v>
      </c>
      <c r="AB300" s="11">
        <f t="shared" si="324"/>
        <v>0</v>
      </c>
      <c r="AC300" s="1">
        <f t="shared" si="325"/>
        <v>0</v>
      </c>
      <c r="AD300" s="11">
        <f t="shared" si="326"/>
        <v>0</v>
      </c>
      <c r="AE300" s="8">
        <f t="shared" si="327"/>
        <v>0</v>
      </c>
      <c r="AF300" s="11">
        <f t="shared" si="328"/>
        <v>0</v>
      </c>
      <c r="AG300" s="8">
        <f t="shared" si="329"/>
        <v>0</v>
      </c>
      <c r="AH300" s="11">
        <f t="shared" si="330"/>
        <v>0</v>
      </c>
      <c r="AI300" s="8">
        <f t="shared" si="331"/>
        <v>0</v>
      </c>
      <c r="AJ300" s="11">
        <f t="shared" si="332"/>
        <v>0</v>
      </c>
      <c r="AK300" s="11">
        <f t="shared" si="333"/>
        <v>0</v>
      </c>
      <c r="AL300" s="11">
        <f t="shared" si="334"/>
        <v>0</v>
      </c>
      <c r="AM300" s="8">
        <f t="shared" si="339"/>
        <v>0</v>
      </c>
      <c r="AN300" s="11">
        <f t="shared" si="335"/>
        <v>0</v>
      </c>
      <c r="AO300" s="2" t="str">
        <f t="shared" si="336"/>
        <v>META</v>
      </c>
      <c r="AP300" s="37">
        <f t="shared" si="337"/>
        <v>0</v>
      </c>
      <c r="AQ300" s="37">
        <f t="shared" si="338"/>
        <v>0</v>
      </c>
    </row>
    <row r="301" spans="1:43" x14ac:dyDescent="0.25">
      <c r="B301" s="2" t="s">
        <v>28</v>
      </c>
      <c r="C301" s="2">
        <v>2024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322"/>
        <v>0</v>
      </c>
      <c r="U301" s="54">
        <f t="shared" si="322"/>
        <v>0</v>
      </c>
      <c r="V301" s="2" t="s">
        <v>82</v>
      </c>
      <c r="Y301" s="2" t="s">
        <v>28</v>
      </c>
      <c r="Z301" s="2">
        <v>2024</v>
      </c>
      <c r="AA301" s="1">
        <f t="shared" si="323"/>
        <v>0</v>
      </c>
      <c r="AB301" s="11">
        <f t="shared" si="324"/>
        <v>0</v>
      </c>
      <c r="AC301" s="1">
        <f t="shared" si="325"/>
        <v>0</v>
      </c>
      <c r="AD301" s="11">
        <f t="shared" si="326"/>
        <v>0</v>
      </c>
      <c r="AE301" s="8">
        <f t="shared" si="327"/>
        <v>0</v>
      </c>
      <c r="AF301" s="11">
        <f t="shared" si="328"/>
        <v>0</v>
      </c>
      <c r="AG301" s="8">
        <f t="shared" si="329"/>
        <v>0</v>
      </c>
      <c r="AH301" s="11">
        <f t="shared" si="330"/>
        <v>0</v>
      </c>
      <c r="AI301" s="8">
        <f t="shared" si="331"/>
        <v>0</v>
      </c>
      <c r="AJ301" s="11">
        <f t="shared" si="332"/>
        <v>0</v>
      </c>
      <c r="AK301" s="11">
        <f t="shared" si="333"/>
        <v>0</v>
      </c>
      <c r="AL301" s="11">
        <f t="shared" si="334"/>
        <v>0</v>
      </c>
      <c r="AM301" s="8">
        <f t="shared" si="339"/>
        <v>0</v>
      </c>
      <c r="AN301" s="11">
        <f t="shared" si="335"/>
        <v>0</v>
      </c>
      <c r="AO301" s="2" t="str">
        <f t="shared" si="336"/>
        <v>META</v>
      </c>
      <c r="AP301" s="37">
        <f t="shared" si="337"/>
        <v>0</v>
      </c>
      <c r="AQ301" s="37">
        <f t="shared" si="338"/>
        <v>0</v>
      </c>
    </row>
    <row r="302" spans="1:43" x14ac:dyDescent="0.25">
      <c r="B302" s="2" t="s">
        <v>29</v>
      </c>
      <c r="C302" s="2">
        <v>2024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322"/>
        <v>0</v>
      </c>
      <c r="U302" s="54">
        <f t="shared" si="322"/>
        <v>0</v>
      </c>
      <c r="V302" s="2" t="s">
        <v>82</v>
      </c>
      <c r="Y302" s="2" t="s">
        <v>29</v>
      </c>
      <c r="Z302" s="2">
        <v>2024</v>
      </c>
      <c r="AA302" s="1">
        <f t="shared" si="323"/>
        <v>0</v>
      </c>
      <c r="AB302" s="11">
        <f t="shared" si="324"/>
        <v>0</v>
      </c>
      <c r="AC302" s="1">
        <f t="shared" si="325"/>
        <v>0</v>
      </c>
      <c r="AD302" s="11">
        <f t="shared" si="326"/>
        <v>0</v>
      </c>
      <c r="AE302" s="8">
        <f t="shared" si="327"/>
        <v>0</v>
      </c>
      <c r="AF302" s="11">
        <f t="shared" si="328"/>
        <v>0</v>
      </c>
      <c r="AG302" s="8">
        <f t="shared" si="329"/>
        <v>0</v>
      </c>
      <c r="AH302" s="11">
        <f t="shared" si="330"/>
        <v>0</v>
      </c>
      <c r="AI302" s="8">
        <f t="shared" si="331"/>
        <v>0</v>
      </c>
      <c r="AJ302" s="11">
        <f t="shared" si="332"/>
        <v>0</v>
      </c>
      <c r="AK302" s="11">
        <f t="shared" si="333"/>
        <v>0</v>
      </c>
      <c r="AL302" s="11">
        <f t="shared" si="334"/>
        <v>0</v>
      </c>
      <c r="AM302" s="8">
        <f t="shared" si="339"/>
        <v>0</v>
      </c>
      <c r="AN302" s="11">
        <f t="shared" si="335"/>
        <v>0</v>
      </c>
      <c r="AO302" s="2" t="str">
        <f t="shared" si="336"/>
        <v>META</v>
      </c>
      <c r="AP302" s="37">
        <f t="shared" si="337"/>
        <v>0</v>
      </c>
      <c r="AQ302" s="37">
        <f t="shared" si="338"/>
        <v>0</v>
      </c>
    </row>
    <row r="303" spans="1:43" x14ac:dyDescent="0.25">
      <c r="B303" s="2" t="s">
        <v>30</v>
      </c>
      <c r="C303" s="2">
        <v>2024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322"/>
        <v>0</v>
      </c>
      <c r="U303" s="48">
        <f t="shared" si="322"/>
        <v>0</v>
      </c>
      <c r="V303" s="2" t="s">
        <v>82</v>
      </c>
      <c r="Y303" s="2" t="s">
        <v>30</v>
      </c>
      <c r="Z303" s="2">
        <v>2024</v>
      </c>
      <c r="AA303" s="1">
        <f t="shared" si="323"/>
        <v>0</v>
      </c>
      <c r="AB303" s="11">
        <f t="shared" si="324"/>
        <v>0</v>
      </c>
      <c r="AC303" s="1">
        <f t="shared" si="325"/>
        <v>0</v>
      </c>
      <c r="AD303" s="11">
        <f t="shared" si="326"/>
        <v>0</v>
      </c>
      <c r="AE303" s="8">
        <f t="shared" si="327"/>
        <v>0</v>
      </c>
      <c r="AF303" s="11">
        <f t="shared" si="328"/>
        <v>0</v>
      </c>
      <c r="AG303" s="8">
        <f t="shared" si="329"/>
        <v>0</v>
      </c>
      <c r="AH303" s="11">
        <f t="shared" si="330"/>
        <v>0</v>
      </c>
      <c r="AI303" s="8">
        <f t="shared" si="331"/>
        <v>0</v>
      </c>
      <c r="AJ303" s="11">
        <f t="shared" si="332"/>
        <v>0</v>
      </c>
      <c r="AK303" s="11">
        <f t="shared" si="333"/>
        <v>0</v>
      </c>
      <c r="AL303" s="11">
        <f t="shared" si="334"/>
        <v>0</v>
      </c>
      <c r="AM303" s="79">
        <f t="shared" si="339"/>
        <v>0</v>
      </c>
      <c r="AN303" s="80">
        <f t="shared" si="335"/>
        <v>0</v>
      </c>
      <c r="AO303" s="2" t="str">
        <f t="shared" si="336"/>
        <v>META</v>
      </c>
      <c r="AP303" s="37">
        <f t="shared" si="337"/>
        <v>0</v>
      </c>
      <c r="AQ303" s="37">
        <f t="shared" si="338"/>
        <v>0</v>
      </c>
    </row>
    <row r="304" spans="1:43" x14ac:dyDescent="0.25">
      <c r="B304" s="2" t="s">
        <v>31</v>
      </c>
      <c r="C304" s="2">
        <v>2024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322"/>
        <v>0</v>
      </c>
      <c r="U304" s="48">
        <f t="shared" si="322"/>
        <v>0</v>
      </c>
      <c r="V304" s="2" t="s">
        <v>82</v>
      </c>
      <c r="Y304" s="2" t="s">
        <v>31</v>
      </c>
      <c r="Z304" s="2">
        <v>2024</v>
      </c>
      <c r="AA304" s="1">
        <f t="shared" si="323"/>
        <v>0</v>
      </c>
      <c r="AB304" s="11">
        <f t="shared" si="324"/>
        <v>0</v>
      </c>
      <c r="AC304" s="1">
        <f t="shared" si="325"/>
        <v>0</v>
      </c>
      <c r="AD304" s="11">
        <f t="shared" si="326"/>
        <v>0</v>
      </c>
      <c r="AE304" s="8">
        <f t="shared" si="327"/>
        <v>0</v>
      </c>
      <c r="AF304" s="11">
        <f t="shared" si="328"/>
        <v>0</v>
      </c>
      <c r="AG304" s="8">
        <f t="shared" si="329"/>
        <v>0</v>
      </c>
      <c r="AH304" s="11">
        <f t="shared" si="330"/>
        <v>0</v>
      </c>
      <c r="AI304" s="8">
        <f t="shared" si="331"/>
        <v>0</v>
      </c>
      <c r="AJ304" s="11">
        <f t="shared" si="332"/>
        <v>0</v>
      </c>
      <c r="AK304" s="11">
        <f t="shared" si="333"/>
        <v>0</v>
      </c>
      <c r="AL304" s="11">
        <f t="shared" si="334"/>
        <v>0</v>
      </c>
      <c r="AM304" s="8">
        <f t="shared" si="339"/>
        <v>0</v>
      </c>
      <c r="AN304" s="11">
        <f t="shared" si="335"/>
        <v>0</v>
      </c>
      <c r="AO304" s="2" t="str">
        <f t="shared" si="336"/>
        <v>META</v>
      </c>
      <c r="AP304" s="37">
        <f t="shared" si="337"/>
        <v>0</v>
      </c>
      <c r="AQ304" s="37">
        <f t="shared" si="338"/>
        <v>0</v>
      </c>
    </row>
    <row r="305" spans="1:43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x14ac:dyDescent="0.25">
      <c r="B306" s="3" t="s">
        <v>12</v>
      </c>
      <c r="C306" s="3"/>
      <c r="D306" s="4">
        <f t="shared" ref="D306:U306" si="340">SUM(D293:D305)</f>
        <v>0</v>
      </c>
      <c r="E306" s="12">
        <f t="shared" si="340"/>
        <v>0</v>
      </c>
      <c r="F306" s="4">
        <f t="shared" si="340"/>
        <v>0</v>
      </c>
      <c r="G306" s="12">
        <f t="shared" si="340"/>
        <v>0</v>
      </c>
      <c r="H306" s="4">
        <f t="shared" si="340"/>
        <v>0</v>
      </c>
      <c r="I306" s="12">
        <f t="shared" si="340"/>
        <v>0</v>
      </c>
      <c r="J306" s="4">
        <f t="shared" si="340"/>
        <v>0</v>
      </c>
      <c r="K306" s="12">
        <f t="shared" si="340"/>
        <v>0</v>
      </c>
      <c r="L306" s="4">
        <f t="shared" si="340"/>
        <v>0</v>
      </c>
      <c r="M306" s="12">
        <f t="shared" si="340"/>
        <v>0</v>
      </c>
      <c r="N306" s="4">
        <f t="shared" si="340"/>
        <v>0</v>
      </c>
      <c r="O306" s="12">
        <f t="shared" si="340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340"/>
        <v>0</v>
      </c>
      <c r="U306" s="12">
        <f t="shared" si="340"/>
        <v>0</v>
      </c>
      <c r="V306" s="2" t="s">
        <v>129</v>
      </c>
      <c r="Y306" s="3" t="s">
        <v>12</v>
      </c>
      <c r="Z306" s="3"/>
      <c r="AA306" s="4">
        <f t="shared" ref="AA306:AN306" si="341">SUM(AA293:AA305)</f>
        <v>0</v>
      </c>
      <c r="AB306" s="12">
        <f t="shared" si="341"/>
        <v>0</v>
      </c>
      <c r="AC306" s="4">
        <f t="shared" si="341"/>
        <v>0</v>
      </c>
      <c r="AD306" s="12">
        <f t="shared" si="341"/>
        <v>0</v>
      </c>
      <c r="AE306" s="4">
        <f t="shared" si="341"/>
        <v>0</v>
      </c>
      <c r="AF306" s="12">
        <f t="shared" si="341"/>
        <v>0</v>
      </c>
      <c r="AG306" s="4">
        <f t="shared" si="341"/>
        <v>0</v>
      </c>
      <c r="AH306" s="12">
        <f t="shared" si="341"/>
        <v>0</v>
      </c>
      <c r="AI306" s="4">
        <f t="shared" si="341"/>
        <v>0</v>
      </c>
      <c r="AJ306" s="12">
        <f t="shared" si="341"/>
        <v>0</v>
      </c>
      <c r="AK306" s="4">
        <f t="shared" si="341"/>
        <v>0</v>
      </c>
      <c r="AL306" s="12">
        <f t="shared" si="341"/>
        <v>0</v>
      </c>
      <c r="AM306" s="4">
        <f t="shared" si="341"/>
        <v>0</v>
      </c>
      <c r="AN306" s="12">
        <f t="shared" si="341"/>
        <v>0</v>
      </c>
    </row>
    <row r="307" spans="1:43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0"/>
      <c r="F311" s="89" t="s">
        <v>71</v>
      </c>
      <c r="G311" s="90"/>
      <c r="H311" s="89" t="s">
        <v>16</v>
      </c>
      <c r="I311" s="90"/>
      <c r="J311" s="89" t="s">
        <v>17</v>
      </c>
      <c r="K311" s="93"/>
      <c r="L311" s="89" t="s">
        <v>18</v>
      </c>
      <c r="M311" s="93"/>
      <c r="N311" s="89" t="s">
        <v>13</v>
      </c>
      <c r="O311" s="93"/>
      <c r="P311" s="89" t="s">
        <v>34</v>
      </c>
      <c r="Q311" s="93"/>
      <c r="R311" s="89" t="s">
        <v>87</v>
      </c>
      <c r="S311" s="93"/>
      <c r="T311" s="89" t="s">
        <v>12</v>
      </c>
      <c r="U311" s="93"/>
      <c r="AA311" s="89" t="s">
        <v>69</v>
      </c>
      <c r="AB311" s="90"/>
      <c r="AC311" s="89" t="s">
        <v>17</v>
      </c>
      <c r="AD311" s="93"/>
      <c r="AE311" s="89" t="s">
        <v>18</v>
      </c>
      <c r="AF311" s="93"/>
      <c r="AG311" s="89" t="s">
        <v>13</v>
      </c>
      <c r="AH311" s="93"/>
      <c r="AI311" s="89" t="s">
        <v>34</v>
      </c>
      <c r="AJ311" s="93"/>
      <c r="AK311" s="89" t="s">
        <v>87</v>
      </c>
      <c r="AL311" s="93"/>
      <c r="AM311" s="89" t="s">
        <v>12</v>
      </c>
      <c r="AN311" s="93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2024</v>
      </c>
      <c r="D314" s="1">
        <v>1</v>
      </c>
      <c r="E314" s="11">
        <v>320</v>
      </c>
      <c r="F314" s="1">
        <v>0</v>
      </c>
      <c r="G314" s="11">
        <v>0</v>
      </c>
      <c r="H314" s="1">
        <v>0</v>
      </c>
      <c r="I314" s="11">
        <v>0</v>
      </c>
      <c r="J314" s="1">
        <v>82</v>
      </c>
      <c r="K314" s="11">
        <v>15743</v>
      </c>
      <c r="L314" s="1">
        <v>1</v>
      </c>
      <c r="M314" s="11">
        <v>320</v>
      </c>
      <c r="N314" s="1">
        <v>0</v>
      </c>
      <c r="O314" s="11">
        <v>0</v>
      </c>
      <c r="P314" s="8">
        <v>0</v>
      </c>
      <c r="Q314" s="11">
        <v>0</v>
      </c>
      <c r="R314" s="8">
        <v>0</v>
      </c>
      <c r="S314" s="11">
        <v>0</v>
      </c>
      <c r="T314" s="53">
        <f t="shared" ref="T314:U325" si="342">N314+L314+J314+H314+D314+P314+F314+R314</f>
        <v>84</v>
      </c>
      <c r="U314" s="54">
        <f t="shared" si="342"/>
        <v>16383</v>
      </c>
      <c r="V314" s="2" t="s">
        <v>90</v>
      </c>
      <c r="Y314" s="2" t="s">
        <v>5</v>
      </c>
      <c r="Z314" s="2">
        <v>2024</v>
      </c>
      <c r="AA314" s="1">
        <f t="shared" ref="AA314:AA325" si="343">D314+H314+F314</f>
        <v>1</v>
      </c>
      <c r="AB314" s="11">
        <f t="shared" ref="AB314:AB325" si="344">E314+I314+G314</f>
        <v>320</v>
      </c>
      <c r="AC314" s="1">
        <f t="shared" ref="AC314:AC325" si="345">+J314</f>
        <v>82</v>
      </c>
      <c r="AD314" s="11">
        <f t="shared" ref="AD314:AD325" si="346">+K314</f>
        <v>15743</v>
      </c>
      <c r="AE314" s="8">
        <f t="shared" ref="AE314:AE325" si="347">+L314</f>
        <v>1</v>
      </c>
      <c r="AF314" s="11">
        <f t="shared" ref="AF314:AF325" si="348">+M314</f>
        <v>320</v>
      </c>
      <c r="AG314" s="8">
        <f t="shared" ref="AG314:AG325" si="349">+N314</f>
        <v>0</v>
      </c>
      <c r="AH314" s="11">
        <f t="shared" ref="AH314:AH325" si="350">+O314</f>
        <v>0</v>
      </c>
      <c r="AI314" s="8">
        <f t="shared" ref="AI314:AI325" si="351">+P314</f>
        <v>0</v>
      </c>
      <c r="AJ314" s="11">
        <f t="shared" ref="AJ314:AJ325" si="352">+Q314</f>
        <v>0</v>
      </c>
      <c r="AK314" s="11">
        <f t="shared" ref="AK314:AK325" si="353">+R314</f>
        <v>0</v>
      </c>
      <c r="AL314" s="11">
        <f t="shared" ref="AL314:AL325" si="354">+S314</f>
        <v>0</v>
      </c>
      <c r="AM314" s="8">
        <f>AI314+AG314+AE314+AC314+AA314+AK314</f>
        <v>84</v>
      </c>
      <c r="AN314" s="11">
        <f t="shared" ref="AN314:AN325" si="355">AJ314+AH314+AF314+AD314+AB314+AL314</f>
        <v>16383</v>
      </c>
      <c r="AO314" s="2" t="str">
        <f t="shared" ref="AO314:AO325" si="356">+V314</f>
        <v>COTESA</v>
      </c>
      <c r="AP314" s="37">
        <f t="shared" ref="AP314:AP325" si="357">+AM314-T314</f>
        <v>0</v>
      </c>
      <c r="AQ314" s="37">
        <f t="shared" ref="AQ314:AQ325" si="358">+AN314-U314</f>
        <v>0</v>
      </c>
    </row>
    <row r="315" spans="1:43" x14ac:dyDescent="0.25">
      <c r="B315" s="2" t="s">
        <v>6</v>
      </c>
      <c r="C315" s="2">
        <v>2024</v>
      </c>
      <c r="D315" s="1">
        <v>60</v>
      </c>
      <c r="E315" s="11">
        <v>5460</v>
      </c>
      <c r="F315" s="1">
        <v>18</v>
      </c>
      <c r="G315" s="11">
        <v>1638</v>
      </c>
      <c r="H315" s="1">
        <v>15</v>
      </c>
      <c r="I315" s="11">
        <v>2585</v>
      </c>
      <c r="J315" s="1">
        <v>1656</v>
      </c>
      <c r="K315" s="11">
        <v>190138</v>
      </c>
      <c r="L315" s="1">
        <v>51</v>
      </c>
      <c r="M315" s="11">
        <v>13249</v>
      </c>
      <c r="N315" s="1">
        <v>33</v>
      </c>
      <c r="O315" s="11">
        <v>5384</v>
      </c>
      <c r="P315" s="8">
        <v>0</v>
      </c>
      <c r="Q315" s="11">
        <v>0</v>
      </c>
      <c r="R315" s="8">
        <v>0</v>
      </c>
      <c r="S315" s="11">
        <v>0</v>
      </c>
      <c r="T315" s="53">
        <f t="shared" si="342"/>
        <v>1833</v>
      </c>
      <c r="U315" s="54">
        <f t="shared" si="342"/>
        <v>218454</v>
      </c>
      <c r="V315" s="2" t="s">
        <v>90</v>
      </c>
      <c r="Y315" s="2" t="s">
        <v>6</v>
      </c>
      <c r="Z315" s="2">
        <v>2024</v>
      </c>
      <c r="AA315" s="1">
        <f t="shared" si="343"/>
        <v>93</v>
      </c>
      <c r="AB315" s="11">
        <f t="shared" si="344"/>
        <v>9683</v>
      </c>
      <c r="AC315" s="1">
        <f t="shared" si="345"/>
        <v>1656</v>
      </c>
      <c r="AD315" s="11">
        <f t="shared" si="346"/>
        <v>190138</v>
      </c>
      <c r="AE315" s="8">
        <f t="shared" si="347"/>
        <v>51</v>
      </c>
      <c r="AF315" s="11">
        <f t="shared" si="348"/>
        <v>13249</v>
      </c>
      <c r="AG315" s="8">
        <f t="shared" si="349"/>
        <v>33</v>
      </c>
      <c r="AH315" s="11">
        <f t="shared" si="350"/>
        <v>5384</v>
      </c>
      <c r="AI315" s="8">
        <f t="shared" si="351"/>
        <v>0</v>
      </c>
      <c r="AJ315" s="11">
        <f t="shared" si="352"/>
        <v>0</v>
      </c>
      <c r="AK315" s="11">
        <f t="shared" si="353"/>
        <v>0</v>
      </c>
      <c r="AL315" s="11">
        <f t="shared" si="354"/>
        <v>0</v>
      </c>
      <c r="AM315" s="8">
        <f t="shared" ref="AM315:AM325" si="359">AI315+AG315+AE315+AC315+AA315+AK315</f>
        <v>1833</v>
      </c>
      <c r="AN315" s="11">
        <f t="shared" si="355"/>
        <v>218454</v>
      </c>
      <c r="AO315" s="2" t="str">
        <f t="shared" si="356"/>
        <v>COTESA</v>
      </c>
      <c r="AP315" s="37">
        <f t="shared" si="357"/>
        <v>0</v>
      </c>
      <c r="AQ315" s="37">
        <f t="shared" si="358"/>
        <v>0</v>
      </c>
    </row>
    <row r="316" spans="1:43" x14ac:dyDescent="0.25">
      <c r="B316" s="2" t="s">
        <v>7</v>
      </c>
      <c r="C316" s="2">
        <v>2024</v>
      </c>
      <c r="D316" s="1">
        <v>276</v>
      </c>
      <c r="E316" s="11">
        <v>28946</v>
      </c>
      <c r="F316" s="1">
        <v>67</v>
      </c>
      <c r="G316" s="11">
        <v>7118</v>
      </c>
      <c r="H316" s="1">
        <v>38</v>
      </c>
      <c r="I316" s="11">
        <v>5532</v>
      </c>
      <c r="J316" s="1">
        <v>5819</v>
      </c>
      <c r="K316" s="11">
        <v>661330</v>
      </c>
      <c r="L316" s="1">
        <v>108</v>
      </c>
      <c r="M316" s="11">
        <v>27367</v>
      </c>
      <c r="N316" s="1">
        <v>57</v>
      </c>
      <c r="O316" s="11">
        <v>9232</v>
      </c>
      <c r="P316" s="8">
        <v>0</v>
      </c>
      <c r="Q316" s="11">
        <v>0</v>
      </c>
      <c r="R316" s="8">
        <v>8</v>
      </c>
      <c r="S316" s="11">
        <v>682</v>
      </c>
      <c r="T316" s="53">
        <f t="shared" si="342"/>
        <v>6373</v>
      </c>
      <c r="U316" s="54">
        <f t="shared" si="342"/>
        <v>740207</v>
      </c>
      <c r="V316" s="2" t="s">
        <v>90</v>
      </c>
      <c r="Y316" s="2" t="s">
        <v>7</v>
      </c>
      <c r="Z316" s="2">
        <v>2024</v>
      </c>
      <c r="AA316" s="1">
        <f t="shared" si="343"/>
        <v>381</v>
      </c>
      <c r="AB316" s="11">
        <f t="shared" si="344"/>
        <v>41596</v>
      </c>
      <c r="AC316" s="1">
        <f t="shared" si="345"/>
        <v>5819</v>
      </c>
      <c r="AD316" s="11">
        <f t="shared" si="346"/>
        <v>661330</v>
      </c>
      <c r="AE316" s="8">
        <f t="shared" si="347"/>
        <v>108</v>
      </c>
      <c r="AF316" s="11">
        <f t="shared" si="348"/>
        <v>27367</v>
      </c>
      <c r="AG316" s="8">
        <f t="shared" si="349"/>
        <v>57</v>
      </c>
      <c r="AH316" s="11">
        <f t="shared" si="350"/>
        <v>9232</v>
      </c>
      <c r="AI316" s="8">
        <f t="shared" si="351"/>
        <v>0</v>
      </c>
      <c r="AJ316" s="11">
        <f t="shared" si="352"/>
        <v>0</v>
      </c>
      <c r="AK316" s="11">
        <f t="shared" si="353"/>
        <v>8</v>
      </c>
      <c r="AL316" s="11">
        <f t="shared" si="354"/>
        <v>682</v>
      </c>
      <c r="AM316" s="8">
        <f t="shared" si="359"/>
        <v>6373</v>
      </c>
      <c r="AN316" s="11">
        <f t="shared" si="355"/>
        <v>740207</v>
      </c>
      <c r="AO316" s="2" t="str">
        <f t="shared" si="356"/>
        <v>COTESA</v>
      </c>
      <c r="AP316" s="37">
        <f t="shared" si="357"/>
        <v>0</v>
      </c>
      <c r="AQ316" s="37">
        <f t="shared" si="358"/>
        <v>0</v>
      </c>
    </row>
    <row r="317" spans="1:43" x14ac:dyDescent="0.25">
      <c r="B317" s="2" t="s">
        <v>8</v>
      </c>
      <c r="C317" s="2">
        <v>2024</v>
      </c>
      <c r="D317" s="1">
        <v>270</v>
      </c>
      <c r="E317" s="11">
        <v>32110</v>
      </c>
      <c r="F317" s="1">
        <v>60</v>
      </c>
      <c r="G317" s="11">
        <v>5918</v>
      </c>
      <c r="H317" s="1">
        <v>32</v>
      </c>
      <c r="I317" s="11">
        <v>4376</v>
      </c>
      <c r="J317" s="1">
        <v>5756</v>
      </c>
      <c r="K317" s="11">
        <v>677533</v>
      </c>
      <c r="L317" s="1">
        <v>108</v>
      </c>
      <c r="M317" s="11">
        <v>26969</v>
      </c>
      <c r="N317" s="1">
        <v>69</v>
      </c>
      <c r="O317" s="11">
        <v>10431</v>
      </c>
      <c r="P317" s="8">
        <v>0</v>
      </c>
      <c r="Q317" s="11">
        <v>0</v>
      </c>
      <c r="R317" s="8">
        <v>31</v>
      </c>
      <c r="S317" s="11">
        <v>2821</v>
      </c>
      <c r="T317" s="53">
        <f t="shared" si="342"/>
        <v>6326</v>
      </c>
      <c r="U317" s="54">
        <f t="shared" si="342"/>
        <v>760158</v>
      </c>
      <c r="V317" s="2" t="s">
        <v>90</v>
      </c>
      <c r="X317" s="13"/>
      <c r="Y317" s="2" t="s">
        <v>8</v>
      </c>
      <c r="Z317" s="2">
        <v>2024</v>
      </c>
      <c r="AA317" s="1">
        <f t="shared" si="343"/>
        <v>362</v>
      </c>
      <c r="AB317" s="11">
        <f t="shared" si="344"/>
        <v>42404</v>
      </c>
      <c r="AC317" s="1">
        <f t="shared" si="345"/>
        <v>5756</v>
      </c>
      <c r="AD317" s="11">
        <f t="shared" si="346"/>
        <v>677533</v>
      </c>
      <c r="AE317" s="8">
        <f t="shared" si="347"/>
        <v>108</v>
      </c>
      <c r="AF317" s="11">
        <f t="shared" si="348"/>
        <v>26969</v>
      </c>
      <c r="AG317" s="8">
        <f t="shared" si="349"/>
        <v>69</v>
      </c>
      <c r="AH317" s="11">
        <f t="shared" si="350"/>
        <v>10431</v>
      </c>
      <c r="AI317" s="8">
        <f t="shared" si="351"/>
        <v>0</v>
      </c>
      <c r="AJ317" s="11">
        <f t="shared" si="352"/>
        <v>0</v>
      </c>
      <c r="AK317" s="11">
        <f t="shared" si="353"/>
        <v>31</v>
      </c>
      <c r="AL317" s="11">
        <f t="shared" si="354"/>
        <v>2821</v>
      </c>
      <c r="AM317" s="8">
        <f t="shared" si="359"/>
        <v>6326</v>
      </c>
      <c r="AN317" s="11">
        <f t="shared" si="355"/>
        <v>760158</v>
      </c>
      <c r="AO317" s="2" t="str">
        <f t="shared" si="356"/>
        <v>COTESA</v>
      </c>
      <c r="AP317" s="37">
        <f t="shared" si="357"/>
        <v>0</v>
      </c>
      <c r="AQ317" s="37">
        <f t="shared" si="358"/>
        <v>0</v>
      </c>
    </row>
    <row r="318" spans="1:43" x14ac:dyDescent="0.25">
      <c r="B318" s="2" t="s">
        <v>9</v>
      </c>
      <c r="C318" s="2">
        <v>2024</v>
      </c>
      <c r="D318" s="1">
        <v>204</v>
      </c>
      <c r="E318" s="11">
        <v>25814</v>
      </c>
      <c r="F318" s="1">
        <v>57</v>
      </c>
      <c r="G318" s="11">
        <v>6460</v>
      </c>
      <c r="H318" s="1">
        <v>42</v>
      </c>
      <c r="I318" s="11">
        <v>5958</v>
      </c>
      <c r="J318" s="1">
        <v>5347</v>
      </c>
      <c r="K318" s="11">
        <v>671341</v>
      </c>
      <c r="L318" s="1">
        <v>111</v>
      </c>
      <c r="M318" s="11">
        <v>29365</v>
      </c>
      <c r="N318" s="1">
        <v>57</v>
      </c>
      <c r="O318" s="11">
        <v>12774</v>
      </c>
      <c r="P318" s="8">
        <v>0</v>
      </c>
      <c r="Q318" s="11">
        <v>0</v>
      </c>
      <c r="R318" s="8">
        <v>50</v>
      </c>
      <c r="S318" s="11">
        <v>4656</v>
      </c>
      <c r="T318" s="53">
        <f t="shared" si="342"/>
        <v>5868</v>
      </c>
      <c r="U318" s="54">
        <f t="shared" si="342"/>
        <v>756368</v>
      </c>
      <c r="V318" s="2" t="s">
        <v>90</v>
      </c>
      <c r="X318" s="13"/>
      <c r="Y318" s="2" t="s">
        <v>9</v>
      </c>
      <c r="Z318" s="2">
        <v>2024</v>
      </c>
      <c r="AA318" s="1">
        <f t="shared" si="343"/>
        <v>303</v>
      </c>
      <c r="AB318" s="11">
        <f t="shared" si="344"/>
        <v>38232</v>
      </c>
      <c r="AC318" s="1">
        <f t="shared" si="345"/>
        <v>5347</v>
      </c>
      <c r="AD318" s="11">
        <f t="shared" si="346"/>
        <v>671341</v>
      </c>
      <c r="AE318" s="8">
        <f t="shared" si="347"/>
        <v>111</v>
      </c>
      <c r="AF318" s="11">
        <f t="shared" si="348"/>
        <v>29365</v>
      </c>
      <c r="AG318" s="8">
        <f t="shared" si="349"/>
        <v>57</v>
      </c>
      <c r="AH318" s="11">
        <f t="shared" si="350"/>
        <v>12774</v>
      </c>
      <c r="AI318" s="8">
        <f t="shared" si="351"/>
        <v>0</v>
      </c>
      <c r="AJ318" s="11">
        <f t="shared" si="352"/>
        <v>0</v>
      </c>
      <c r="AK318" s="11">
        <f t="shared" si="353"/>
        <v>50</v>
      </c>
      <c r="AL318" s="11">
        <f t="shared" si="354"/>
        <v>4656</v>
      </c>
      <c r="AM318" s="8">
        <f t="shared" si="359"/>
        <v>5868</v>
      </c>
      <c r="AN318" s="11">
        <f t="shared" si="355"/>
        <v>756368</v>
      </c>
      <c r="AO318" s="2" t="str">
        <f t="shared" si="356"/>
        <v>COTESA</v>
      </c>
      <c r="AP318" s="37">
        <f t="shared" si="357"/>
        <v>0</v>
      </c>
      <c r="AQ318" s="37">
        <f t="shared" si="358"/>
        <v>0</v>
      </c>
    </row>
    <row r="319" spans="1:43" x14ac:dyDescent="0.25">
      <c r="B319" s="2" t="s">
        <v>10</v>
      </c>
      <c r="C319" s="2">
        <v>2024</v>
      </c>
      <c r="D319" s="1">
        <v>183</v>
      </c>
      <c r="E319" s="11">
        <v>23056</v>
      </c>
      <c r="F319" s="1">
        <v>47</v>
      </c>
      <c r="G319" s="11">
        <v>6321</v>
      </c>
      <c r="H319" s="1">
        <v>34</v>
      </c>
      <c r="I319" s="11">
        <v>6084</v>
      </c>
      <c r="J319" s="1">
        <v>5477</v>
      </c>
      <c r="K319" s="11">
        <v>682026</v>
      </c>
      <c r="L319" s="1">
        <v>107</v>
      </c>
      <c r="M319" s="11">
        <v>29290</v>
      </c>
      <c r="N319" s="1">
        <v>60</v>
      </c>
      <c r="O319" s="11">
        <v>14787</v>
      </c>
      <c r="P319" s="8">
        <v>0</v>
      </c>
      <c r="Q319" s="11">
        <v>0</v>
      </c>
      <c r="R319" s="8">
        <v>42</v>
      </c>
      <c r="S319" s="11">
        <v>4066</v>
      </c>
      <c r="T319" s="53">
        <f t="shared" si="342"/>
        <v>5950</v>
      </c>
      <c r="U319" s="54">
        <f t="shared" si="342"/>
        <v>765630</v>
      </c>
      <c r="V319" s="2" t="s">
        <v>90</v>
      </c>
      <c r="Y319" s="2" t="s">
        <v>10</v>
      </c>
      <c r="Z319" s="2">
        <v>2024</v>
      </c>
      <c r="AA319" s="1">
        <f t="shared" si="343"/>
        <v>264</v>
      </c>
      <c r="AB319" s="11">
        <f t="shared" si="344"/>
        <v>35461</v>
      </c>
      <c r="AC319" s="1">
        <f t="shared" si="345"/>
        <v>5477</v>
      </c>
      <c r="AD319" s="11">
        <f t="shared" si="346"/>
        <v>682026</v>
      </c>
      <c r="AE319" s="8">
        <f t="shared" si="347"/>
        <v>107</v>
      </c>
      <c r="AF319" s="11">
        <f t="shared" si="348"/>
        <v>29290</v>
      </c>
      <c r="AG319" s="8">
        <f t="shared" si="349"/>
        <v>60</v>
      </c>
      <c r="AH319" s="11">
        <f t="shared" si="350"/>
        <v>14787</v>
      </c>
      <c r="AI319" s="8">
        <f t="shared" si="351"/>
        <v>0</v>
      </c>
      <c r="AJ319" s="11">
        <f t="shared" si="352"/>
        <v>0</v>
      </c>
      <c r="AK319" s="11">
        <f t="shared" si="353"/>
        <v>42</v>
      </c>
      <c r="AL319" s="11">
        <f t="shared" si="354"/>
        <v>4066</v>
      </c>
      <c r="AM319" s="8">
        <f t="shared" si="359"/>
        <v>5950</v>
      </c>
      <c r="AN319" s="11">
        <f t="shared" si="355"/>
        <v>765630</v>
      </c>
      <c r="AO319" s="2" t="str">
        <f t="shared" si="356"/>
        <v>COTESA</v>
      </c>
      <c r="AP319" s="37">
        <f t="shared" si="357"/>
        <v>0</v>
      </c>
      <c r="AQ319" s="37">
        <f t="shared" si="358"/>
        <v>0</v>
      </c>
    </row>
    <row r="320" spans="1:43" x14ac:dyDescent="0.25">
      <c r="B320" s="2" t="s">
        <v>11</v>
      </c>
      <c r="C320" s="2">
        <v>2024</v>
      </c>
      <c r="D320" s="1">
        <v>252</v>
      </c>
      <c r="E320" s="11">
        <v>29021</v>
      </c>
      <c r="F320" s="1">
        <v>51</v>
      </c>
      <c r="G320" s="11">
        <v>6090</v>
      </c>
      <c r="H320" s="1">
        <v>25</v>
      </c>
      <c r="I320" s="11">
        <v>3557</v>
      </c>
      <c r="J320" s="1">
        <v>5610</v>
      </c>
      <c r="K320" s="11">
        <v>666672</v>
      </c>
      <c r="L320" s="1">
        <v>123</v>
      </c>
      <c r="M320" s="11">
        <v>32961</v>
      </c>
      <c r="N320" s="1">
        <v>51</v>
      </c>
      <c r="O320" s="11">
        <v>10167</v>
      </c>
      <c r="P320" s="8">
        <v>0</v>
      </c>
      <c r="Q320" s="11">
        <v>0</v>
      </c>
      <c r="R320" s="8">
        <v>46</v>
      </c>
      <c r="S320" s="11">
        <v>4186</v>
      </c>
      <c r="T320" s="53">
        <f t="shared" si="342"/>
        <v>6158</v>
      </c>
      <c r="U320" s="54">
        <f t="shared" si="342"/>
        <v>752654</v>
      </c>
      <c r="V320" s="2" t="s">
        <v>90</v>
      </c>
      <c r="Y320" s="2" t="s">
        <v>11</v>
      </c>
      <c r="Z320" s="2">
        <v>2024</v>
      </c>
      <c r="AA320" s="1">
        <f t="shared" si="343"/>
        <v>328</v>
      </c>
      <c r="AB320" s="11">
        <f t="shared" si="344"/>
        <v>38668</v>
      </c>
      <c r="AC320" s="1">
        <f t="shared" si="345"/>
        <v>5610</v>
      </c>
      <c r="AD320" s="11">
        <f t="shared" si="346"/>
        <v>666672</v>
      </c>
      <c r="AE320" s="8">
        <f t="shared" si="347"/>
        <v>123</v>
      </c>
      <c r="AF320" s="11">
        <f t="shared" si="348"/>
        <v>32961</v>
      </c>
      <c r="AG320" s="8">
        <f t="shared" si="349"/>
        <v>51</v>
      </c>
      <c r="AH320" s="11">
        <f t="shared" si="350"/>
        <v>10167</v>
      </c>
      <c r="AI320" s="8">
        <f t="shared" si="351"/>
        <v>0</v>
      </c>
      <c r="AJ320" s="11">
        <f t="shared" si="352"/>
        <v>0</v>
      </c>
      <c r="AK320" s="11">
        <f t="shared" si="353"/>
        <v>46</v>
      </c>
      <c r="AL320" s="11">
        <f t="shared" si="354"/>
        <v>4186</v>
      </c>
      <c r="AM320" s="8">
        <f t="shared" si="359"/>
        <v>6158</v>
      </c>
      <c r="AN320" s="11">
        <f t="shared" si="355"/>
        <v>752654</v>
      </c>
      <c r="AO320" s="2" t="str">
        <f t="shared" si="356"/>
        <v>COTESA</v>
      </c>
      <c r="AP320" s="37">
        <f t="shared" si="357"/>
        <v>0</v>
      </c>
      <c r="AQ320" s="37">
        <f t="shared" si="358"/>
        <v>0</v>
      </c>
    </row>
    <row r="321" spans="1:43" x14ac:dyDescent="0.25">
      <c r="B321" s="2" t="s">
        <v>4</v>
      </c>
      <c r="C321" s="2">
        <v>2024</v>
      </c>
      <c r="D321" s="1">
        <v>259</v>
      </c>
      <c r="E321" s="11">
        <v>30238</v>
      </c>
      <c r="F321" s="1">
        <v>40</v>
      </c>
      <c r="G321" s="11">
        <v>3594</v>
      </c>
      <c r="H321" s="1">
        <v>49</v>
      </c>
      <c r="I321" s="11">
        <v>6565</v>
      </c>
      <c r="J321" s="1">
        <v>5641</v>
      </c>
      <c r="K321" s="11">
        <v>658214</v>
      </c>
      <c r="L321" s="1">
        <v>103</v>
      </c>
      <c r="M321" s="11">
        <v>26882</v>
      </c>
      <c r="N321" s="1">
        <v>42</v>
      </c>
      <c r="O321" s="11">
        <v>7516</v>
      </c>
      <c r="P321" s="8">
        <v>0</v>
      </c>
      <c r="Q321" s="11">
        <v>0</v>
      </c>
      <c r="R321" s="8">
        <v>62</v>
      </c>
      <c r="S321" s="11">
        <v>6114</v>
      </c>
      <c r="T321" s="53">
        <f t="shared" si="342"/>
        <v>6196</v>
      </c>
      <c r="U321" s="54">
        <f t="shared" si="342"/>
        <v>739123</v>
      </c>
      <c r="V321" s="2" t="s">
        <v>90</v>
      </c>
      <c r="Y321" s="2" t="s">
        <v>4</v>
      </c>
      <c r="Z321" s="2">
        <v>2024</v>
      </c>
      <c r="AA321" s="1">
        <f t="shared" si="343"/>
        <v>348</v>
      </c>
      <c r="AB321" s="11">
        <f t="shared" si="344"/>
        <v>40397</v>
      </c>
      <c r="AC321" s="1">
        <f t="shared" si="345"/>
        <v>5641</v>
      </c>
      <c r="AD321" s="11">
        <f t="shared" si="346"/>
        <v>658214</v>
      </c>
      <c r="AE321" s="8">
        <f t="shared" si="347"/>
        <v>103</v>
      </c>
      <c r="AF321" s="11">
        <f t="shared" si="348"/>
        <v>26882</v>
      </c>
      <c r="AG321" s="8">
        <f t="shared" si="349"/>
        <v>42</v>
      </c>
      <c r="AH321" s="11">
        <f t="shared" si="350"/>
        <v>7516</v>
      </c>
      <c r="AI321" s="8">
        <f t="shared" si="351"/>
        <v>0</v>
      </c>
      <c r="AJ321" s="11">
        <f t="shared" si="352"/>
        <v>0</v>
      </c>
      <c r="AK321" s="11">
        <f t="shared" si="353"/>
        <v>62</v>
      </c>
      <c r="AL321" s="11">
        <f t="shared" si="354"/>
        <v>6114</v>
      </c>
      <c r="AM321" s="8">
        <f t="shared" si="359"/>
        <v>6196</v>
      </c>
      <c r="AN321" s="11">
        <f t="shared" si="355"/>
        <v>739123</v>
      </c>
      <c r="AO321" s="2" t="str">
        <f t="shared" si="356"/>
        <v>COTESA</v>
      </c>
      <c r="AP321" s="37">
        <f t="shared" si="357"/>
        <v>0</v>
      </c>
      <c r="AQ321" s="37">
        <f t="shared" si="358"/>
        <v>0</v>
      </c>
    </row>
    <row r="322" spans="1:43" x14ac:dyDescent="0.25">
      <c r="B322" s="2" t="s">
        <v>28</v>
      </c>
      <c r="C322" s="2">
        <v>2024</v>
      </c>
      <c r="D322" s="1">
        <v>196</v>
      </c>
      <c r="E322" s="11">
        <v>22323</v>
      </c>
      <c r="F322" s="1">
        <v>38</v>
      </c>
      <c r="G322" s="11">
        <v>4389</v>
      </c>
      <c r="H322" s="1">
        <v>32</v>
      </c>
      <c r="I322" s="11">
        <v>3858</v>
      </c>
      <c r="J322" s="1">
        <v>4665</v>
      </c>
      <c r="K322" s="11">
        <v>565432</v>
      </c>
      <c r="L322" s="1">
        <v>76</v>
      </c>
      <c r="M322" s="11">
        <v>19171</v>
      </c>
      <c r="N322" s="1">
        <v>27</v>
      </c>
      <c r="O322" s="11">
        <v>5693</v>
      </c>
      <c r="P322" s="8">
        <v>0</v>
      </c>
      <c r="Q322" s="11">
        <v>0</v>
      </c>
      <c r="R322" s="8">
        <v>34</v>
      </c>
      <c r="S322" s="11">
        <v>3094</v>
      </c>
      <c r="T322" s="53">
        <f t="shared" si="342"/>
        <v>5068</v>
      </c>
      <c r="U322" s="54">
        <f t="shared" si="342"/>
        <v>623960</v>
      </c>
      <c r="V322" s="2" t="s">
        <v>90</v>
      </c>
      <c r="Y322" s="2" t="s">
        <v>28</v>
      </c>
      <c r="Z322" s="2">
        <v>2024</v>
      </c>
      <c r="AA322" s="1">
        <f t="shared" si="343"/>
        <v>266</v>
      </c>
      <c r="AB322" s="11">
        <f t="shared" si="344"/>
        <v>30570</v>
      </c>
      <c r="AC322" s="1">
        <f t="shared" si="345"/>
        <v>4665</v>
      </c>
      <c r="AD322" s="11">
        <f t="shared" si="346"/>
        <v>565432</v>
      </c>
      <c r="AE322" s="8">
        <f t="shared" si="347"/>
        <v>76</v>
      </c>
      <c r="AF322" s="11">
        <f t="shared" si="348"/>
        <v>19171</v>
      </c>
      <c r="AG322" s="8">
        <f t="shared" si="349"/>
        <v>27</v>
      </c>
      <c r="AH322" s="11">
        <f t="shared" si="350"/>
        <v>5693</v>
      </c>
      <c r="AI322" s="8">
        <f t="shared" si="351"/>
        <v>0</v>
      </c>
      <c r="AJ322" s="11">
        <f t="shared" si="352"/>
        <v>0</v>
      </c>
      <c r="AK322" s="11">
        <f t="shared" si="353"/>
        <v>34</v>
      </c>
      <c r="AL322" s="11">
        <f t="shared" si="354"/>
        <v>3094</v>
      </c>
      <c r="AM322" s="8">
        <f t="shared" si="359"/>
        <v>5068</v>
      </c>
      <c r="AN322" s="11">
        <f t="shared" si="355"/>
        <v>623960</v>
      </c>
      <c r="AO322" s="2" t="str">
        <f t="shared" si="356"/>
        <v>COTESA</v>
      </c>
      <c r="AP322" s="37">
        <f t="shared" si="357"/>
        <v>0</v>
      </c>
      <c r="AQ322" s="37">
        <f t="shared" si="358"/>
        <v>0</v>
      </c>
    </row>
    <row r="323" spans="1:43" x14ac:dyDescent="0.25">
      <c r="B323" s="2" t="s">
        <v>29</v>
      </c>
      <c r="C323" s="2">
        <v>2024</v>
      </c>
      <c r="D323" s="1">
        <v>148</v>
      </c>
      <c r="E323" s="11">
        <v>16994</v>
      </c>
      <c r="F323" s="1">
        <v>50</v>
      </c>
      <c r="G323" s="11">
        <v>4672</v>
      </c>
      <c r="H323" s="1">
        <v>37</v>
      </c>
      <c r="I323" s="11">
        <v>5167</v>
      </c>
      <c r="J323" s="1">
        <v>4282</v>
      </c>
      <c r="K323" s="11">
        <v>506209</v>
      </c>
      <c r="L323" s="1">
        <v>53</v>
      </c>
      <c r="M323" s="11">
        <v>12271</v>
      </c>
      <c r="N323" s="1">
        <v>46</v>
      </c>
      <c r="O323" s="11">
        <v>7178</v>
      </c>
      <c r="P323" s="8">
        <v>0</v>
      </c>
      <c r="Q323" s="11">
        <v>0</v>
      </c>
      <c r="R323" s="8">
        <v>31</v>
      </c>
      <c r="S323" s="11">
        <v>3065</v>
      </c>
      <c r="T323" s="53">
        <f t="shared" si="342"/>
        <v>4647</v>
      </c>
      <c r="U323" s="54">
        <f t="shared" si="342"/>
        <v>555556</v>
      </c>
      <c r="V323" s="2" t="s">
        <v>90</v>
      </c>
      <c r="Y323" s="2" t="s">
        <v>29</v>
      </c>
      <c r="Z323" s="2">
        <v>2024</v>
      </c>
      <c r="AA323" s="1">
        <f t="shared" si="343"/>
        <v>235</v>
      </c>
      <c r="AB323" s="11">
        <f t="shared" si="344"/>
        <v>26833</v>
      </c>
      <c r="AC323" s="1">
        <f t="shared" si="345"/>
        <v>4282</v>
      </c>
      <c r="AD323" s="11">
        <f t="shared" si="346"/>
        <v>506209</v>
      </c>
      <c r="AE323" s="8">
        <f t="shared" si="347"/>
        <v>53</v>
      </c>
      <c r="AF323" s="11">
        <f t="shared" si="348"/>
        <v>12271</v>
      </c>
      <c r="AG323" s="8">
        <f t="shared" si="349"/>
        <v>46</v>
      </c>
      <c r="AH323" s="11">
        <f t="shared" si="350"/>
        <v>7178</v>
      </c>
      <c r="AI323" s="8">
        <f t="shared" si="351"/>
        <v>0</v>
      </c>
      <c r="AJ323" s="11">
        <f t="shared" si="352"/>
        <v>0</v>
      </c>
      <c r="AK323" s="11">
        <f t="shared" si="353"/>
        <v>31</v>
      </c>
      <c r="AL323" s="11">
        <f t="shared" si="354"/>
        <v>3065</v>
      </c>
      <c r="AM323" s="8">
        <f t="shared" si="359"/>
        <v>4647</v>
      </c>
      <c r="AN323" s="11">
        <f t="shared" si="355"/>
        <v>555556</v>
      </c>
      <c r="AO323" s="2" t="str">
        <f t="shared" si="356"/>
        <v>COTESA</v>
      </c>
      <c r="AP323" s="37">
        <f t="shared" si="357"/>
        <v>0</v>
      </c>
      <c r="AQ323" s="37">
        <f t="shared" si="358"/>
        <v>0</v>
      </c>
    </row>
    <row r="324" spans="1:43" x14ac:dyDescent="0.25">
      <c r="B324" s="2" t="s">
        <v>30</v>
      </c>
      <c r="C324" s="2">
        <v>2024</v>
      </c>
      <c r="D324" s="1">
        <v>193</v>
      </c>
      <c r="E324" s="11">
        <v>25248</v>
      </c>
      <c r="F324" s="1">
        <v>52</v>
      </c>
      <c r="G324" s="11">
        <v>5189</v>
      </c>
      <c r="H324" s="1">
        <v>51</v>
      </c>
      <c r="I324" s="11">
        <v>7173</v>
      </c>
      <c r="J324" s="1">
        <v>4865</v>
      </c>
      <c r="K324" s="11">
        <v>563426</v>
      </c>
      <c r="L324" s="1">
        <v>70</v>
      </c>
      <c r="M324" s="11">
        <v>16275</v>
      </c>
      <c r="N324" s="1">
        <v>59</v>
      </c>
      <c r="O324" s="11">
        <v>8941</v>
      </c>
      <c r="P324" s="8">
        <v>0</v>
      </c>
      <c r="Q324" s="11">
        <v>0</v>
      </c>
      <c r="R324" s="11">
        <v>62</v>
      </c>
      <c r="S324" s="11">
        <v>6099</v>
      </c>
      <c r="T324" s="53">
        <f t="shared" si="342"/>
        <v>5352</v>
      </c>
      <c r="U324" s="54">
        <f t="shared" si="342"/>
        <v>632351</v>
      </c>
      <c r="V324" s="2" t="s">
        <v>90</v>
      </c>
      <c r="Y324" s="2" t="s">
        <v>30</v>
      </c>
      <c r="Z324" s="2">
        <v>2024</v>
      </c>
      <c r="AA324" s="1">
        <f t="shared" si="343"/>
        <v>296</v>
      </c>
      <c r="AB324" s="11">
        <f t="shared" si="344"/>
        <v>37610</v>
      </c>
      <c r="AC324" s="1">
        <f t="shared" si="345"/>
        <v>4865</v>
      </c>
      <c r="AD324" s="11">
        <f t="shared" si="346"/>
        <v>563426</v>
      </c>
      <c r="AE324" s="8">
        <f t="shared" si="347"/>
        <v>70</v>
      </c>
      <c r="AF324" s="11">
        <f t="shared" si="348"/>
        <v>16275</v>
      </c>
      <c r="AG324" s="8">
        <f t="shared" si="349"/>
        <v>59</v>
      </c>
      <c r="AH324" s="11">
        <f t="shared" si="350"/>
        <v>8941</v>
      </c>
      <c r="AI324" s="8">
        <f t="shared" si="351"/>
        <v>0</v>
      </c>
      <c r="AJ324" s="11">
        <f t="shared" si="352"/>
        <v>0</v>
      </c>
      <c r="AK324" s="11">
        <f t="shared" si="353"/>
        <v>62</v>
      </c>
      <c r="AL324" s="11">
        <f t="shared" si="354"/>
        <v>6099</v>
      </c>
      <c r="AM324" s="79">
        <f t="shared" si="359"/>
        <v>5352</v>
      </c>
      <c r="AN324" s="80">
        <f t="shared" si="355"/>
        <v>632351</v>
      </c>
      <c r="AO324" s="2" t="str">
        <f t="shared" si="356"/>
        <v>COTESA</v>
      </c>
      <c r="AP324" s="37">
        <f t="shared" si="357"/>
        <v>0</v>
      </c>
      <c r="AQ324" s="37">
        <f t="shared" si="358"/>
        <v>0</v>
      </c>
    </row>
    <row r="325" spans="1:43" x14ac:dyDescent="0.25">
      <c r="B325" s="2" t="s">
        <v>31</v>
      </c>
      <c r="C325" s="2">
        <v>2024</v>
      </c>
      <c r="D325" s="1">
        <v>290</v>
      </c>
      <c r="E325" s="11">
        <v>33457</v>
      </c>
      <c r="F325" s="1">
        <v>48</v>
      </c>
      <c r="G325" s="11">
        <v>4490</v>
      </c>
      <c r="H325" s="1">
        <v>42</v>
      </c>
      <c r="I325" s="11">
        <v>6140</v>
      </c>
      <c r="J325" s="1">
        <v>5683</v>
      </c>
      <c r="K325" s="11">
        <v>637918</v>
      </c>
      <c r="L325" s="1">
        <v>69</v>
      </c>
      <c r="M325" s="11">
        <v>16567</v>
      </c>
      <c r="N325" s="1">
        <v>57</v>
      </c>
      <c r="O325" s="11">
        <v>8911</v>
      </c>
      <c r="P325" s="8">
        <v>0</v>
      </c>
      <c r="Q325" s="11">
        <v>0</v>
      </c>
      <c r="R325" s="11">
        <v>61</v>
      </c>
      <c r="S325" s="11">
        <v>5642</v>
      </c>
      <c r="T325" s="53">
        <f t="shared" si="342"/>
        <v>6250</v>
      </c>
      <c r="U325" s="54">
        <f t="shared" si="342"/>
        <v>713125</v>
      </c>
      <c r="V325" s="2" t="s">
        <v>90</v>
      </c>
      <c r="W325" s="13"/>
      <c r="Y325" s="2" t="s">
        <v>31</v>
      </c>
      <c r="Z325" s="2">
        <v>2024</v>
      </c>
      <c r="AA325" s="1">
        <f t="shared" si="343"/>
        <v>380</v>
      </c>
      <c r="AB325" s="11">
        <f t="shared" si="344"/>
        <v>44087</v>
      </c>
      <c r="AC325" s="1">
        <f t="shared" si="345"/>
        <v>5683</v>
      </c>
      <c r="AD325" s="11">
        <f t="shared" si="346"/>
        <v>637918</v>
      </c>
      <c r="AE325" s="8">
        <f t="shared" si="347"/>
        <v>69</v>
      </c>
      <c r="AF325" s="11">
        <f t="shared" si="348"/>
        <v>16567</v>
      </c>
      <c r="AG325" s="8">
        <f t="shared" si="349"/>
        <v>57</v>
      </c>
      <c r="AH325" s="11">
        <f t="shared" si="350"/>
        <v>8911</v>
      </c>
      <c r="AI325" s="8">
        <f t="shared" si="351"/>
        <v>0</v>
      </c>
      <c r="AJ325" s="11">
        <f t="shared" si="352"/>
        <v>0</v>
      </c>
      <c r="AK325" s="11">
        <f t="shared" si="353"/>
        <v>61</v>
      </c>
      <c r="AL325" s="11">
        <f t="shared" si="354"/>
        <v>5642</v>
      </c>
      <c r="AM325" s="8">
        <f t="shared" si="359"/>
        <v>6250</v>
      </c>
      <c r="AN325" s="11">
        <f t="shared" si="355"/>
        <v>713125</v>
      </c>
      <c r="AO325" s="2" t="str">
        <f t="shared" si="356"/>
        <v>COTESA</v>
      </c>
      <c r="AP325" s="37">
        <f t="shared" si="357"/>
        <v>0</v>
      </c>
      <c r="AQ325" s="37">
        <f t="shared" si="358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360">SUM(D314:D326)</f>
        <v>2332</v>
      </c>
      <c r="E327" s="12">
        <f t="shared" si="360"/>
        <v>272987</v>
      </c>
      <c r="F327" s="4">
        <f t="shared" si="360"/>
        <v>528</v>
      </c>
      <c r="G327" s="12">
        <f t="shared" si="360"/>
        <v>55879</v>
      </c>
      <c r="H327" s="4">
        <f t="shared" si="360"/>
        <v>397</v>
      </c>
      <c r="I327" s="12">
        <f t="shared" si="360"/>
        <v>56995</v>
      </c>
      <c r="J327" s="4">
        <f t="shared" si="360"/>
        <v>54883</v>
      </c>
      <c r="K327" s="12">
        <f t="shared" si="360"/>
        <v>6495982</v>
      </c>
      <c r="L327" s="4">
        <f t="shared" si="360"/>
        <v>980</v>
      </c>
      <c r="M327" s="12">
        <f t="shared" si="360"/>
        <v>250687</v>
      </c>
      <c r="N327" s="4">
        <f t="shared" si="360"/>
        <v>558</v>
      </c>
      <c r="O327" s="12">
        <f t="shared" si="360"/>
        <v>101014</v>
      </c>
      <c r="P327" s="4">
        <f>SUM(P314:P326)</f>
        <v>0</v>
      </c>
      <c r="Q327" s="12">
        <f>SUM(Q314:Q326)</f>
        <v>0</v>
      </c>
      <c r="R327" s="4">
        <f>SUM(R314:R326)</f>
        <v>427</v>
      </c>
      <c r="S327" s="12">
        <f>SUM(S314:S326)</f>
        <v>40425</v>
      </c>
      <c r="T327" s="4">
        <f t="shared" ref="T327:U327" si="361">SUM(T314:T326)</f>
        <v>60105</v>
      </c>
      <c r="U327" s="12">
        <f t="shared" si="361"/>
        <v>7273969</v>
      </c>
      <c r="V327" s="2" t="s">
        <v>130</v>
      </c>
      <c r="Y327" s="3" t="s">
        <v>12</v>
      </c>
      <c r="Z327" s="3"/>
      <c r="AA327" s="4">
        <f t="shared" ref="AA327:AN327" si="362">SUM(AA314:AA326)</f>
        <v>3257</v>
      </c>
      <c r="AB327" s="12">
        <f t="shared" si="362"/>
        <v>385861</v>
      </c>
      <c r="AC327" s="4">
        <f t="shared" si="362"/>
        <v>54883</v>
      </c>
      <c r="AD327" s="12">
        <f t="shared" si="362"/>
        <v>6495982</v>
      </c>
      <c r="AE327" s="4">
        <f t="shared" si="362"/>
        <v>980</v>
      </c>
      <c r="AF327" s="12">
        <f t="shared" si="362"/>
        <v>250687</v>
      </c>
      <c r="AG327" s="4">
        <f t="shared" si="362"/>
        <v>558</v>
      </c>
      <c r="AH327" s="12">
        <f t="shared" si="362"/>
        <v>101014</v>
      </c>
      <c r="AI327" s="4">
        <f t="shared" si="362"/>
        <v>0</v>
      </c>
      <c r="AJ327" s="12">
        <f t="shared" si="362"/>
        <v>0</v>
      </c>
      <c r="AK327" s="4">
        <f t="shared" si="362"/>
        <v>427</v>
      </c>
      <c r="AL327" s="12">
        <f t="shared" si="362"/>
        <v>40425</v>
      </c>
      <c r="AM327" s="4">
        <f t="shared" si="362"/>
        <v>60105</v>
      </c>
      <c r="AN327" s="12">
        <f t="shared" si="362"/>
        <v>7273969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26</v>
      </c>
      <c r="M328" s="60">
        <f>AVERAGE(M314:M315)</f>
        <v>6784.5</v>
      </c>
      <c r="T328" s="15">
        <f>AVERAGE(T314:T315)</f>
        <v>958.5</v>
      </c>
      <c r="U328" s="28">
        <f>AVERAGE(U314:U315)</f>
        <v>117418.5</v>
      </c>
      <c r="V328" s="29"/>
    </row>
    <row r="329" spans="1:43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2.0180146616526764E-4</v>
      </c>
      <c r="M329" s="36">
        <f>+M328/$M$371</f>
        <v>3.3298212794514266E-4</v>
      </c>
      <c r="T329" s="15"/>
      <c r="U329" s="28"/>
      <c r="V329" s="29"/>
    </row>
    <row r="330" spans="1:43" x14ac:dyDescent="0.25">
      <c r="A330" s="67" t="s">
        <v>106</v>
      </c>
      <c r="L330" s="26"/>
      <c r="M330" s="26"/>
    </row>
    <row r="331" spans="1:43" x14ac:dyDescent="0.25">
      <c r="B331" s="5"/>
    </row>
    <row r="332" spans="1:43" x14ac:dyDescent="0.25">
      <c r="D332" s="89" t="s">
        <v>15</v>
      </c>
      <c r="E332" s="90"/>
      <c r="F332" s="89" t="s">
        <v>71</v>
      </c>
      <c r="G332" s="90"/>
      <c r="H332" s="89" t="s">
        <v>16</v>
      </c>
      <c r="I332" s="90"/>
      <c r="J332" s="89" t="s">
        <v>17</v>
      </c>
      <c r="K332" s="93"/>
      <c r="L332" s="89" t="s">
        <v>18</v>
      </c>
      <c r="M332" s="93"/>
      <c r="N332" s="89" t="s">
        <v>13</v>
      </c>
      <c r="O332" s="93"/>
      <c r="P332" s="89" t="s">
        <v>34</v>
      </c>
      <c r="Q332" s="93"/>
      <c r="R332" s="89" t="s">
        <v>87</v>
      </c>
      <c r="S332" s="93"/>
      <c r="T332" s="89" t="s">
        <v>12</v>
      </c>
      <c r="U332" s="93"/>
      <c r="AA332" s="89" t="s">
        <v>69</v>
      </c>
      <c r="AB332" s="90"/>
      <c r="AC332" s="89" t="s">
        <v>17</v>
      </c>
      <c r="AD332" s="93"/>
      <c r="AE332" s="89" t="s">
        <v>18</v>
      </c>
      <c r="AF332" s="93"/>
      <c r="AG332" s="89" t="s">
        <v>13</v>
      </c>
      <c r="AH332" s="93"/>
      <c r="AI332" s="89" t="s">
        <v>34</v>
      </c>
      <c r="AJ332" s="93"/>
      <c r="AK332" s="89" t="s">
        <v>87</v>
      </c>
      <c r="AL332" s="93"/>
      <c r="AM332" s="89" t="s">
        <v>12</v>
      </c>
      <c r="AN332" s="93"/>
    </row>
    <row r="333" spans="1:43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x14ac:dyDescent="0.25">
      <c r="B335" s="2" t="s">
        <v>5</v>
      </c>
      <c r="C335" s="2">
        <v>2024</v>
      </c>
      <c r="D335" s="1"/>
      <c r="E335" s="11"/>
      <c r="F335" s="1"/>
      <c r="G335" s="11"/>
      <c r="H335" s="1"/>
      <c r="I335" s="11"/>
      <c r="J335" s="1"/>
      <c r="K335" s="11"/>
      <c r="L335" s="1"/>
      <c r="M335" s="11"/>
      <c r="N335" s="1"/>
      <c r="O335" s="11"/>
      <c r="P335" s="8"/>
      <c r="Q335" s="11"/>
      <c r="R335" s="8"/>
      <c r="S335" s="11"/>
      <c r="T335" s="53">
        <f t="shared" ref="T335:T345" si="363">N335+L335+J335+H335+D335+P335+F335+R335</f>
        <v>0</v>
      </c>
      <c r="U335" s="54">
        <f t="shared" ref="U335:U345" si="364">O335+M335+K335+I335+E335+Q335+G335+S335</f>
        <v>0</v>
      </c>
      <c r="V335" s="2" t="s">
        <v>107</v>
      </c>
      <c r="Y335" s="2" t="s">
        <v>5</v>
      </c>
      <c r="Z335" s="2">
        <v>2024</v>
      </c>
      <c r="AA335" s="1">
        <f t="shared" ref="AA335:AA346" si="365">D335+H335+F335</f>
        <v>0</v>
      </c>
      <c r="AB335" s="11">
        <f t="shared" ref="AB335:AB346" si="366">E335+I335+G335</f>
        <v>0</v>
      </c>
      <c r="AC335" s="1">
        <f t="shared" ref="AC335:AC346" si="367">+J335</f>
        <v>0</v>
      </c>
      <c r="AD335" s="11">
        <f t="shared" ref="AD335:AD346" si="368">+K335</f>
        <v>0</v>
      </c>
      <c r="AE335" s="8">
        <f t="shared" ref="AE335:AE346" si="369">+L335</f>
        <v>0</v>
      </c>
      <c r="AF335" s="11">
        <f t="shared" ref="AF335:AF346" si="370">+M335</f>
        <v>0</v>
      </c>
      <c r="AG335" s="8">
        <f t="shared" ref="AG335:AG346" si="371">+N335</f>
        <v>0</v>
      </c>
      <c r="AH335" s="11">
        <f t="shared" ref="AH335:AH346" si="372">+O335</f>
        <v>0</v>
      </c>
      <c r="AI335" s="8">
        <f t="shared" ref="AI335:AI346" si="373">+P335</f>
        <v>0</v>
      </c>
      <c r="AJ335" s="11">
        <f t="shared" ref="AJ335:AJ346" si="374">+Q335</f>
        <v>0</v>
      </c>
      <c r="AK335" s="11">
        <f t="shared" ref="AK335:AK346" si="375">+R335</f>
        <v>0</v>
      </c>
      <c r="AL335" s="11">
        <f t="shared" ref="AL335:AL346" si="376">+S335</f>
        <v>0</v>
      </c>
      <c r="AM335" s="8">
        <f>AI335+AG335+AE335+AC335+AA335+AK335</f>
        <v>0</v>
      </c>
      <c r="AN335" s="11">
        <f t="shared" ref="AN335:AN346" si="377">AJ335+AH335+AF335+AD335+AB335+AL335</f>
        <v>0</v>
      </c>
      <c r="AO335" s="2" t="str">
        <f t="shared" ref="AO335:AO346" si="378">+V335</f>
        <v>VET</v>
      </c>
      <c r="AP335" s="37">
        <f t="shared" ref="AP335:AP346" si="379">+AM335-T335</f>
        <v>0</v>
      </c>
      <c r="AQ335" s="37">
        <f t="shared" ref="AQ335:AQ346" si="380">+AN335-U335</f>
        <v>0</v>
      </c>
    </row>
    <row r="336" spans="1:43" x14ac:dyDescent="0.25">
      <c r="B336" s="2" t="s">
        <v>6</v>
      </c>
      <c r="C336" s="2">
        <v>2024</v>
      </c>
      <c r="D336" s="1"/>
      <c r="E336" s="11"/>
      <c r="F336" s="1"/>
      <c r="G336" s="11"/>
      <c r="H336" s="1"/>
      <c r="I336" s="11"/>
      <c r="J336" s="1"/>
      <c r="K336" s="11"/>
      <c r="L336" s="1"/>
      <c r="M336" s="11"/>
      <c r="N336" s="1"/>
      <c r="O336" s="11"/>
      <c r="P336" s="8"/>
      <c r="Q336" s="11"/>
      <c r="R336" s="8"/>
      <c r="S336" s="11"/>
      <c r="T336" s="53">
        <f t="shared" si="363"/>
        <v>0</v>
      </c>
      <c r="U336" s="54">
        <f t="shared" si="364"/>
        <v>0</v>
      </c>
      <c r="V336" s="2" t="s">
        <v>107</v>
      </c>
      <c r="Y336" s="2" t="s">
        <v>6</v>
      </c>
      <c r="Z336" s="2">
        <v>2024</v>
      </c>
      <c r="AA336" s="1">
        <f t="shared" si="365"/>
        <v>0</v>
      </c>
      <c r="AB336" s="11">
        <f t="shared" si="366"/>
        <v>0</v>
      </c>
      <c r="AC336" s="1">
        <f t="shared" si="367"/>
        <v>0</v>
      </c>
      <c r="AD336" s="11">
        <f t="shared" si="368"/>
        <v>0</v>
      </c>
      <c r="AE336" s="8">
        <f t="shared" si="369"/>
        <v>0</v>
      </c>
      <c r="AF336" s="11">
        <f t="shared" si="370"/>
        <v>0</v>
      </c>
      <c r="AG336" s="8">
        <f t="shared" si="371"/>
        <v>0</v>
      </c>
      <c r="AH336" s="11">
        <f t="shared" si="372"/>
        <v>0</v>
      </c>
      <c r="AI336" s="8">
        <f t="shared" si="373"/>
        <v>0</v>
      </c>
      <c r="AJ336" s="11">
        <f t="shared" si="374"/>
        <v>0</v>
      </c>
      <c r="AK336" s="11">
        <f t="shared" si="375"/>
        <v>0</v>
      </c>
      <c r="AL336" s="11">
        <f t="shared" si="376"/>
        <v>0</v>
      </c>
      <c r="AM336" s="8">
        <f t="shared" ref="AM336:AM346" si="381">AI336+AG336+AE336+AC336+AA336+AK336</f>
        <v>0</v>
      </c>
      <c r="AN336" s="11">
        <f t="shared" si="377"/>
        <v>0</v>
      </c>
      <c r="AO336" s="2" t="str">
        <f t="shared" si="378"/>
        <v>VET</v>
      </c>
      <c r="AP336" s="37">
        <f t="shared" si="379"/>
        <v>0</v>
      </c>
      <c r="AQ336" s="37">
        <f t="shared" si="380"/>
        <v>0</v>
      </c>
    </row>
    <row r="337" spans="1:43" x14ac:dyDescent="0.25">
      <c r="B337" s="2" t="s">
        <v>7</v>
      </c>
      <c r="C337" s="2">
        <v>2024</v>
      </c>
      <c r="D337" s="1"/>
      <c r="E337" s="11"/>
      <c r="F337" s="1"/>
      <c r="G337" s="11"/>
      <c r="H337" s="1"/>
      <c r="I337" s="11"/>
      <c r="J337" s="1"/>
      <c r="K337" s="11"/>
      <c r="L337" s="1"/>
      <c r="M337" s="11"/>
      <c r="N337" s="1"/>
      <c r="O337" s="11"/>
      <c r="P337" s="8"/>
      <c r="Q337" s="11"/>
      <c r="R337" s="8"/>
      <c r="S337" s="11"/>
      <c r="T337" s="53">
        <f t="shared" si="363"/>
        <v>0</v>
      </c>
      <c r="U337" s="54">
        <f t="shared" si="364"/>
        <v>0</v>
      </c>
      <c r="V337" s="2" t="s">
        <v>107</v>
      </c>
      <c r="Y337" s="2" t="s">
        <v>7</v>
      </c>
      <c r="Z337" s="2">
        <v>2024</v>
      </c>
      <c r="AA337" s="1">
        <f t="shared" si="365"/>
        <v>0</v>
      </c>
      <c r="AB337" s="11">
        <f t="shared" si="366"/>
        <v>0</v>
      </c>
      <c r="AC337" s="1">
        <f t="shared" si="367"/>
        <v>0</v>
      </c>
      <c r="AD337" s="11">
        <f t="shared" si="368"/>
        <v>0</v>
      </c>
      <c r="AE337" s="8">
        <f t="shared" si="369"/>
        <v>0</v>
      </c>
      <c r="AF337" s="11">
        <f t="shared" si="370"/>
        <v>0</v>
      </c>
      <c r="AG337" s="8">
        <f t="shared" si="371"/>
        <v>0</v>
      </c>
      <c r="AH337" s="11">
        <f t="shared" si="372"/>
        <v>0</v>
      </c>
      <c r="AI337" s="8">
        <f t="shared" si="373"/>
        <v>0</v>
      </c>
      <c r="AJ337" s="11">
        <f t="shared" si="374"/>
        <v>0</v>
      </c>
      <c r="AK337" s="11">
        <f t="shared" si="375"/>
        <v>0</v>
      </c>
      <c r="AL337" s="11">
        <f t="shared" si="376"/>
        <v>0</v>
      </c>
      <c r="AM337" s="8">
        <f t="shared" si="381"/>
        <v>0</v>
      </c>
      <c r="AN337" s="11">
        <f t="shared" si="377"/>
        <v>0</v>
      </c>
      <c r="AO337" s="2" t="str">
        <f t="shared" si="378"/>
        <v>VET</v>
      </c>
      <c r="AP337" s="37">
        <f t="shared" si="379"/>
        <v>0</v>
      </c>
      <c r="AQ337" s="37">
        <f t="shared" si="380"/>
        <v>0</v>
      </c>
    </row>
    <row r="338" spans="1:43" x14ac:dyDescent="0.25">
      <c r="B338" s="2" t="s">
        <v>8</v>
      </c>
      <c r="C338" s="2">
        <v>2024</v>
      </c>
      <c r="D338" s="1"/>
      <c r="E338" s="11"/>
      <c r="F338" s="1"/>
      <c r="G338" s="11"/>
      <c r="H338" s="1"/>
      <c r="I338" s="11"/>
      <c r="J338" s="1"/>
      <c r="K338" s="11"/>
      <c r="L338" s="1"/>
      <c r="M338" s="11"/>
      <c r="N338" s="1"/>
      <c r="O338" s="11"/>
      <c r="P338" s="8"/>
      <c r="Q338" s="11"/>
      <c r="R338" s="8"/>
      <c r="S338" s="11"/>
      <c r="T338" s="53">
        <f t="shared" si="363"/>
        <v>0</v>
      </c>
      <c r="U338" s="54">
        <f t="shared" si="364"/>
        <v>0</v>
      </c>
      <c r="V338" s="2" t="s">
        <v>107</v>
      </c>
      <c r="X338" s="13"/>
      <c r="Y338" s="2" t="s">
        <v>8</v>
      </c>
      <c r="Z338" s="2">
        <v>2024</v>
      </c>
      <c r="AA338" s="1">
        <f t="shared" si="365"/>
        <v>0</v>
      </c>
      <c r="AB338" s="11">
        <f t="shared" si="366"/>
        <v>0</v>
      </c>
      <c r="AC338" s="1">
        <f t="shared" si="367"/>
        <v>0</v>
      </c>
      <c r="AD338" s="11">
        <f t="shared" si="368"/>
        <v>0</v>
      </c>
      <c r="AE338" s="8">
        <f t="shared" si="369"/>
        <v>0</v>
      </c>
      <c r="AF338" s="11">
        <f t="shared" si="370"/>
        <v>0</v>
      </c>
      <c r="AG338" s="8">
        <f t="shared" si="371"/>
        <v>0</v>
      </c>
      <c r="AH338" s="11">
        <f t="shared" si="372"/>
        <v>0</v>
      </c>
      <c r="AI338" s="8">
        <f t="shared" si="373"/>
        <v>0</v>
      </c>
      <c r="AJ338" s="11">
        <f t="shared" si="374"/>
        <v>0</v>
      </c>
      <c r="AK338" s="11">
        <f t="shared" si="375"/>
        <v>0</v>
      </c>
      <c r="AL338" s="11">
        <f t="shared" si="376"/>
        <v>0</v>
      </c>
      <c r="AM338" s="8">
        <f t="shared" si="381"/>
        <v>0</v>
      </c>
      <c r="AN338" s="11">
        <f t="shared" si="377"/>
        <v>0</v>
      </c>
      <c r="AO338" s="2" t="str">
        <f t="shared" si="378"/>
        <v>VET</v>
      </c>
      <c r="AP338" s="37">
        <f t="shared" si="379"/>
        <v>0</v>
      </c>
      <c r="AQ338" s="37">
        <f t="shared" si="380"/>
        <v>0</v>
      </c>
    </row>
    <row r="339" spans="1:43" x14ac:dyDescent="0.25">
      <c r="B339" s="2" t="s">
        <v>9</v>
      </c>
      <c r="C339" s="2">
        <v>2024</v>
      </c>
      <c r="D339" s="1"/>
      <c r="E339" s="11"/>
      <c r="F339" s="1"/>
      <c r="G339" s="11"/>
      <c r="H339" s="1"/>
      <c r="I339" s="11"/>
      <c r="J339" s="1"/>
      <c r="K339" s="11"/>
      <c r="L339" s="1"/>
      <c r="M339" s="11"/>
      <c r="N339" s="1"/>
      <c r="O339" s="11"/>
      <c r="P339" s="8"/>
      <c r="Q339" s="11"/>
      <c r="R339" s="8"/>
      <c r="S339" s="11"/>
      <c r="T339" s="53">
        <f t="shared" si="363"/>
        <v>0</v>
      </c>
      <c r="U339" s="54">
        <f t="shared" si="364"/>
        <v>0</v>
      </c>
      <c r="V339" s="2" t="s">
        <v>107</v>
      </c>
      <c r="X339" s="13"/>
      <c r="Y339" s="2" t="s">
        <v>9</v>
      </c>
      <c r="Z339" s="2">
        <v>2024</v>
      </c>
      <c r="AA339" s="1">
        <f t="shared" si="365"/>
        <v>0</v>
      </c>
      <c r="AB339" s="11">
        <f t="shared" si="366"/>
        <v>0</v>
      </c>
      <c r="AC339" s="1">
        <f t="shared" si="367"/>
        <v>0</v>
      </c>
      <c r="AD339" s="11">
        <f t="shared" si="368"/>
        <v>0</v>
      </c>
      <c r="AE339" s="8">
        <f t="shared" si="369"/>
        <v>0</v>
      </c>
      <c r="AF339" s="11">
        <f t="shared" si="370"/>
        <v>0</v>
      </c>
      <c r="AG339" s="8">
        <f t="shared" si="371"/>
        <v>0</v>
      </c>
      <c r="AH339" s="11">
        <f t="shared" si="372"/>
        <v>0</v>
      </c>
      <c r="AI339" s="8">
        <f t="shared" si="373"/>
        <v>0</v>
      </c>
      <c r="AJ339" s="11">
        <f t="shared" si="374"/>
        <v>0</v>
      </c>
      <c r="AK339" s="11">
        <f t="shared" si="375"/>
        <v>0</v>
      </c>
      <c r="AL339" s="11">
        <f t="shared" si="376"/>
        <v>0</v>
      </c>
      <c r="AM339" s="8">
        <f t="shared" si="381"/>
        <v>0</v>
      </c>
      <c r="AN339" s="11">
        <f t="shared" si="377"/>
        <v>0</v>
      </c>
      <c r="AO339" s="2" t="str">
        <f t="shared" si="378"/>
        <v>VET</v>
      </c>
      <c r="AP339" s="37">
        <f t="shared" si="379"/>
        <v>0</v>
      </c>
      <c r="AQ339" s="37">
        <f t="shared" si="380"/>
        <v>0</v>
      </c>
    </row>
    <row r="340" spans="1:43" x14ac:dyDescent="0.25">
      <c r="B340" s="2" t="s">
        <v>10</v>
      </c>
      <c r="C340" s="2">
        <v>2024</v>
      </c>
      <c r="D340" s="1"/>
      <c r="E340" s="11"/>
      <c r="F340" s="1"/>
      <c r="G340" s="11"/>
      <c r="H340" s="1"/>
      <c r="I340" s="11"/>
      <c r="J340" s="1"/>
      <c r="K340" s="11"/>
      <c r="L340" s="1"/>
      <c r="M340" s="11"/>
      <c r="N340" s="1"/>
      <c r="O340" s="11"/>
      <c r="P340" s="8"/>
      <c r="Q340" s="11"/>
      <c r="R340" s="8"/>
      <c r="S340" s="11"/>
      <c r="T340" s="53">
        <f t="shared" si="363"/>
        <v>0</v>
      </c>
      <c r="U340" s="54">
        <f t="shared" si="364"/>
        <v>0</v>
      </c>
      <c r="V340" s="2" t="s">
        <v>107</v>
      </c>
      <c r="Y340" s="2" t="s">
        <v>10</v>
      </c>
      <c r="Z340" s="2">
        <v>2024</v>
      </c>
      <c r="AA340" s="1">
        <f t="shared" si="365"/>
        <v>0</v>
      </c>
      <c r="AB340" s="11">
        <f t="shared" si="366"/>
        <v>0</v>
      </c>
      <c r="AC340" s="1">
        <f t="shared" si="367"/>
        <v>0</v>
      </c>
      <c r="AD340" s="11">
        <f t="shared" si="368"/>
        <v>0</v>
      </c>
      <c r="AE340" s="8">
        <f t="shared" si="369"/>
        <v>0</v>
      </c>
      <c r="AF340" s="11">
        <f t="shared" si="370"/>
        <v>0</v>
      </c>
      <c r="AG340" s="8">
        <f t="shared" si="371"/>
        <v>0</v>
      </c>
      <c r="AH340" s="11">
        <f t="shared" si="372"/>
        <v>0</v>
      </c>
      <c r="AI340" s="8">
        <f t="shared" si="373"/>
        <v>0</v>
      </c>
      <c r="AJ340" s="11">
        <f t="shared" si="374"/>
        <v>0</v>
      </c>
      <c r="AK340" s="11">
        <f t="shared" si="375"/>
        <v>0</v>
      </c>
      <c r="AL340" s="11">
        <f t="shared" si="376"/>
        <v>0</v>
      </c>
      <c r="AM340" s="8">
        <f t="shared" si="381"/>
        <v>0</v>
      </c>
      <c r="AN340" s="11">
        <f t="shared" si="377"/>
        <v>0</v>
      </c>
      <c r="AO340" s="2" t="str">
        <f t="shared" si="378"/>
        <v>VET</v>
      </c>
      <c r="AP340" s="37">
        <f t="shared" si="379"/>
        <v>0</v>
      </c>
      <c r="AQ340" s="37">
        <f t="shared" si="380"/>
        <v>0</v>
      </c>
    </row>
    <row r="341" spans="1:43" x14ac:dyDescent="0.25">
      <c r="B341" s="2" t="s">
        <v>11</v>
      </c>
      <c r="C341" s="2">
        <v>2024</v>
      </c>
      <c r="D341" s="1">
        <v>35573</v>
      </c>
      <c r="E341" s="11">
        <v>5833972</v>
      </c>
      <c r="F341" s="1">
        <v>12512</v>
      </c>
      <c r="G341" s="11">
        <v>2051968</v>
      </c>
      <c r="H341" s="1">
        <v>1014</v>
      </c>
      <c r="I341" s="11">
        <v>166296</v>
      </c>
      <c r="J341" s="1">
        <v>270091</v>
      </c>
      <c r="K341" s="11">
        <v>44297580</v>
      </c>
      <c r="L341" s="1">
        <v>5848</v>
      </c>
      <c r="M341" s="11">
        <v>959198</v>
      </c>
      <c r="N341" s="1">
        <v>4087</v>
      </c>
      <c r="O341" s="11">
        <v>670520</v>
      </c>
      <c r="P341" s="8">
        <v>3</v>
      </c>
      <c r="Q341" s="11">
        <v>492</v>
      </c>
      <c r="R341" s="8">
        <v>1321</v>
      </c>
      <c r="S341" s="11">
        <v>216770</v>
      </c>
      <c r="T341" s="53">
        <f t="shared" si="363"/>
        <v>330449</v>
      </c>
      <c r="U341" s="54">
        <f t="shared" si="364"/>
        <v>54196796</v>
      </c>
      <c r="V341" s="2" t="s">
        <v>107</v>
      </c>
      <c r="Y341" s="2" t="s">
        <v>11</v>
      </c>
      <c r="Z341" s="2">
        <v>2024</v>
      </c>
      <c r="AA341" s="1">
        <f t="shared" si="365"/>
        <v>49099</v>
      </c>
      <c r="AB341" s="11">
        <f t="shared" si="366"/>
        <v>8052236</v>
      </c>
      <c r="AC341" s="1">
        <f t="shared" si="367"/>
        <v>270091</v>
      </c>
      <c r="AD341" s="11">
        <f t="shared" si="368"/>
        <v>44297580</v>
      </c>
      <c r="AE341" s="8">
        <f t="shared" si="369"/>
        <v>5848</v>
      </c>
      <c r="AF341" s="11">
        <f t="shared" si="370"/>
        <v>959198</v>
      </c>
      <c r="AG341" s="8">
        <f t="shared" si="371"/>
        <v>4087</v>
      </c>
      <c r="AH341" s="11">
        <f t="shared" si="372"/>
        <v>670520</v>
      </c>
      <c r="AI341" s="8">
        <f t="shared" si="373"/>
        <v>3</v>
      </c>
      <c r="AJ341" s="11">
        <f t="shared" si="374"/>
        <v>492</v>
      </c>
      <c r="AK341" s="11">
        <f t="shared" si="375"/>
        <v>1321</v>
      </c>
      <c r="AL341" s="11">
        <f t="shared" si="376"/>
        <v>216770</v>
      </c>
      <c r="AM341" s="8">
        <f t="shared" si="381"/>
        <v>330449</v>
      </c>
      <c r="AN341" s="11">
        <f t="shared" si="377"/>
        <v>54196796</v>
      </c>
      <c r="AO341" s="2" t="str">
        <f t="shared" si="378"/>
        <v>VET</v>
      </c>
      <c r="AP341" s="37">
        <f t="shared" si="379"/>
        <v>0</v>
      </c>
      <c r="AQ341" s="37">
        <f t="shared" si="380"/>
        <v>0</v>
      </c>
    </row>
    <row r="342" spans="1:43" x14ac:dyDescent="0.25">
      <c r="B342" s="2" t="s">
        <v>4</v>
      </c>
      <c r="C342" s="2">
        <v>2024</v>
      </c>
      <c r="D342" s="1">
        <v>33887</v>
      </c>
      <c r="E342" s="11">
        <v>5557468</v>
      </c>
      <c r="F342" s="1">
        <v>13525</v>
      </c>
      <c r="G342" s="11">
        <v>2218100</v>
      </c>
      <c r="H342" s="1">
        <v>994</v>
      </c>
      <c r="I342" s="11">
        <v>163016</v>
      </c>
      <c r="J342" s="1">
        <v>278033</v>
      </c>
      <c r="K342" s="11">
        <v>45597412</v>
      </c>
      <c r="L342" s="1">
        <v>5999</v>
      </c>
      <c r="M342" s="11">
        <v>983836</v>
      </c>
      <c r="N342" s="1">
        <v>4527</v>
      </c>
      <c r="O342" s="11">
        <v>742428</v>
      </c>
      <c r="P342" s="8">
        <v>2</v>
      </c>
      <c r="Q342" s="11">
        <v>328</v>
      </c>
      <c r="R342" s="8">
        <v>1369</v>
      </c>
      <c r="S342" s="11">
        <v>224516</v>
      </c>
      <c r="T342" s="53">
        <f t="shared" si="363"/>
        <v>338336</v>
      </c>
      <c r="U342" s="54">
        <f t="shared" si="364"/>
        <v>55487104</v>
      </c>
      <c r="V342" s="2" t="s">
        <v>107</v>
      </c>
      <c r="Y342" s="2" t="s">
        <v>4</v>
      </c>
      <c r="Z342" s="2">
        <v>2024</v>
      </c>
      <c r="AA342" s="1">
        <f t="shared" si="365"/>
        <v>48406</v>
      </c>
      <c r="AB342" s="11">
        <f t="shared" si="366"/>
        <v>7938584</v>
      </c>
      <c r="AC342" s="1">
        <f t="shared" si="367"/>
        <v>278033</v>
      </c>
      <c r="AD342" s="11">
        <f t="shared" si="368"/>
        <v>45597412</v>
      </c>
      <c r="AE342" s="8">
        <f t="shared" si="369"/>
        <v>5999</v>
      </c>
      <c r="AF342" s="11">
        <f t="shared" si="370"/>
        <v>983836</v>
      </c>
      <c r="AG342" s="8">
        <f t="shared" si="371"/>
        <v>4527</v>
      </c>
      <c r="AH342" s="11">
        <f t="shared" si="372"/>
        <v>742428</v>
      </c>
      <c r="AI342" s="8">
        <f t="shared" si="373"/>
        <v>2</v>
      </c>
      <c r="AJ342" s="11">
        <f t="shared" si="374"/>
        <v>328</v>
      </c>
      <c r="AK342" s="11">
        <f t="shared" si="375"/>
        <v>1369</v>
      </c>
      <c r="AL342" s="11">
        <f t="shared" si="376"/>
        <v>224516</v>
      </c>
      <c r="AM342" s="8">
        <f t="shared" si="381"/>
        <v>338336</v>
      </c>
      <c r="AN342" s="11">
        <f t="shared" si="377"/>
        <v>55487104</v>
      </c>
      <c r="AO342" s="2" t="str">
        <f t="shared" si="378"/>
        <v>VET</v>
      </c>
      <c r="AP342" s="37">
        <f t="shared" si="379"/>
        <v>0</v>
      </c>
      <c r="AQ342" s="37">
        <f t="shared" si="380"/>
        <v>0</v>
      </c>
    </row>
    <row r="343" spans="1:43" x14ac:dyDescent="0.25">
      <c r="B343" s="2" t="s">
        <v>28</v>
      </c>
      <c r="C343" s="2">
        <v>2024</v>
      </c>
      <c r="D343" s="1">
        <v>31355</v>
      </c>
      <c r="E343" s="11">
        <v>5142220</v>
      </c>
      <c r="F343" s="1">
        <v>11940</v>
      </c>
      <c r="G343" s="11">
        <v>1958160</v>
      </c>
      <c r="H343" s="1">
        <v>872</v>
      </c>
      <c r="I343" s="11">
        <v>143008</v>
      </c>
      <c r="J343" s="1">
        <v>243884</v>
      </c>
      <c r="K343" s="11">
        <v>39996976</v>
      </c>
      <c r="L343" s="1">
        <v>5608</v>
      </c>
      <c r="M343" s="11">
        <v>919712</v>
      </c>
      <c r="N343" s="1">
        <v>3970</v>
      </c>
      <c r="O343" s="11">
        <v>651080</v>
      </c>
      <c r="P343" s="8">
        <v>1</v>
      </c>
      <c r="Q343" s="11">
        <v>164</v>
      </c>
      <c r="R343" s="8">
        <v>1250</v>
      </c>
      <c r="S343" s="11">
        <v>205000</v>
      </c>
      <c r="T343" s="53">
        <f t="shared" si="363"/>
        <v>298880</v>
      </c>
      <c r="U343" s="54">
        <f t="shared" si="364"/>
        <v>49016320</v>
      </c>
      <c r="V343" s="2" t="s">
        <v>107</v>
      </c>
      <c r="Y343" s="2" t="s">
        <v>28</v>
      </c>
      <c r="Z343" s="2">
        <v>2024</v>
      </c>
      <c r="AA343" s="1">
        <f t="shared" si="365"/>
        <v>44167</v>
      </c>
      <c r="AB343" s="11">
        <f t="shared" si="366"/>
        <v>7243388</v>
      </c>
      <c r="AC343" s="1">
        <f t="shared" si="367"/>
        <v>243884</v>
      </c>
      <c r="AD343" s="11">
        <f t="shared" si="368"/>
        <v>39996976</v>
      </c>
      <c r="AE343" s="8">
        <f t="shared" si="369"/>
        <v>5608</v>
      </c>
      <c r="AF343" s="11">
        <f t="shared" si="370"/>
        <v>919712</v>
      </c>
      <c r="AG343" s="8">
        <f t="shared" si="371"/>
        <v>3970</v>
      </c>
      <c r="AH343" s="11">
        <f t="shared" si="372"/>
        <v>651080</v>
      </c>
      <c r="AI343" s="8">
        <f t="shared" si="373"/>
        <v>1</v>
      </c>
      <c r="AJ343" s="11">
        <f t="shared" si="374"/>
        <v>164</v>
      </c>
      <c r="AK343" s="11">
        <f t="shared" si="375"/>
        <v>1250</v>
      </c>
      <c r="AL343" s="11">
        <f t="shared" si="376"/>
        <v>205000</v>
      </c>
      <c r="AM343" s="8">
        <f t="shared" si="381"/>
        <v>298880</v>
      </c>
      <c r="AN343" s="11">
        <f t="shared" si="377"/>
        <v>49016320</v>
      </c>
      <c r="AO343" s="2" t="str">
        <f t="shared" si="378"/>
        <v>VET</v>
      </c>
      <c r="AP343" s="37">
        <f t="shared" si="379"/>
        <v>0</v>
      </c>
      <c r="AQ343" s="37">
        <f t="shared" si="380"/>
        <v>0</v>
      </c>
    </row>
    <row r="344" spans="1:43" x14ac:dyDescent="0.25">
      <c r="B344" s="2" t="s">
        <v>29</v>
      </c>
      <c r="C344" s="2">
        <v>2024</v>
      </c>
      <c r="D344" s="1">
        <v>34026</v>
      </c>
      <c r="E344" s="11">
        <v>5580264</v>
      </c>
      <c r="F344" s="1">
        <v>12858</v>
      </c>
      <c r="G344" s="11">
        <v>2108712</v>
      </c>
      <c r="H344" s="1">
        <v>986</v>
      </c>
      <c r="I344" s="11">
        <v>161704</v>
      </c>
      <c r="J344" s="1">
        <v>260995</v>
      </c>
      <c r="K344" s="11">
        <v>42803180</v>
      </c>
      <c r="L344" s="1">
        <v>6142</v>
      </c>
      <c r="M344" s="11">
        <v>1007288</v>
      </c>
      <c r="N344" s="1">
        <v>4295</v>
      </c>
      <c r="O344" s="11">
        <v>704380</v>
      </c>
      <c r="P344" s="8">
        <v>0</v>
      </c>
      <c r="Q344" s="11">
        <v>0</v>
      </c>
      <c r="R344" s="8">
        <v>1400</v>
      </c>
      <c r="S344" s="11">
        <v>229600</v>
      </c>
      <c r="T344" s="53">
        <f t="shared" si="363"/>
        <v>320702</v>
      </c>
      <c r="U344" s="54">
        <f t="shared" si="364"/>
        <v>52595128</v>
      </c>
      <c r="V344" s="2" t="s">
        <v>107</v>
      </c>
      <c r="Y344" s="2" t="s">
        <v>29</v>
      </c>
      <c r="Z344" s="2">
        <v>2024</v>
      </c>
      <c r="AA344" s="1">
        <f t="shared" si="365"/>
        <v>47870</v>
      </c>
      <c r="AB344" s="11">
        <f t="shared" si="366"/>
        <v>7850680</v>
      </c>
      <c r="AC344" s="1">
        <f t="shared" si="367"/>
        <v>260995</v>
      </c>
      <c r="AD344" s="11">
        <f t="shared" si="368"/>
        <v>42803180</v>
      </c>
      <c r="AE344" s="8">
        <f t="shared" si="369"/>
        <v>6142</v>
      </c>
      <c r="AF344" s="11">
        <f t="shared" si="370"/>
        <v>1007288</v>
      </c>
      <c r="AG344" s="8">
        <f t="shared" si="371"/>
        <v>4295</v>
      </c>
      <c r="AH344" s="11">
        <f t="shared" si="372"/>
        <v>704380</v>
      </c>
      <c r="AI344" s="8">
        <f t="shared" si="373"/>
        <v>0</v>
      </c>
      <c r="AJ344" s="11">
        <f t="shared" si="374"/>
        <v>0</v>
      </c>
      <c r="AK344" s="11">
        <f t="shared" si="375"/>
        <v>1400</v>
      </c>
      <c r="AL344" s="11">
        <f t="shared" si="376"/>
        <v>229600</v>
      </c>
      <c r="AM344" s="8">
        <f t="shared" si="381"/>
        <v>320702</v>
      </c>
      <c r="AN344" s="11">
        <f t="shared" si="377"/>
        <v>52595128</v>
      </c>
      <c r="AO344" s="2" t="str">
        <f t="shared" si="378"/>
        <v>VET</v>
      </c>
      <c r="AP344" s="37">
        <f t="shared" si="379"/>
        <v>0</v>
      </c>
      <c r="AQ344" s="37">
        <f t="shared" si="380"/>
        <v>0</v>
      </c>
    </row>
    <row r="345" spans="1:43" x14ac:dyDescent="0.25">
      <c r="B345" s="2" t="s">
        <v>30</v>
      </c>
      <c r="C345" s="2">
        <v>2024</v>
      </c>
      <c r="D345" s="1">
        <v>38414</v>
      </c>
      <c r="E345" s="11">
        <v>6277428</v>
      </c>
      <c r="F345" s="1">
        <v>13483</v>
      </c>
      <c r="G345" s="11">
        <v>2211184</v>
      </c>
      <c r="H345" s="1">
        <v>1166</v>
      </c>
      <c r="I345" s="11">
        <v>191224</v>
      </c>
      <c r="J345" s="1">
        <v>290614</v>
      </c>
      <c r="K345" s="11">
        <v>47660696</v>
      </c>
      <c r="L345" s="1">
        <v>6425</v>
      </c>
      <c r="M345" s="11">
        <v>1053700</v>
      </c>
      <c r="N345" s="1">
        <v>4673</v>
      </c>
      <c r="O345" s="11">
        <v>766372</v>
      </c>
      <c r="P345" s="8">
        <v>1</v>
      </c>
      <c r="Q345" s="11">
        <v>164</v>
      </c>
      <c r="R345" s="8">
        <v>1654</v>
      </c>
      <c r="S345" s="11">
        <v>271256</v>
      </c>
      <c r="T345" s="53">
        <f t="shared" si="363"/>
        <v>356430</v>
      </c>
      <c r="U345" s="54">
        <f t="shared" si="364"/>
        <v>58432024</v>
      </c>
      <c r="V345" s="2" t="s">
        <v>107</v>
      </c>
      <c r="Y345" s="2" t="s">
        <v>30</v>
      </c>
      <c r="Z345" s="2">
        <v>2024</v>
      </c>
      <c r="AA345" s="1">
        <f t="shared" si="365"/>
        <v>53063</v>
      </c>
      <c r="AB345" s="11">
        <f t="shared" si="366"/>
        <v>8679836</v>
      </c>
      <c r="AC345" s="1">
        <f t="shared" si="367"/>
        <v>290614</v>
      </c>
      <c r="AD345" s="11">
        <f t="shared" si="368"/>
        <v>47660696</v>
      </c>
      <c r="AE345" s="8">
        <f t="shared" si="369"/>
        <v>6425</v>
      </c>
      <c r="AF345" s="11">
        <f t="shared" si="370"/>
        <v>1053700</v>
      </c>
      <c r="AG345" s="8">
        <f t="shared" si="371"/>
        <v>4673</v>
      </c>
      <c r="AH345" s="11">
        <f t="shared" si="372"/>
        <v>766372</v>
      </c>
      <c r="AI345" s="8">
        <f t="shared" si="373"/>
        <v>1</v>
      </c>
      <c r="AJ345" s="11">
        <f t="shared" si="374"/>
        <v>164</v>
      </c>
      <c r="AK345" s="11">
        <f t="shared" si="375"/>
        <v>1654</v>
      </c>
      <c r="AL345" s="11">
        <f t="shared" si="376"/>
        <v>271256</v>
      </c>
      <c r="AM345" s="79">
        <f t="shared" si="381"/>
        <v>356430</v>
      </c>
      <c r="AN345" s="80">
        <f t="shared" si="377"/>
        <v>58432024</v>
      </c>
      <c r="AO345" s="2" t="str">
        <f t="shared" si="378"/>
        <v>VET</v>
      </c>
      <c r="AP345" s="37">
        <f t="shared" si="379"/>
        <v>0</v>
      </c>
      <c r="AQ345" s="37">
        <f t="shared" si="380"/>
        <v>0</v>
      </c>
    </row>
    <row r="346" spans="1:43" x14ac:dyDescent="0.25">
      <c r="B346" s="2" t="s">
        <v>31</v>
      </c>
      <c r="C346" s="2">
        <v>2024</v>
      </c>
      <c r="D346" s="1">
        <v>43022</v>
      </c>
      <c r="E346" s="11">
        <v>7052820</v>
      </c>
      <c r="F346" s="1">
        <v>14521</v>
      </c>
      <c r="G346" s="11">
        <v>2380460</v>
      </c>
      <c r="H346" s="1">
        <v>998</v>
      </c>
      <c r="I346" s="11">
        <v>163672</v>
      </c>
      <c r="J346" s="1">
        <v>312534</v>
      </c>
      <c r="K346" s="11">
        <v>51255576</v>
      </c>
      <c r="L346" s="1">
        <v>7201</v>
      </c>
      <c r="M346" s="11">
        <v>1180964</v>
      </c>
      <c r="N346" s="1">
        <v>4954</v>
      </c>
      <c r="O346" s="11">
        <v>812456</v>
      </c>
      <c r="P346" s="8">
        <v>0</v>
      </c>
      <c r="Q346" s="11">
        <v>0</v>
      </c>
      <c r="R346" s="8">
        <v>2001</v>
      </c>
      <c r="S346" s="11">
        <v>328164</v>
      </c>
      <c r="T346" s="53">
        <f t="shared" ref="T346" si="382">N346+L346+J346+H346+D346+P346+F346+R346</f>
        <v>385231</v>
      </c>
      <c r="U346" s="54">
        <f t="shared" ref="U346" si="383">O346+M346+K346+I346+E346+Q346+G346+S346</f>
        <v>63174112</v>
      </c>
      <c r="V346" s="2" t="s">
        <v>107</v>
      </c>
      <c r="W346" s="13"/>
      <c r="Y346" s="2" t="s">
        <v>31</v>
      </c>
      <c r="Z346" s="2">
        <v>2024</v>
      </c>
      <c r="AA346" s="1">
        <f t="shared" si="365"/>
        <v>58541</v>
      </c>
      <c r="AB346" s="11">
        <f t="shared" si="366"/>
        <v>9596952</v>
      </c>
      <c r="AC346" s="1">
        <f t="shared" si="367"/>
        <v>312534</v>
      </c>
      <c r="AD346" s="11">
        <f t="shared" si="368"/>
        <v>51255576</v>
      </c>
      <c r="AE346" s="8">
        <f t="shared" si="369"/>
        <v>7201</v>
      </c>
      <c r="AF346" s="11">
        <f t="shared" si="370"/>
        <v>1180964</v>
      </c>
      <c r="AG346" s="8">
        <f t="shared" si="371"/>
        <v>4954</v>
      </c>
      <c r="AH346" s="11">
        <f t="shared" si="372"/>
        <v>812456</v>
      </c>
      <c r="AI346" s="8">
        <f t="shared" si="373"/>
        <v>0</v>
      </c>
      <c r="AJ346" s="11">
        <f t="shared" si="374"/>
        <v>0</v>
      </c>
      <c r="AK346" s="11">
        <f t="shared" si="375"/>
        <v>2001</v>
      </c>
      <c r="AL346" s="11">
        <f t="shared" si="376"/>
        <v>328164</v>
      </c>
      <c r="AM346" s="8">
        <f t="shared" si="381"/>
        <v>385231</v>
      </c>
      <c r="AN346" s="11">
        <f t="shared" si="377"/>
        <v>63174112</v>
      </c>
      <c r="AO346" s="2" t="str">
        <f t="shared" si="378"/>
        <v>VET</v>
      </c>
      <c r="AP346" s="37">
        <f t="shared" si="379"/>
        <v>0</v>
      </c>
      <c r="AQ346" s="37">
        <f t="shared" si="380"/>
        <v>0</v>
      </c>
    </row>
    <row r="347" spans="1:43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x14ac:dyDescent="0.25">
      <c r="B348" s="3" t="s">
        <v>12</v>
      </c>
      <c r="C348" s="3"/>
      <c r="D348" s="4">
        <f t="shared" ref="D348:O348" si="384">SUM(D335:D347)</f>
        <v>216277</v>
      </c>
      <c r="E348" s="12">
        <f t="shared" si="384"/>
        <v>35444172</v>
      </c>
      <c r="F348" s="4">
        <f t="shared" si="384"/>
        <v>78839</v>
      </c>
      <c r="G348" s="12">
        <f t="shared" si="384"/>
        <v>12928584</v>
      </c>
      <c r="H348" s="4">
        <f t="shared" si="384"/>
        <v>6030</v>
      </c>
      <c r="I348" s="12">
        <f t="shared" si="384"/>
        <v>988920</v>
      </c>
      <c r="J348" s="4">
        <f t="shared" si="384"/>
        <v>1656151</v>
      </c>
      <c r="K348" s="12">
        <f t="shared" si="384"/>
        <v>271611420</v>
      </c>
      <c r="L348" s="4">
        <f t="shared" si="384"/>
        <v>37223</v>
      </c>
      <c r="M348" s="12">
        <f t="shared" si="384"/>
        <v>6104698</v>
      </c>
      <c r="N348" s="4">
        <f t="shared" si="384"/>
        <v>26506</v>
      </c>
      <c r="O348" s="12">
        <f t="shared" si="384"/>
        <v>4347236</v>
      </c>
      <c r="P348" s="4">
        <f>SUM(P335:P347)</f>
        <v>7</v>
      </c>
      <c r="Q348" s="12">
        <f>SUM(Q335:Q347)</f>
        <v>1148</v>
      </c>
      <c r="R348" s="4">
        <f>SUM(R335:R347)</f>
        <v>8995</v>
      </c>
      <c r="S348" s="12">
        <f>SUM(S335:S347)</f>
        <v>1475306</v>
      </c>
      <c r="T348" s="4">
        <f t="shared" ref="T348:U348" si="385">SUM(T335:T347)</f>
        <v>2030028</v>
      </c>
      <c r="U348" s="12">
        <f t="shared" si="385"/>
        <v>332901484</v>
      </c>
      <c r="V348" s="2" t="s">
        <v>131</v>
      </c>
      <c r="Y348" s="3" t="s">
        <v>12</v>
      </c>
      <c r="Z348" s="3"/>
      <c r="AA348" s="4">
        <f t="shared" ref="AA348:AN348" si="386">SUM(AA335:AA347)</f>
        <v>301146</v>
      </c>
      <c r="AB348" s="12">
        <f t="shared" si="386"/>
        <v>49361676</v>
      </c>
      <c r="AC348" s="4">
        <f t="shared" si="386"/>
        <v>1656151</v>
      </c>
      <c r="AD348" s="12">
        <f t="shared" si="386"/>
        <v>271611420</v>
      </c>
      <c r="AE348" s="4">
        <f t="shared" si="386"/>
        <v>37223</v>
      </c>
      <c r="AF348" s="12">
        <f t="shared" si="386"/>
        <v>6104698</v>
      </c>
      <c r="AG348" s="4">
        <f t="shared" si="386"/>
        <v>26506</v>
      </c>
      <c r="AH348" s="12">
        <f t="shared" si="386"/>
        <v>4347236</v>
      </c>
      <c r="AI348" s="4">
        <f t="shared" si="386"/>
        <v>7</v>
      </c>
      <c r="AJ348" s="12">
        <f t="shared" si="386"/>
        <v>1148</v>
      </c>
      <c r="AK348" s="4">
        <f t="shared" si="386"/>
        <v>8995</v>
      </c>
      <c r="AL348" s="12">
        <f t="shared" si="386"/>
        <v>1475306</v>
      </c>
      <c r="AM348" s="4">
        <f t="shared" si="386"/>
        <v>2030028</v>
      </c>
      <c r="AN348" s="12">
        <f t="shared" si="386"/>
        <v>332901484</v>
      </c>
    </row>
    <row r="349" spans="1:43" x14ac:dyDescent="0.25">
      <c r="J349" s="46" t="str">
        <f>+$A$309</f>
        <v>Aforo e Ingreso - COTESA</v>
      </c>
      <c r="K349" s="9" t="s">
        <v>84</v>
      </c>
      <c r="L349" s="15" t="e">
        <f>AVERAGE(L335:L336)</f>
        <v>#DIV/0!</v>
      </c>
      <c r="M349" s="60" t="e">
        <f>AVERAGE(M335:M336)</f>
        <v>#DIV/0!</v>
      </c>
      <c r="T349" s="15">
        <f>AVERAGE(T335:T336)</f>
        <v>0</v>
      </c>
      <c r="U349" s="28">
        <f>AVERAGE(U335:U336)</f>
        <v>0</v>
      </c>
      <c r="V349" s="29"/>
    </row>
    <row r="350" spans="1:43" x14ac:dyDescent="0.25">
      <c r="J350" s="46" t="str">
        <f>+$A$309</f>
        <v>Aforo e Ingreso - COTESA</v>
      </c>
      <c r="K350" s="9" t="s">
        <v>85</v>
      </c>
      <c r="L350" s="26" t="e">
        <f>+L349/$L$371</f>
        <v>#DIV/0!</v>
      </c>
      <c r="M350" s="36" t="e">
        <f>+M349/$M$371</f>
        <v>#DIV/0!</v>
      </c>
      <c r="T350" s="15"/>
      <c r="U350" s="28"/>
      <c r="V350" s="29"/>
    </row>
    <row r="351" spans="1:43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2.7125717266562335E-2</v>
      </c>
      <c r="U351" s="62">
        <f>+M328/U328</f>
        <v>5.7780503072343795E-2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0"/>
      <c r="F354" s="89" t="s">
        <v>71</v>
      </c>
      <c r="G354" s="90"/>
      <c r="H354" s="89" t="s">
        <v>16</v>
      </c>
      <c r="I354" s="90"/>
      <c r="J354" s="89" t="s">
        <v>17</v>
      </c>
      <c r="K354" s="93"/>
      <c r="L354" s="89" t="s">
        <v>18</v>
      </c>
      <c r="M354" s="93"/>
      <c r="N354" s="89" t="s">
        <v>13</v>
      </c>
      <c r="O354" s="93"/>
      <c r="P354" s="89" t="s">
        <v>34</v>
      </c>
      <c r="Q354" s="93"/>
      <c r="R354" s="89" t="s">
        <v>87</v>
      </c>
      <c r="S354" s="93"/>
      <c r="T354" s="89" t="s">
        <v>44</v>
      </c>
      <c r="U354" s="93"/>
      <c r="AA354" s="89" t="s">
        <v>69</v>
      </c>
      <c r="AB354" s="90"/>
      <c r="AC354" s="89" t="s">
        <v>17</v>
      </c>
      <c r="AD354" s="93"/>
      <c r="AE354" s="89" t="s">
        <v>18</v>
      </c>
      <c r="AF354" s="93"/>
      <c r="AG354" s="89" t="s">
        <v>13</v>
      </c>
      <c r="AH354" s="93"/>
      <c r="AI354" s="89" t="s">
        <v>34</v>
      </c>
      <c r="AJ354" s="93"/>
      <c r="AK354" s="89" t="s">
        <v>87</v>
      </c>
      <c r="AL354" s="93"/>
      <c r="AM354" s="89" t="s">
        <v>12</v>
      </c>
      <c r="AN354" s="93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1" t="s">
        <v>100</v>
      </c>
      <c r="AT355" s="92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2024</v>
      </c>
      <c r="D357" s="1">
        <f>+D125+D71+D50+D29+D8+D146+D167+D188+D209+D230+D251+D272+D293+D314+D335+D93</f>
        <v>1849331</v>
      </c>
      <c r="E357" s="1">
        <f t="shared" ref="E357:S357" si="387">+E125+E71+E50+E29+E8+E146+E167+E188+E209+E230+E251+E272+E293+E314+E335+E93</f>
        <v>111592137.91999993</v>
      </c>
      <c r="F357" s="1">
        <f t="shared" si="387"/>
        <v>1098247</v>
      </c>
      <c r="G357" s="1">
        <f t="shared" si="387"/>
        <v>68664523.520000011</v>
      </c>
      <c r="H357" s="1">
        <f t="shared" si="387"/>
        <v>246553</v>
      </c>
      <c r="I357" s="1">
        <f t="shared" si="387"/>
        <v>35310204.670000002</v>
      </c>
      <c r="J357" s="1">
        <f t="shared" si="387"/>
        <v>10346349</v>
      </c>
      <c r="K357" s="1">
        <f t="shared" si="387"/>
        <v>940185972.36999881</v>
      </c>
      <c r="L357" s="1">
        <f t="shared" si="387"/>
        <v>130136</v>
      </c>
      <c r="M357" s="1">
        <f t="shared" si="387"/>
        <v>20370856.259999998</v>
      </c>
      <c r="N357" s="1">
        <f>+N125+N71+N50+N29+N8+N146+N167+N188+N209+N230+N251+N272+N293+N314+N335+N93</f>
        <v>330219</v>
      </c>
      <c r="O357" s="1">
        <f t="shared" si="387"/>
        <v>50832814.649999999</v>
      </c>
      <c r="P357" s="1">
        <f t="shared" si="387"/>
        <v>1187</v>
      </c>
      <c r="Q357" s="1">
        <f t="shared" si="387"/>
        <v>240278.78</v>
      </c>
      <c r="R357" s="1">
        <f t="shared" si="387"/>
        <v>28851</v>
      </c>
      <c r="S357" s="1">
        <f t="shared" si="387"/>
        <v>1598099.1199999999</v>
      </c>
      <c r="T357" s="53">
        <f>N357+L357+J357+H357+D357+P357+F357+R357</f>
        <v>14030873</v>
      </c>
      <c r="U357" s="54">
        <f t="shared" ref="T357:U368" si="388">O357+M357+K357+I357+E357+Q357+G357+S357</f>
        <v>1228794887.2899985</v>
      </c>
      <c r="V357" s="2" t="s">
        <v>80</v>
      </c>
      <c r="W357" s="66"/>
      <c r="X357" s="13"/>
      <c r="Y357" s="2" t="s">
        <v>5</v>
      </c>
      <c r="Z357" s="2">
        <v>2024</v>
      </c>
      <c r="AA357" s="1">
        <f t="shared" ref="AA357:AA368" si="389">D357+H357+F357</f>
        <v>3194131</v>
      </c>
      <c r="AB357" s="11">
        <f t="shared" ref="AB357:AB368" si="390">E357+I357+G357</f>
        <v>215566866.10999992</v>
      </c>
      <c r="AC357" s="1">
        <f t="shared" ref="AC357:AC368" si="391">+J357</f>
        <v>10346349</v>
      </c>
      <c r="AD357" s="11">
        <f t="shared" ref="AD357:AD368" si="392">+K357</f>
        <v>940185972.36999881</v>
      </c>
      <c r="AE357" s="8">
        <f t="shared" ref="AE357:AE368" si="393">+L357</f>
        <v>130136</v>
      </c>
      <c r="AF357" s="11">
        <f t="shared" ref="AF357:AF368" si="394">+M357</f>
        <v>20370856.259999998</v>
      </c>
      <c r="AG357" s="8">
        <f t="shared" ref="AG357:AG368" si="395">+N357</f>
        <v>330219</v>
      </c>
      <c r="AH357" s="11">
        <f t="shared" ref="AH357:AH368" si="396">+O357</f>
        <v>50832814.649999999</v>
      </c>
      <c r="AI357" s="8">
        <f t="shared" ref="AI357:AI368" si="397">+P357</f>
        <v>1187</v>
      </c>
      <c r="AJ357" s="11">
        <f t="shared" ref="AJ357:AJ368" si="398">+Q357</f>
        <v>240278.78</v>
      </c>
      <c r="AK357" s="11">
        <f t="shared" ref="AK357:AK368" si="399">+R357</f>
        <v>28851</v>
      </c>
      <c r="AL357" s="11">
        <f t="shared" ref="AL357:AL368" si="400">+S357</f>
        <v>1598099.1199999999</v>
      </c>
      <c r="AM357" s="8">
        <f>AI357+AG357+AE357+AC357+AA357+AK357</f>
        <v>14030873</v>
      </c>
      <c r="AN357" s="11">
        <f t="shared" ref="AN357:AN368" si="401">AJ357+AH357+AF357+AD357+AB357+AL357</f>
        <v>1228794887.2899985</v>
      </c>
      <c r="AO357" s="2" t="s">
        <v>70</v>
      </c>
      <c r="AP357" s="37">
        <f t="shared" ref="AP357:AP368" si="402">+AM357-T357</f>
        <v>0</v>
      </c>
      <c r="AQ357" s="37">
        <f t="shared" ref="AQ357:AQ368" si="403">+AN357-U357</f>
        <v>0</v>
      </c>
      <c r="AR357" s="13"/>
      <c r="AS357" s="15">
        <f>+AM357-AA357</f>
        <v>10836742</v>
      </c>
      <c r="AT357" s="9">
        <f>+AN357-AB357</f>
        <v>1013228021.1799986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2024</v>
      </c>
      <c r="D358" s="1">
        <f>+D126+D72+D51+D30+D9+D147+D168+D189+D210+D231+D252+D273+D294+D315+D336+D95</f>
        <v>1847716</v>
      </c>
      <c r="E358" s="1">
        <f t="shared" ref="E358:S358" si="404">+E126+E72+E51+E30+E9+E147+E168+E189+E210+E231+E252+E273+E294+E315+E336+E95</f>
        <v>116366225.92000002</v>
      </c>
      <c r="F358" s="1">
        <f t="shared" si="404"/>
        <v>1165603</v>
      </c>
      <c r="G358" s="1">
        <f t="shared" si="404"/>
        <v>74708946.739999995</v>
      </c>
      <c r="H358" s="1">
        <f t="shared" si="404"/>
        <v>237429</v>
      </c>
      <c r="I358" s="1">
        <f t="shared" si="404"/>
        <v>34149674.940000005</v>
      </c>
      <c r="J358" s="1">
        <f t="shared" si="404"/>
        <v>10428188</v>
      </c>
      <c r="K358" s="1">
        <f t="shared" si="404"/>
        <v>969051248.73999894</v>
      </c>
      <c r="L358" s="1">
        <f t="shared" si="404"/>
        <v>127543</v>
      </c>
      <c r="M358" s="1">
        <f t="shared" si="404"/>
        <v>20379078.530000001</v>
      </c>
      <c r="N358" s="1">
        <f>+N126+N72+N51+N30+N9+N147+N168+N189+N210+N231+N252+N273+N294+N315+N336+N95</f>
        <v>330286</v>
      </c>
      <c r="O358" s="1">
        <f t="shared" si="404"/>
        <v>52117300.399999999</v>
      </c>
      <c r="P358" s="1">
        <f t="shared" si="404"/>
        <v>2889</v>
      </c>
      <c r="Q358" s="1">
        <f t="shared" si="404"/>
        <v>364509.81</v>
      </c>
      <c r="R358" s="1">
        <f t="shared" si="404"/>
        <v>31051</v>
      </c>
      <c r="S358" s="1">
        <f t="shared" si="404"/>
        <v>1866037.6199999999</v>
      </c>
      <c r="T358" s="53">
        <f t="shared" si="388"/>
        <v>14170705</v>
      </c>
      <c r="U358" s="54">
        <f t="shared" si="388"/>
        <v>1269003022.6999989</v>
      </c>
      <c r="V358" s="2" t="s">
        <v>80</v>
      </c>
      <c r="W358" s="66"/>
      <c r="X358" s="13"/>
      <c r="Y358" s="2" t="s">
        <v>6</v>
      </c>
      <c r="Z358" s="2">
        <v>2024</v>
      </c>
      <c r="AA358" s="1">
        <f t="shared" si="389"/>
        <v>3250748</v>
      </c>
      <c r="AB358" s="11">
        <f t="shared" si="390"/>
        <v>225224847.60000002</v>
      </c>
      <c r="AC358" s="1">
        <f t="shared" si="391"/>
        <v>10428188</v>
      </c>
      <c r="AD358" s="11">
        <f t="shared" si="392"/>
        <v>969051248.73999894</v>
      </c>
      <c r="AE358" s="8">
        <f t="shared" si="393"/>
        <v>127543</v>
      </c>
      <c r="AF358" s="11">
        <f t="shared" si="394"/>
        <v>20379078.530000001</v>
      </c>
      <c r="AG358" s="8">
        <f t="shared" si="395"/>
        <v>330286</v>
      </c>
      <c r="AH358" s="11">
        <f t="shared" si="396"/>
        <v>52117300.399999999</v>
      </c>
      <c r="AI358" s="8">
        <f t="shared" si="397"/>
        <v>2889</v>
      </c>
      <c r="AJ358" s="11">
        <f t="shared" si="398"/>
        <v>364509.81</v>
      </c>
      <c r="AK358" s="11">
        <f t="shared" si="399"/>
        <v>31051</v>
      </c>
      <c r="AL358" s="11">
        <f t="shared" si="400"/>
        <v>1866037.6199999999</v>
      </c>
      <c r="AM358" s="8">
        <f t="shared" ref="AM358:AM368" si="405">AI358+AG358+AE358+AC358+AA358+AK358</f>
        <v>14170705</v>
      </c>
      <c r="AN358" s="11">
        <f t="shared" si="401"/>
        <v>1269003022.6999989</v>
      </c>
      <c r="AO358" s="2" t="s">
        <v>70</v>
      </c>
      <c r="AP358" s="37">
        <f t="shared" si="402"/>
        <v>0</v>
      </c>
      <c r="AQ358" s="37">
        <f t="shared" si="403"/>
        <v>0</v>
      </c>
      <c r="AR358" s="13"/>
      <c r="AS358" s="15">
        <f t="shared" ref="AS358:AT359" si="406">+AM358-AA358</f>
        <v>10919957</v>
      </c>
      <c r="AT358" s="9">
        <f t="shared" si="406"/>
        <v>1043778175.0999988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2024</v>
      </c>
      <c r="D359" s="1">
        <f>+D127+D73+D52+D31+D10+D148+D169+D190+D211+D232+D253+D274+D295+D316+D337+D97</f>
        <v>1822154</v>
      </c>
      <c r="E359" s="1">
        <f t="shared" ref="E359:S359" si="407">+E127+E73+E52+E31+E10+E148+E169+E190+E211+E232+E253+E274+E295+E316+E337+E97</f>
        <v>117637193.34</v>
      </c>
      <c r="F359" s="1">
        <f t="shared" si="407"/>
        <v>1157465</v>
      </c>
      <c r="G359" s="1">
        <f t="shared" si="407"/>
        <v>75693752.689999998</v>
      </c>
      <c r="H359" s="1">
        <f t="shared" si="407"/>
        <v>270164</v>
      </c>
      <c r="I359" s="1">
        <f t="shared" si="407"/>
        <v>39502367.990000002</v>
      </c>
      <c r="J359" s="1">
        <f t="shared" si="407"/>
        <v>10279200</v>
      </c>
      <c r="K359" s="1">
        <f t="shared" si="407"/>
        <v>983348822.84999931</v>
      </c>
      <c r="L359" s="1">
        <f t="shared" si="407"/>
        <v>129244</v>
      </c>
      <c r="M359" s="1">
        <f t="shared" si="407"/>
        <v>20547610.259999998</v>
      </c>
      <c r="N359" s="1">
        <f>+N127+N73+N52+N31+N10+N148+N169+N190+N211+N232+N253+N274+N295+N316+N337+N97</f>
        <v>331664</v>
      </c>
      <c r="O359" s="1">
        <f t="shared" si="407"/>
        <v>52448886.090000004</v>
      </c>
      <c r="P359" s="1">
        <f t="shared" si="407"/>
        <v>1726</v>
      </c>
      <c r="Q359" s="1">
        <f t="shared" si="407"/>
        <v>258968.2</v>
      </c>
      <c r="R359" s="1">
        <f t="shared" si="407"/>
        <v>35919</v>
      </c>
      <c r="S359" s="1">
        <f t="shared" si="407"/>
        <v>2262849.61</v>
      </c>
      <c r="T359" s="53">
        <f t="shared" si="388"/>
        <v>14027536</v>
      </c>
      <c r="U359" s="54">
        <f t="shared" si="388"/>
        <v>1291700451.0299993</v>
      </c>
      <c r="V359" s="2" t="s">
        <v>80</v>
      </c>
      <c r="W359" s="66"/>
      <c r="X359" s="13"/>
      <c r="Y359" s="2" t="s">
        <v>7</v>
      </c>
      <c r="Z359" s="2">
        <v>2024</v>
      </c>
      <c r="AA359" s="1">
        <f t="shared" si="389"/>
        <v>3249783</v>
      </c>
      <c r="AB359" s="11">
        <f t="shared" si="390"/>
        <v>232833314.02000001</v>
      </c>
      <c r="AC359" s="1">
        <f t="shared" si="391"/>
        <v>10279200</v>
      </c>
      <c r="AD359" s="11">
        <f t="shared" si="392"/>
        <v>983348822.84999931</v>
      </c>
      <c r="AE359" s="8">
        <f t="shared" si="393"/>
        <v>129244</v>
      </c>
      <c r="AF359" s="11">
        <f t="shared" si="394"/>
        <v>20547610.259999998</v>
      </c>
      <c r="AG359" s="8">
        <f t="shared" si="395"/>
        <v>331664</v>
      </c>
      <c r="AH359" s="11">
        <f t="shared" si="396"/>
        <v>52448886.090000004</v>
      </c>
      <c r="AI359" s="8">
        <f t="shared" si="397"/>
        <v>1726</v>
      </c>
      <c r="AJ359" s="11">
        <f t="shared" si="398"/>
        <v>258968.2</v>
      </c>
      <c r="AK359" s="11">
        <f t="shared" si="399"/>
        <v>35919</v>
      </c>
      <c r="AL359" s="11">
        <f t="shared" si="400"/>
        <v>2262849.61</v>
      </c>
      <c r="AM359" s="8">
        <f t="shared" si="405"/>
        <v>14027536</v>
      </c>
      <c r="AN359" s="11">
        <f t="shared" si="401"/>
        <v>1291700451.0299993</v>
      </c>
      <c r="AO359" s="2" t="s">
        <v>70</v>
      </c>
      <c r="AP359" s="37">
        <f t="shared" si="402"/>
        <v>0</v>
      </c>
      <c r="AQ359" s="37">
        <f t="shared" si="403"/>
        <v>0</v>
      </c>
      <c r="AR359" s="13"/>
      <c r="AS359" s="15">
        <f t="shared" si="406"/>
        <v>10777753</v>
      </c>
      <c r="AT359" s="9">
        <f t="shared" si="406"/>
        <v>1058867137.0099993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2024</v>
      </c>
      <c r="D360" s="1">
        <f>+D128+D74+D53+D32+D11+D149+D170+D191+D212+D233+D254+D275+D296+D317+D338+D99</f>
        <v>1973227</v>
      </c>
      <c r="E360" s="1">
        <f t="shared" ref="E360:S360" si="408">+E128+E74+E53+E32+E11+E149+E170+E191+E212+E233+E254+E275+E296+E317+E338+E99</f>
        <v>126107040.09999999</v>
      </c>
      <c r="F360" s="1">
        <f t="shared" si="408"/>
        <v>1236442</v>
      </c>
      <c r="G360" s="1">
        <f t="shared" si="408"/>
        <v>80956386.600000009</v>
      </c>
      <c r="H360" s="1">
        <f t="shared" si="408"/>
        <v>272925</v>
      </c>
      <c r="I360" s="1">
        <f t="shared" si="408"/>
        <v>39067691.850000001</v>
      </c>
      <c r="J360" s="1">
        <f t="shared" si="408"/>
        <v>10910315</v>
      </c>
      <c r="K360" s="1">
        <f t="shared" si="408"/>
        <v>1023587629.3399992</v>
      </c>
      <c r="L360" s="1">
        <f t="shared" si="408"/>
        <v>138300</v>
      </c>
      <c r="M360" s="1">
        <f t="shared" si="408"/>
        <v>22090635.699999999</v>
      </c>
      <c r="N360" s="1">
        <f>+N128+N74+N53+N32+N11+N149+N170+N191+N212+N233+N254+N275+N296+N317+N338+N99</f>
        <v>340676</v>
      </c>
      <c r="O360" s="1">
        <f t="shared" si="408"/>
        <v>53099927.789999999</v>
      </c>
      <c r="P360" s="1">
        <f t="shared" si="408"/>
        <v>871</v>
      </c>
      <c r="Q360" s="1">
        <f t="shared" si="408"/>
        <v>161538.6</v>
      </c>
      <c r="R360" s="1">
        <f t="shared" si="408"/>
        <v>44387</v>
      </c>
      <c r="S360" s="1">
        <f t="shared" si="408"/>
        <v>2851176.4499999997</v>
      </c>
      <c r="T360" s="53">
        <f t="shared" si="388"/>
        <v>14917143</v>
      </c>
      <c r="U360" s="54">
        <f t="shared" si="388"/>
        <v>1347922026.4299989</v>
      </c>
      <c r="V360" s="2" t="s">
        <v>80</v>
      </c>
      <c r="W360" s="66"/>
      <c r="X360" s="13"/>
      <c r="Y360" s="2" t="s">
        <v>8</v>
      </c>
      <c r="Z360" s="2">
        <v>2024</v>
      </c>
      <c r="AA360" s="1">
        <f t="shared" si="389"/>
        <v>3482594</v>
      </c>
      <c r="AB360" s="11">
        <f t="shared" si="390"/>
        <v>246131118.55000001</v>
      </c>
      <c r="AC360" s="1">
        <f t="shared" si="391"/>
        <v>10910315</v>
      </c>
      <c r="AD360" s="11">
        <f t="shared" si="392"/>
        <v>1023587629.3399992</v>
      </c>
      <c r="AE360" s="8">
        <f t="shared" si="393"/>
        <v>138300</v>
      </c>
      <c r="AF360" s="11">
        <f t="shared" si="394"/>
        <v>22090635.699999999</v>
      </c>
      <c r="AG360" s="8">
        <f t="shared" si="395"/>
        <v>340676</v>
      </c>
      <c r="AH360" s="11">
        <f t="shared" si="396"/>
        <v>53099927.789999999</v>
      </c>
      <c r="AI360" s="8">
        <f t="shared" si="397"/>
        <v>871</v>
      </c>
      <c r="AJ360" s="11">
        <f t="shared" si="398"/>
        <v>161538.6</v>
      </c>
      <c r="AK360" s="11">
        <f t="shared" si="399"/>
        <v>44387</v>
      </c>
      <c r="AL360" s="11">
        <f t="shared" si="400"/>
        <v>2851176.4499999997</v>
      </c>
      <c r="AM360" s="8">
        <f t="shared" si="405"/>
        <v>14917143</v>
      </c>
      <c r="AN360" s="11">
        <f t="shared" si="401"/>
        <v>1347922026.4299991</v>
      </c>
      <c r="AO360" s="2" t="s">
        <v>70</v>
      </c>
      <c r="AP360" s="37">
        <f t="shared" si="402"/>
        <v>0</v>
      </c>
      <c r="AQ360" s="37">
        <f t="shared" si="403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2024</v>
      </c>
      <c r="D361" s="1">
        <f>+D129+D75+D54+D33+D12+D150+D171+D192+D213+D234+D255+D276+D297+D318+D339+D101</f>
        <v>1935531</v>
      </c>
      <c r="E361" s="1">
        <f t="shared" ref="E361:S361" si="409">+E129+E75+E54+E33+E12+E150+E171+E192+E213+E234+E255+E276+E297+E318+E339+E101</f>
        <v>124977529.31999999</v>
      </c>
      <c r="F361" s="1">
        <f t="shared" si="409"/>
        <v>1257808</v>
      </c>
      <c r="G361" s="1">
        <f t="shared" si="409"/>
        <v>83277007.340000018</v>
      </c>
      <c r="H361" s="1">
        <f t="shared" si="409"/>
        <v>276881</v>
      </c>
      <c r="I361" s="1">
        <f t="shared" si="409"/>
        <v>40096835.109999999</v>
      </c>
      <c r="J361" s="1">
        <f t="shared" si="409"/>
        <v>10894758</v>
      </c>
      <c r="K361" s="1">
        <f t="shared" si="409"/>
        <v>1034358322.8100002</v>
      </c>
      <c r="L361" s="1">
        <f t="shared" si="409"/>
        <v>140208</v>
      </c>
      <c r="M361" s="1">
        <f t="shared" si="409"/>
        <v>22643622.240000002</v>
      </c>
      <c r="N361" s="1">
        <f t="shared" si="409"/>
        <v>344623</v>
      </c>
      <c r="O361" s="1">
        <f t="shared" si="409"/>
        <v>53390235.099999994</v>
      </c>
      <c r="P361" s="1">
        <f t="shared" si="409"/>
        <v>806</v>
      </c>
      <c r="Q361" s="1">
        <f t="shared" si="409"/>
        <v>188243.33</v>
      </c>
      <c r="R361" s="1">
        <f t="shared" si="409"/>
        <v>45136</v>
      </c>
      <c r="S361" s="1">
        <f t="shared" si="409"/>
        <v>2942926.18</v>
      </c>
      <c r="T361" s="53">
        <f t="shared" si="388"/>
        <v>14895751</v>
      </c>
      <c r="U361" s="54">
        <f t="shared" si="388"/>
        <v>1361874721.4299998</v>
      </c>
      <c r="V361" s="2" t="s">
        <v>80</v>
      </c>
      <c r="W361" s="66"/>
      <c r="X361" s="13"/>
      <c r="Y361" s="2" t="s">
        <v>9</v>
      </c>
      <c r="Z361" s="2">
        <v>2024</v>
      </c>
      <c r="AA361" s="1">
        <f t="shared" si="389"/>
        <v>3470220</v>
      </c>
      <c r="AB361" s="11">
        <f t="shared" si="390"/>
        <v>248351371.77000004</v>
      </c>
      <c r="AC361" s="1">
        <f t="shared" si="391"/>
        <v>10894758</v>
      </c>
      <c r="AD361" s="11">
        <f t="shared" si="392"/>
        <v>1034358322.8100002</v>
      </c>
      <c r="AE361" s="8">
        <f t="shared" si="393"/>
        <v>140208</v>
      </c>
      <c r="AF361" s="11">
        <f t="shared" si="394"/>
        <v>22643622.240000002</v>
      </c>
      <c r="AG361" s="8">
        <f t="shared" si="395"/>
        <v>344623</v>
      </c>
      <c r="AH361" s="11">
        <f t="shared" si="396"/>
        <v>53390235.099999994</v>
      </c>
      <c r="AI361" s="8">
        <f t="shared" si="397"/>
        <v>806</v>
      </c>
      <c r="AJ361" s="11">
        <f t="shared" si="398"/>
        <v>188243.33</v>
      </c>
      <c r="AK361" s="11">
        <f t="shared" si="399"/>
        <v>45136</v>
      </c>
      <c r="AL361" s="11">
        <f t="shared" si="400"/>
        <v>2942926.18</v>
      </c>
      <c r="AM361" s="8">
        <f t="shared" si="405"/>
        <v>14895751</v>
      </c>
      <c r="AN361" s="11">
        <f t="shared" si="401"/>
        <v>1361874721.4300003</v>
      </c>
      <c r="AO361" s="2" t="s">
        <v>70</v>
      </c>
      <c r="AP361" s="37">
        <f t="shared" si="402"/>
        <v>0</v>
      </c>
      <c r="AQ361" s="37">
        <f t="shared" si="403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2024</v>
      </c>
      <c r="D362" s="1">
        <f>+D130+D76+D55+D34+D13+D151+D172+D193+D214+D235+D256+D277+D298+D319+D340+D103</f>
        <v>1914160</v>
      </c>
      <c r="E362" s="1">
        <f t="shared" ref="E362:S362" si="410">+E130+E76+E55+E34+E13+E151+E172+E193+E214+E235+E256+E277+E298+E319+E340+E103</f>
        <v>123557168.20999999</v>
      </c>
      <c r="F362" s="1">
        <f t="shared" si="410"/>
        <v>1224374</v>
      </c>
      <c r="G362" s="1">
        <f t="shared" si="410"/>
        <v>81789903.769999996</v>
      </c>
      <c r="H362" s="1">
        <f t="shared" si="410"/>
        <v>271270</v>
      </c>
      <c r="I362" s="1">
        <f t="shared" si="410"/>
        <v>39518712.650000006</v>
      </c>
      <c r="J362" s="1">
        <f t="shared" si="410"/>
        <v>10639823</v>
      </c>
      <c r="K362" s="1">
        <f t="shared" si="410"/>
        <v>1032201566.069989</v>
      </c>
      <c r="L362" s="1">
        <f t="shared" si="410"/>
        <v>141501</v>
      </c>
      <c r="M362" s="1">
        <f t="shared" si="410"/>
        <v>23211857.670000002</v>
      </c>
      <c r="N362" s="1">
        <f t="shared" si="410"/>
        <v>335858</v>
      </c>
      <c r="O362" s="1">
        <f t="shared" si="410"/>
        <v>52851004.960000001</v>
      </c>
      <c r="P362" s="1">
        <f t="shared" si="410"/>
        <v>681</v>
      </c>
      <c r="Q362" s="1">
        <f t="shared" si="410"/>
        <v>167592.91999999998</v>
      </c>
      <c r="R362" s="1">
        <f t="shared" si="410"/>
        <v>44497</v>
      </c>
      <c r="S362" s="1">
        <f t="shared" si="410"/>
        <v>2948100.89</v>
      </c>
      <c r="T362" s="53">
        <f t="shared" si="388"/>
        <v>14572164</v>
      </c>
      <c r="U362" s="54">
        <f t="shared" si="388"/>
        <v>1356245907.1399891</v>
      </c>
      <c r="V362" s="2" t="s">
        <v>80</v>
      </c>
      <c r="W362" s="66"/>
      <c r="X362" s="13"/>
      <c r="Y362" s="2" t="s">
        <v>10</v>
      </c>
      <c r="Z362" s="2">
        <v>2024</v>
      </c>
      <c r="AA362" s="1">
        <f t="shared" si="389"/>
        <v>3409804</v>
      </c>
      <c r="AB362" s="11">
        <f t="shared" si="390"/>
        <v>244865784.63</v>
      </c>
      <c r="AC362" s="1">
        <f t="shared" si="391"/>
        <v>10639823</v>
      </c>
      <c r="AD362" s="11">
        <f t="shared" si="392"/>
        <v>1032201566.069989</v>
      </c>
      <c r="AE362" s="8">
        <f t="shared" si="393"/>
        <v>141501</v>
      </c>
      <c r="AF362" s="11">
        <f t="shared" si="394"/>
        <v>23211857.670000002</v>
      </c>
      <c r="AG362" s="8">
        <f t="shared" si="395"/>
        <v>335858</v>
      </c>
      <c r="AH362" s="11">
        <f t="shared" si="396"/>
        <v>52851004.960000001</v>
      </c>
      <c r="AI362" s="8">
        <f t="shared" si="397"/>
        <v>681</v>
      </c>
      <c r="AJ362" s="11">
        <f t="shared" si="398"/>
        <v>167592.91999999998</v>
      </c>
      <c r="AK362" s="11">
        <f t="shared" si="399"/>
        <v>44497</v>
      </c>
      <c r="AL362" s="11">
        <f t="shared" si="400"/>
        <v>2948100.89</v>
      </c>
      <c r="AM362" s="8">
        <f t="shared" si="405"/>
        <v>14572164</v>
      </c>
      <c r="AN362" s="11">
        <f t="shared" si="401"/>
        <v>1356245907.1399891</v>
      </c>
      <c r="AO362" s="2" t="s">
        <v>70</v>
      </c>
      <c r="AP362" s="37">
        <f t="shared" si="402"/>
        <v>0</v>
      </c>
      <c r="AQ362" s="37">
        <f t="shared" si="403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2024</v>
      </c>
      <c r="D363" s="1">
        <f>+D131+D77+D56+D35+D14+D152+D173+D194+D215+D236+D257+D278+D299+D320+D341+D105</f>
        <v>1990080</v>
      </c>
      <c r="E363" s="1">
        <f t="shared" ref="E363:S363" si="411">+E131+E77+E56+E35+E14+E152+E173+E194+E215+E236+E257+E278+E299+E320+E341+E105</f>
        <v>133052487.99000001</v>
      </c>
      <c r="F363" s="1">
        <f t="shared" si="411"/>
        <v>1220998</v>
      </c>
      <c r="G363" s="1">
        <f t="shared" si="411"/>
        <v>83072755.010000005</v>
      </c>
      <c r="H363" s="1">
        <f t="shared" si="411"/>
        <v>298961</v>
      </c>
      <c r="I363" s="1">
        <f t="shared" si="411"/>
        <v>43323623.270000003</v>
      </c>
      <c r="J363" s="1">
        <f t="shared" si="411"/>
        <v>11205569</v>
      </c>
      <c r="K363" s="1">
        <f t="shared" si="411"/>
        <v>1099461164.6499994</v>
      </c>
      <c r="L363" s="1">
        <f t="shared" si="411"/>
        <v>155598</v>
      </c>
      <c r="M363" s="1">
        <f t="shared" si="411"/>
        <v>25320347.109999999</v>
      </c>
      <c r="N363" s="1">
        <f t="shared" si="411"/>
        <v>359718</v>
      </c>
      <c r="O363" s="1">
        <f t="shared" si="411"/>
        <v>57421376.169999994</v>
      </c>
      <c r="P363" s="1">
        <f t="shared" si="411"/>
        <v>1005</v>
      </c>
      <c r="Q363" s="1">
        <f t="shared" si="411"/>
        <v>274317.39</v>
      </c>
      <c r="R363" s="1">
        <f t="shared" si="411"/>
        <v>50773</v>
      </c>
      <c r="S363" s="1">
        <f t="shared" si="411"/>
        <v>3625096.83</v>
      </c>
      <c r="T363" s="53">
        <f t="shared" si="388"/>
        <v>15282702</v>
      </c>
      <c r="U363" s="54">
        <f t="shared" si="388"/>
        <v>1445551168.4199994</v>
      </c>
      <c r="V363" s="2" t="s">
        <v>80</v>
      </c>
      <c r="W363" s="66"/>
      <c r="Y363" s="2" t="s">
        <v>11</v>
      </c>
      <c r="Z363" s="2">
        <v>2024</v>
      </c>
      <c r="AA363" s="1">
        <f t="shared" si="389"/>
        <v>3510039</v>
      </c>
      <c r="AB363" s="11">
        <f t="shared" si="390"/>
        <v>259448866.27000004</v>
      </c>
      <c r="AC363" s="1">
        <f t="shared" si="391"/>
        <v>11205569</v>
      </c>
      <c r="AD363" s="11">
        <f t="shared" si="392"/>
        <v>1099461164.6499994</v>
      </c>
      <c r="AE363" s="8">
        <f t="shared" si="393"/>
        <v>155598</v>
      </c>
      <c r="AF363" s="11">
        <f t="shared" si="394"/>
        <v>25320347.109999999</v>
      </c>
      <c r="AG363" s="8">
        <f t="shared" si="395"/>
        <v>359718</v>
      </c>
      <c r="AH363" s="11">
        <f t="shared" si="396"/>
        <v>57421376.169999994</v>
      </c>
      <c r="AI363" s="8">
        <f t="shared" si="397"/>
        <v>1005</v>
      </c>
      <c r="AJ363" s="11">
        <f t="shared" si="398"/>
        <v>274317.39</v>
      </c>
      <c r="AK363" s="11">
        <f t="shared" si="399"/>
        <v>50773</v>
      </c>
      <c r="AL363" s="11">
        <f t="shared" si="400"/>
        <v>3625096.83</v>
      </c>
      <c r="AM363" s="8">
        <f t="shared" si="405"/>
        <v>15282702</v>
      </c>
      <c r="AN363" s="11">
        <f t="shared" si="401"/>
        <v>1445551168.4199994</v>
      </c>
      <c r="AO363" s="2" t="s">
        <v>70</v>
      </c>
      <c r="AP363" s="37">
        <f t="shared" si="402"/>
        <v>0</v>
      </c>
      <c r="AQ363" s="37">
        <f t="shared" si="403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2024</v>
      </c>
      <c r="D364" s="1">
        <f>+D132+D78+D57+D36+D15+D153+D174+D195+D216+D237+D258+D279+D300+D321+D342+D107</f>
        <v>2131726</v>
      </c>
      <c r="E364" s="1">
        <f t="shared" ref="E364:S364" si="412">+E132+E78+E57+E36+E15+E153+E174+E195+E216+E237+E258+E279+E300+E321+E342+E107</f>
        <v>141054390.94</v>
      </c>
      <c r="F364" s="1">
        <f t="shared" si="412"/>
        <v>1343886</v>
      </c>
      <c r="G364" s="1">
        <f t="shared" si="412"/>
        <v>89121923.870000005</v>
      </c>
      <c r="H364" s="1">
        <f t="shared" si="412"/>
        <v>300147</v>
      </c>
      <c r="I364" s="1">
        <f t="shared" si="412"/>
        <v>43682515.370000005</v>
      </c>
      <c r="J364" s="1">
        <f t="shared" si="412"/>
        <v>11882538</v>
      </c>
      <c r="K364" s="1">
        <f t="shared" si="412"/>
        <v>1134595803.9599998</v>
      </c>
      <c r="L364" s="1">
        <f t="shared" si="412"/>
        <v>164144</v>
      </c>
      <c r="M364" s="1">
        <f t="shared" si="412"/>
        <v>26451921.310000002</v>
      </c>
      <c r="N364" s="1">
        <f t="shared" si="412"/>
        <v>368190</v>
      </c>
      <c r="O364" s="1">
        <f t="shared" si="412"/>
        <v>57694010.089999996</v>
      </c>
      <c r="P364" s="1">
        <f t="shared" si="412"/>
        <v>987</v>
      </c>
      <c r="Q364" s="1">
        <f t="shared" si="412"/>
        <v>242630.47</v>
      </c>
      <c r="R364" s="1">
        <f t="shared" si="412"/>
        <v>57884</v>
      </c>
      <c r="S364" s="1">
        <f t="shared" si="412"/>
        <v>4070352.82</v>
      </c>
      <c r="T364" s="53">
        <f t="shared" si="388"/>
        <v>16249502</v>
      </c>
      <c r="U364" s="54">
        <f t="shared" si="388"/>
        <v>1496913548.8300002</v>
      </c>
      <c r="V364" s="2" t="s">
        <v>80</v>
      </c>
      <c r="W364" s="66"/>
      <c r="Y364" s="2" t="s">
        <v>4</v>
      </c>
      <c r="Z364" s="2">
        <v>2024</v>
      </c>
      <c r="AA364" s="1">
        <f t="shared" si="389"/>
        <v>3775759</v>
      </c>
      <c r="AB364" s="11">
        <f t="shared" si="390"/>
        <v>273858830.18000001</v>
      </c>
      <c r="AC364" s="1">
        <f t="shared" si="391"/>
        <v>11882538</v>
      </c>
      <c r="AD364" s="11">
        <f t="shared" si="392"/>
        <v>1134595803.9599998</v>
      </c>
      <c r="AE364" s="8">
        <f t="shared" si="393"/>
        <v>164144</v>
      </c>
      <c r="AF364" s="11">
        <f t="shared" si="394"/>
        <v>26451921.310000002</v>
      </c>
      <c r="AG364" s="8">
        <f t="shared" si="395"/>
        <v>368190</v>
      </c>
      <c r="AH364" s="11">
        <f t="shared" si="396"/>
        <v>57694010.089999996</v>
      </c>
      <c r="AI364" s="8">
        <f t="shared" si="397"/>
        <v>987</v>
      </c>
      <c r="AJ364" s="11">
        <f t="shared" si="398"/>
        <v>242630.47</v>
      </c>
      <c r="AK364" s="11">
        <f t="shared" si="399"/>
        <v>57884</v>
      </c>
      <c r="AL364" s="11">
        <f t="shared" si="400"/>
        <v>4070352.82</v>
      </c>
      <c r="AM364" s="8">
        <f t="shared" si="405"/>
        <v>16249502</v>
      </c>
      <c r="AN364" s="11">
        <f t="shared" si="401"/>
        <v>1496913548.8299999</v>
      </c>
      <c r="AO364" s="2" t="s">
        <v>70</v>
      </c>
      <c r="AP364" s="37">
        <f t="shared" si="402"/>
        <v>0</v>
      </c>
      <c r="AQ364" s="37">
        <f t="shared" si="403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2" t="s">
        <v>28</v>
      </c>
      <c r="C365" s="2">
        <v>2024</v>
      </c>
      <c r="D365" s="1">
        <f>+D133+D79+D58+D37+D16+D154+D175+D196+D217+D238+D259+D280+D301+D322+D343+D109</f>
        <v>2013555</v>
      </c>
      <c r="E365" s="1">
        <f t="shared" ref="E365:S365" si="413">+E133+E79+E58+E37+E16+E154+E175+E196+E217+E238+E259+E280+E301+E322+E343+E109</f>
        <v>132539502.5</v>
      </c>
      <c r="F365" s="1">
        <f t="shared" si="413"/>
        <v>1249093</v>
      </c>
      <c r="G365" s="1">
        <f t="shared" si="413"/>
        <v>83099437.75</v>
      </c>
      <c r="H365" s="1">
        <f t="shared" si="413"/>
        <v>289631</v>
      </c>
      <c r="I365" s="1">
        <f t="shared" si="413"/>
        <v>41811250.079999998</v>
      </c>
      <c r="J365" s="1">
        <f t="shared" si="413"/>
        <v>11157957</v>
      </c>
      <c r="K365" s="1">
        <f t="shared" si="413"/>
        <v>1074031358.9799995</v>
      </c>
      <c r="L365" s="1">
        <f t="shared" si="413"/>
        <v>143029</v>
      </c>
      <c r="M365" s="1">
        <f t="shared" si="413"/>
        <v>23820421.890000001</v>
      </c>
      <c r="N365" s="1">
        <f t="shared" si="413"/>
        <v>339763</v>
      </c>
      <c r="O365" s="1">
        <f t="shared" si="413"/>
        <v>53738490.600000001</v>
      </c>
      <c r="P365" s="1">
        <f t="shared" si="413"/>
        <v>657</v>
      </c>
      <c r="Q365" s="1">
        <f t="shared" si="413"/>
        <v>228620.6</v>
      </c>
      <c r="R365" s="1">
        <f t="shared" si="413"/>
        <v>57196</v>
      </c>
      <c r="S365" s="1">
        <f t="shared" si="413"/>
        <v>3916046.66</v>
      </c>
      <c r="T365" s="53">
        <f t="shared" si="388"/>
        <v>15250881</v>
      </c>
      <c r="U365" s="54">
        <f t="shared" si="388"/>
        <v>1413185129.0599995</v>
      </c>
      <c r="V365" s="2" t="s">
        <v>80</v>
      </c>
      <c r="W365" s="66"/>
      <c r="Y365" s="2" t="s">
        <v>28</v>
      </c>
      <c r="Z365" s="2">
        <v>2024</v>
      </c>
      <c r="AA365" s="1">
        <f t="shared" si="389"/>
        <v>3552279</v>
      </c>
      <c r="AB365" s="11">
        <f t="shared" si="390"/>
        <v>257450190.32999998</v>
      </c>
      <c r="AC365" s="1">
        <f t="shared" si="391"/>
        <v>11157957</v>
      </c>
      <c r="AD365" s="11">
        <f t="shared" si="392"/>
        <v>1074031358.9799995</v>
      </c>
      <c r="AE365" s="8">
        <f t="shared" si="393"/>
        <v>143029</v>
      </c>
      <c r="AF365" s="11">
        <f t="shared" si="394"/>
        <v>23820421.890000001</v>
      </c>
      <c r="AG365" s="8">
        <f t="shared" si="395"/>
        <v>339763</v>
      </c>
      <c r="AH365" s="11">
        <f t="shared" si="396"/>
        <v>53738490.600000001</v>
      </c>
      <c r="AI365" s="8">
        <f t="shared" si="397"/>
        <v>657</v>
      </c>
      <c r="AJ365" s="11">
        <f t="shared" si="398"/>
        <v>228620.6</v>
      </c>
      <c r="AK365" s="11">
        <f t="shared" si="399"/>
        <v>57196</v>
      </c>
      <c r="AL365" s="11">
        <f t="shared" si="400"/>
        <v>3916046.66</v>
      </c>
      <c r="AM365" s="8">
        <f t="shared" si="405"/>
        <v>15250881</v>
      </c>
      <c r="AN365" s="11">
        <f t="shared" si="401"/>
        <v>1413185129.0599995</v>
      </c>
      <c r="AO365" s="2" t="s">
        <v>70</v>
      </c>
      <c r="AP365" s="37">
        <f t="shared" si="402"/>
        <v>0</v>
      </c>
      <c r="AQ365" s="37">
        <f t="shared" si="403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2024</v>
      </c>
      <c r="D366" s="1">
        <f>+D134+D80+D59+D38+D17+D155+D176+D197+D218+D239+D260+D281+D302+D323+D344+D111</f>
        <v>2164544</v>
      </c>
      <c r="E366" s="1">
        <f t="shared" ref="E366:S366" si="414">+E134+E80+E59+E38+E17+E155+E176+E197+E218+E239+E260+E281+E302+E323+E344+E111</f>
        <v>142500653.35999998</v>
      </c>
      <c r="F366" s="1">
        <f t="shared" si="414"/>
        <v>1361816</v>
      </c>
      <c r="G366" s="1">
        <f t="shared" si="414"/>
        <v>90138812.969999999</v>
      </c>
      <c r="H366" s="1">
        <f t="shared" si="414"/>
        <v>302477</v>
      </c>
      <c r="I366" s="1">
        <f t="shared" si="414"/>
        <v>43117064.82</v>
      </c>
      <c r="J366" s="1">
        <f t="shared" si="414"/>
        <v>12010700</v>
      </c>
      <c r="K366" s="1">
        <f t="shared" si="414"/>
        <v>1143744353.9299994</v>
      </c>
      <c r="L366" s="1">
        <f t="shared" si="414"/>
        <v>156342</v>
      </c>
      <c r="M366" s="1">
        <f t="shared" si="414"/>
        <v>26432479.510000002</v>
      </c>
      <c r="N366" s="1">
        <f t="shared" si="414"/>
        <v>364217</v>
      </c>
      <c r="O366" s="1">
        <f t="shared" si="414"/>
        <v>57023707.810000002</v>
      </c>
      <c r="P366" s="1">
        <f t="shared" si="414"/>
        <v>901</v>
      </c>
      <c r="Q366" s="1">
        <f t="shared" si="414"/>
        <v>298793.90999999997</v>
      </c>
      <c r="R366" s="1">
        <f t="shared" si="414"/>
        <v>65125</v>
      </c>
      <c r="S366" s="1">
        <f t="shared" si="414"/>
        <v>4440267.3000000007</v>
      </c>
      <c r="T366" s="53">
        <f t="shared" si="388"/>
        <v>16426122</v>
      </c>
      <c r="U366" s="54">
        <f t="shared" si="388"/>
        <v>1507696133.6099992</v>
      </c>
      <c r="V366" s="2" t="s">
        <v>80</v>
      </c>
      <c r="W366" s="66"/>
      <c r="Y366" s="2" t="s">
        <v>29</v>
      </c>
      <c r="Z366" s="2">
        <v>2024</v>
      </c>
      <c r="AA366" s="1">
        <f t="shared" si="389"/>
        <v>3828837</v>
      </c>
      <c r="AB366" s="11">
        <f t="shared" si="390"/>
        <v>275756531.14999998</v>
      </c>
      <c r="AC366" s="1">
        <f t="shared" si="391"/>
        <v>12010700</v>
      </c>
      <c r="AD366" s="11">
        <f t="shared" si="392"/>
        <v>1143744353.9299994</v>
      </c>
      <c r="AE366" s="8">
        <f t="shared" si="393"/>
        <v>156342</v>
      </c>
      <c r="AF366" s="11">
        <f t="shared" si="394"/>
        <v>26432479.510000002</v>
      </c>
      <c r="AG366" s="8">
        <f t="shared" si="395"/>
        <v>364217</v>
      </c>
      <c r="AH366" s="11">
        <f t="shared" si="396"/>
        <v>57023707.810000002</v>
      </c>
      <c r="AI366" s="8">
        <f t="shared" si="397"/>
        <v>901</v>
      </c>
      <c r="AJ366" s="11">
        <f t="shared" si="398"/>
        <v>298793.90999999997</v>
      </c>
      <c r="AK366" s="11">
        <f t="shared" si="399"/>
        <v>65125</v>
      </c>
      <c r="AL366" s="11">
        <f t="shared" si="400"/>
        <v>4440267.3000000007</v>
      </c>
      <c r="AM366" s="8">
        <f t="shared" si="405"/>
        <v>16426122</v>
      </c>
      <c r="AN366" s="11">
        <f t="shared" si="401"/>
        <v>1507696133.6099994</v>
      </c>
      <c r="AO366" s="2" t="s">
        <v>70</v>
      </c>
      <c r="AP366" s="37">
        <f t="shared" si="402"/>
        <v>0</v>
      </c>
      <c r="AQ366" s="37">
        <f t="shared" si="403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2024</v>
      </c>
      <c r="D367" s="1">
        <f>+D135+D81+D60+D39+D18+D156+D177+D198+D219+D240+D261+D282+D303+D324+D345+D113</f>
        <v>2025129</v>
      </c>
      <c r="E367" s="1">
        <f t="shared" ref="E367:S367" si="415">+E135+E81+E60+E39+E18+E156+E177+E198+E219+E240+E261+E282+E303+E324+E345+E113</f>
        <v>132211958.27000001</v>
      </c>
      <c r="F367" s="1">
        <f t="shared" si="415"/>
        <v>1276126</v>
      </c>
      <c r="G367" s="1">
        <f t="shared" si="415"/>
        <v>84452299.700000003</v>
      </c>
      <c r="H367" s="1">
        <f t="shared" si="415"/>
        <v>278105</v>
      </c>
      <c r="I367" s="1">
        <f t="shared" si="415"/>
        <v>39052177.439999998</v>
      </c>
      <c r="J367" s="1">
        <f t="shared" si="415"/>
        <v>11534787</v>
      </c>
      <c r="K367" s="1">
        <f t="shared" si="415"/>
        <v>1113730602.7600002</v>
      </c>
      <c r="L367" s="1">
        <f t="shared" si="415"/>
        <v>152726</v>
      </c>
      <c r="M367" s="1">
        <f t="shared" si="415"/>
        <v>25388772.630000003</v>
      </c>
      <c r="N367" s="1">
        <f t="shared" si="415"/>
        <v>365910</v>
      </c>
      <c r="O367" s="1">
        <f t="shared" si="415"/>
        <v>58697739.530000001</v>
      </c>
      <c r="P367" s="1">
        <f t="shared" si="415"/>
        <v>863</v>
      </c>
      <c r="Q367" s="1">
        <f t="shared" si="415"/>
        <v>263788.12</v>
      </c>
      <c r="R367" s="1">
        <f t="shared" si="415"/>
        <v>58922</v>
      </c>
      <c r="S367" s="1">
        <f t="shared" si="415"/>
        <v>3968685.03</v>
      </c>
      <c r="T367" s="53">
        <f t="shared" si="388"/>
        <v>15692568</v>
      </c>
      <c r="U367" s="54">
        <f t="shared" si="388"/>
        <v>1457766023.4800003</v>
      </c>
      <c r="V367" s="2" t="s">
        <v>80</v>
      </c>
      <c r="W367" s="66"/>
      <c r="Y367" s="2" t="s">
        <v>30</v>
      </c>
      <c r="Z367" s="2">
        <v>2024</v>
      </c>
      <c r="AA367" s="81">
        <f t="shared" si="389"/>
        <v>3579360</v>
      </c>
      <c r="AB367" s="80">
        <f t="shared" si="390"/>
        <v>255716435.41000003</v>
      </c>
      <c r="AC367" s="81">
        <f t="shared" si="391"/>
        <v>11534787</v>
      </c>
      <c r="AD367" s="80">
        <f t="shared" si="392"/>
        <v>1113730602.7600002</v>
      </c>
      <c r="AE367" s="79">
        <f t="shared" si="393"/>
        <v>152726</v>
      </c>
      <c r="AF367" s="80">
        <f t="shared" si="394"/>
        <v>25388772.630000003</v>
      </c>
      <c r="AG367" s="79">
        <f t="shared" si="395"/>
        <v>365910</v>
      </c>
      <c r="AH367" s="80">
        <f t="shared" si="396"/>
        <v>58697739.530000001</v>
      </c>
      <c r="AI367" s="79">
        <f t="shared" si="397"/>
        <v>863</v>
      </c>
      <c r="AJ367" s="80">
        <f t="shared" si="398"/>
        <v>263788.12</v>
      </c>
      <c r="AK367" s="80">
        <f t="shared" si="399"/>
        <v>58922</v>
      </c>
      <c r="AL367" s="80">
        <f t="shared" si="400"/>
        <v>3968685.03</v>
      </c>
      <c r="AM367" s="79">
        <f t="shared" si="405"/>
        <v>15692568</v>
      </c>
      <c r="AN367" s="80">
        <f t="shared" si="401"/>
        <v>1457766023.4800003</v>
      </c>
      <c r="AO367" s="2" t="s">
        <v>70</v>
      </c>
      <c r="AP367" s="37">
        <f t="shared" si="402"/>
        <v>0</v>
      </c>
      <c r="AQ367" s="37">
        <f t="shared" si="403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2024</v>
      </c>
      <c r="D368" s="1">
        <f>+D136+D82+D61+D40+D19+D157+D178+D199+D220+D241+D262+D283+D304+D325+D346+D115</f>
        <v>2044969</v>
      </c>
      <c r="E368" s="1">
        <f t="shared" ref="E368:S368" si="416">+E136+E82+E61+E40+E19+E157+E178+E199+E220+E241+E262+E283+E304+E325+E346+E115</f>
        <v>139383950</v>
      </c>
      <c r="F368" s="1">
        <f t="shared" si="416"/>
        <v>1311410</v>
      </c>
      <c r="G368" s="1">
        <f t="shared" si="416"/>
        <v>88420995.750000015</v>
      </c>
      <c r="H368" s="1">
        <f t="shared" si="416"/>
        <v>295228</v>
      </c>
      <c r="I368" s="1">
        <f t="shared" si="416"/>
        <v>44425805.829999998</v>
      </c>
      <c r="J368" s="1">
        <f t="shared" si="416"/>
        <v>11246323</v>
      </c>
      <c r="K368" s="1">
        <f t="shared" si="416"/>
        <v>1124680471.079994</v>
      </c>
      <c r="L368" s="1">
        <f t="shared" si="416"/>
        <v>156885</v>
      </c>
      <c r="M368" s="1">
        <f t="shared" si="416"/>
        <v>27088113.289999999</v>
      </c>
      <c r="N368" s="1">
        <f t="shared" si="416"/>
        <v>357971</v>
      </c>
      <c r="O368" s="1">
        <f t="shared" si="416"/>
        <v>58134676.07</v>
      </c>
      <c r="P368" s="1">
        <f t="shared" si="416"/>
        <v>701</v>
      </c>
      <c r="Q368" s="1">
        <f t="shared" si="416"/>
        <v>192402.5</v>
      </c>
      <c r="R368" s="1">
        <f t="shared" si="416"/>
        <v>72470</v>
      </c>
      <c r="S368" s="1">
        <f t="shared" si="416"/>
        <v>5306553.38</v>
      </c>
      <c r="T368" s="53">
        <f t="shared" si="388"/>
        <v>15485957</v>
      </c>
      <c r="U368" s="54">
        <f t="shared" si="388"/>
        <v>1487632967.8999939</v>
      </c>
      <c r="V368" s="2" t="s">
        <v>80</v>
      </c>
      <c r="W368" s="66"/>
      <c r="Y368" s="2" t="s">
        <v>31</v>
      </c>
      <c r="Z368" s="2">
        <v>2024</v>
      </c>
      <c r="AA368" s="1">
        <f t="shared" si="389"/>
        <v>3651607</v>
      </c>
      <c r="AB368" s="11">
        <f t="shared" si="390"/>
        <v>272230751.57999998</v>
      </c>
      <c r="AC368" s="1">
        <f t="shared" si="391"/>
        <v>11246323</v>
      </c>
      <c r="AD368" s="11">
        <f t="shared" si="392"/>
        <v>1124680471.079994</v>
      </c>
      <c r="AE368" s="8">
        <f t="shared" si="393"/>
        <v>156885</v>
      </c>
      <c r="AF368" s="11">
        <f t="shared" si="394"/>
        <v>27088113.289999999</v>
      </c>
      <c r="AG368" s="8">
        <f t="shared" si="395"/>
        <v>357971</v>
      </c>
      <c r="AH368" s="11">
        <f t="shared" si="396"/>
        <v>58134676.07</v>
      </c>
      <c r="AI368" s="8">
        <f t="shared" si="397"/>
        <v>701</v>
      </c>
      <c r="AJ368" s="11">
        <f t="shared" si="398"/>
        <v>192402.5</v>
      </c>
      <c r="AK368" s="11">
        <f t="shared" si="399"/>
        <v>72470</v>
      </c>
      <c r="AL368" s="11">
        <f t="shared" si="400"/>
        <v>5306553.38</v>
      </c>
      <c r="AM368" s="8">
        <f t="shared" si="405"/>
        <v>15485957</v>
      </c>
      <c r="AN368" s="11">
        <f t="shared" si="401"/>
        <v>1487632967.8999939</v>
      </c>
      <c r="AO368" s="2" t="s">
        <v>70</v>
      </c>
      <c r="AP368" s="37">
        <f t="shared" si="402"/>
        <v>0</v>
      </c>
      <c r="AQ368" s="37">
        <f t="shared" si="403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49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49" x14ac:dyDescent="0.25">
      <c r="B370" s="3" t="s">
        <v>12</v>
      </c>
      <c r="C370" s="3"/>
      <c r="D370" s="4">
        <f t="shared" ref="D370:U370" si="417">SUM(D357:D369)</f>
        <v>23712122</v>
      </c>
      <c r="E370" s="12">
        <f t="shared" si="417"/>
        <v>1540980237.8699999</v>
      </c>
      <c r="F370" s="4">
        <f t="shared" si="417"/>
        <v>14903268</v>
      </c>
      <c r="G370" s="12">
        <f t="shared" si="417"/>
        <v>983396745.71000016</v>
      </c>
      <c r="H370" s="4">
        <f t="shared" si="417"/>
        <v>3339771</v>
      </c>
      <c r="I370" s="12">
        <f t="shared" si="417"/>
        <v>483057924.01999998</v>
      </c>
      <c r="J370" s="4">
        <f t="shared" si="417"/>
        <v>132536507</v>
      </c>
      <c r="K370" s="12">
        <f t="shared" si="417"/>
        <v>12672977317.53998</v>
      </c>
      <c r="L370" s="4">
        <f t="shared" si="417"/>
        <v>1735656</v>
      </c>
      <c r="M370" s="12">
        <f t="shared" si="417"/>
        <v>283745716.40000004</v>
      </c>
      <c r="N370" s="4">
        <f t="shared" si="417"/>
        <v>4169095</v>
      </c>
      <c r="O370" s="12">
        <f t="shared" si="417"/>
        <v>657450169.25999999</v>
      </c>
      <c r="P370" s="4">
        <f t="shared" si="417"/>
        <v>13274</v>
      </c>
      <c r="Q370" s="12">
        <f t="shared" si="417"/>
        <v>2881684.63</v>
      </c>
      <c r="R370" s="4">
        <f t="shared" si="417"/>
        <v>592211</v>
      </c>
      <c r="S370" s="12">
        <f t="shared" si="417"/>
        <v>39796191.890000001</v>
      </c>
      <c r="T370" s="4">
        <f t="shared" si="417"/>
        <v>181001904</v>
      </c>
      <c r="U370" s="12">
        <f t="shared" si="417"/>
        <v>16664285987.319975</v>
      </c>
      <c r="Y370" s="3" t="s">
        <v>12</v>
      </c>
      <c r="Z370" s="3"/>
      <c r="AA370" s="4">
        <f t="shared" ref="AA370:AN370" si="418">SUM(AA357:AA369)</f>
        <v>41955161</v>
      </c>
      <c r="AB370" s="12">
        <f t="shared" si="418"/>
        <v>3007434907.5999999</v>
      </c>
      <c r="AC370" s="4">
        <f t="shared" si="418"/>
        <v>132536507</v>
      </c>
      <c r="AD370" s="12">
        <f t="shared" si="418"/>
        <v>12672977317.53998</v>
      </c>
      <c r="AE370" s="4">
        <f t="shared" si="418"/>
        <v>1735656</v>
      </c>
      <c r="AF370" s="12">
        <f t="shared" si="418"/>
        <v>283745716.40000004</v>
      </c>
      <c r="AG370" s="4">
        <f t="shared" si="418"/>
        <v>4169095</v>
      </c>
      <c r="AH370" s="12">
        <f t="shared" si="418"/>
        <v>657450169.25999999</v>
      </c>
      <c r="AI370" s="4">
        <f t="shared" si="418"/>
        <v>13274</v>
      </c>
      <c r="AJ370" s="12">
        <f t="shared" si="418"/>
        <v>2881684.63</v>
      </c>
      <c r="AK370" s="4">
        <f t="shared" si="418"/>
        <v>592211</v>
      </c>
      <c r="AL370" s="12">
        <f t="shared" si="418"/>
        <v>39796191.890000001</v>
      </c>
      <c r="AM370" s="4">
        <f t="shared" si="418"/>
        <v>181001904</v>
      </c>
      <c r="AN370" s="12">
        <f t="shared" si="418"/>
        <v>16664285987.319977</v>
      </c>
    </row>
    <row r="371" spans="1:49" x14ac:dyDescent="0.25">
      <c r="D371" s="39"/>
      <c r="E371" s="9">
        <f>E363+G363+I363</f>
        <v>259448866.27000001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128839.5</v>
      </c>
      <c r="M371" s="28">
        <f>AVERAGE(M357:M358)</f>
        <v>20374967.395</v>
      </c>
    </row>
    <row r="372" spans="1:49" x14ac:dyDescent="0.25">
      <c r="A372" s="67" t="s">
        <v>14</v>
      </c>
      <c r="F372" s="9">
        <f>+F370+D370+H370</f>
        <v>41955161</v>
      </c>
      <c r="G372" s="9">
        <f>+G370+E370+I370</f>
        <v>3007434907.5999999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49" x14ac:dyDescent="0.25">
      <c r="A373" s="67" t="s">
        <v>47</v>
      </c>
      <c r="J373" s="39">
        <f>+J370+L370+N370+P370+R370</f>
        <v>139046743</v>
      </c>
      <c r="K373" s="9">
        <f>+K370+M370+O370+Q370+S370</f>
        <v>13656851079.719978</v>
      </c>
    </row>
    <row r="374" spans="1:49" x14ac:dyDescent="0.25">
      <c r="B374" s="5"/>
      <c r="F374" s="39"/>
      <c r="G374" s="39"/>
      <c r="J374" s="9"/>
    </row>
    <row r="375" spans="1:49" ht="15" customHeight="1" x14ac:dyDescent="0.25">
      <c r="D375" s="89" t="s">
        <v>53</v>
      </c>
      <c r="E375" s="90"/>
      <c r="F375" s="89" t="s">
        <v>54</v>
      </c>
      <c r="G375" s="90"/>
      <c r="H375" s="89" t="s">
        <v>18</v>
      </c>
      <c r="I375" s="90"/>
      <c r="J375" s="89" t="s">
        <v>91</v>
      </c>
      <c r="K375" s="90"/>
      <c r="L375" s="89" t="s">
        <v>52</v>
      </c>
      <c r="M375" s="90"/>
      <c r="N375" s="89" t="s">
        <v>13</v>
      </c>
      <c r="O375" s="90"/>
      <c r="P375" s="89" t="s">
        <v>34</v>
      </c>
      <c r="Q375" s="90"/>
      <c r="R375" s="89" t="s">
        <v>87</v>
      </c>
      <c r="S375" s="90"/>
      <c r="T375" s="89" t="s">
        <v>43</v>
      </c>
      <c r="U375" s="93"/>
      <c r="X375" s="25"/>
    </row>
    <row r="376" spans="1:49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X376" s="25"/>
    </row>
    <row r="377" spans="1:49" x14ac:dyDescent="0.25">
      <c r="F377"/>
      <c r="J377" s="9"/>
      <c r="P377"/>
      <c r="R377"/>
      <c r="X377" s="25"/>
    </row>
    <row r="378" spans="1:49" x14ac:dyDescent="0.25">
      <c r="B378" s="2" t="s">
        <v>5</v>
      </c>
      <c r="C378" s="2">
        <v>2024</v>
      </c>
      <c r="D378" s="1">
        <v>393751</v>
      </c>
      <c r="E378" s="11">
        <v>15347097.970000001</v>
      </c>
      <c r="F378" s="1">
        <v>1414938</v>
      </c>
      <c r="G378" s="11">
        <v>321786175</v>
      </c>
      <c r="H378" s="1">
        <v>148185</v>
      </c>
      <c r="I378" s="11">
        <v>7904788</v>
      </c>
      <c r="J378" s="1">
        <v>158837</v>
      </c>
      <c r="K378" s="11">
        <v>7461851</v>
      </c>
      <c r="L378" s="1">
        <v>1439349</v>
      </c>
      <c r="M378" s="11">
        <v>242792795</v>
      </c>
      <c r="N378" s="8">
        <v>505667</v>
      </c>
      <c r="O378" s="11">
        <v>56384470</v>
      </c>
      <c r="P378" s="8">
        <v>35040</v>
      </c>
      <c r="Q378" s="11">
        <v>7112000</v>
      </c>
      <c r="R378" s="8">
        <v>514397</v>
      </c>
      <c r="S378" s="11">
        <v>38436958</v>
      </c>
      <c r="T378" s="8">
        <f>+N378+H378+F378+D378+P378+L378+R378+J378</f>
        <v>4610164</v>
      </c>
      <c r="U378" s="11">
        <f t="shared" ref="U378:U389" si="419">+O378+I378+G378+E378+Q378+M378+S378+K378</f>
        <v>697226134.97000003</v>
      </c>
      <c r="AR378" s="13"/>
      <c r="AS378" s="40"/>
      <c r="AT378" s="40"/>
      <c r="AU378" s="13"/>
      <c r="AV378" s="41"/>
      <c r="AW378" s="42"/>
    </row>
    <row r="379" spans="1:49" x14ac:dyDescent="0.25">
      <c r="B379" s="2" t="s">
        <v>6</v>
      </c>
      <c r="C379" s="2">
        <v>2024</v>
      </c>
      <c r="D379" s="1">
        <v>426831</v>
      </c>
      <c r="E379" s="11">
        <v>16614321.609999999</v>
      </c>
      <c r="F379" s="1">
        <v>1309164</v>
      </c>
      <c r="G379" s="11">
        <v>283950482</v>
      </c>
      <c r="H379" s="1">
        <v>131806</v>
      </c>
      <c r="I379" s="11">
        <v>7122818</v>
      </c>
      <c r="J379" s="1">
        <v>167794</v>
      </c>
      <c r="K379" s="11">
        <v>8002895</v>
      </c>
      <c r="L379" s="1">
        <v>1356530</v>
      </c>
      <c r="M379" s="11">
        <v>230953049</v>
      </c>
      <c r="N379" s="8">
        <v>500938</v>
      </c>
      <c r="O379" s="11">
        <v>55135619</v>
      </c>
      <c r="P379" s="8">
        <v>35209</v>
      </c>
      <c r="Q379" s="11">
        <v>7176534</v>
      </c>
      <c r="R379" s="8">
        <v>507804</v>
      </c>
      <c r="S379" s="11">
        <v>37568838</v>
      </c>
      <c r="T379" s="8">
        <f>+N379+H379+F379+D379+P379+L379+R379+J379</f>
        <v>4436076</v>
      </c>
      <c r="U379" s="11">
        <f t="shared" si="419"/>
        <v>646524556.61000001</v>
      </c>
      <c r="AR379" s="13"/>
      <c r="AS379" s="40"/>
      <c r="AT379" s="40"/>
      <c r="AU379" s="13"/>
      <c r="AV379" s="41"/>
      <c r="AW379" s="42"/>
    </row>
    <row r="380" spans="1:49" x14ac:dyDescent="0.25">
      <c r="B380" s="2" t="s">
        <v>7</v>
      </c>
      <c r="C380" s="2">
        <v>2024</v>
      </c>
      <c r="D380" s="1">
        <v>402702</v>
      </c>
      <c r="E380" s="11">
        <v>17661108.27</v>
      </c>
      <c r="F380" s="1">
        <v>1455169</v>
      </c>
      <c r="G380" s="11">
        <v>316153573</v>
      </c>
      <c r="H380" s="1">
        <v>147391</v>
      </c>
      <c r="I380" s="11">
        <v>7768366</v>
      </c>
      <c r="J380" s="1">
        <v>172225</v>
      </c>
      <c r="K380" s="11">
        <v>8127631</v>
      </c>
      <c r="L380" s="1">
        <v>1551311</v>
      </c>
      <c r="M380" s="11">
        <v>257132914</v>
      </c>
      <c r="N380" s="8">
        <v>571068</v>
      </c>
      <c r="O380" s="11">
        <v>63169960</v>
      </c>
      <c r="P380" s="8">
        <v>38781</v>
      </c>
      <c r="Q380" s="11">
        <v>7957399</v>
      </c>
      <c r="R380" s="8">
        <v>561358</v>
      </c>
      <c r="S380" s="11">
        <v>42032116</v>
      </c>
      <c r="T380" s="8">
        <f>+N380+H380+F380+D380+P380+L380+R380+J380</f>
        <v>4900005</v>
      </c>
      <c r="U380" s="11">
        <f t="shared" si="419"/>
        <v>720003067.26999998</v>
      </c>
      <c r="AR380" s="13"/>
      <c r="AS380" s="40"/>
      <c r="AT380" s="40"/>
      <c r="AU380" s="13"/>
      <c r="AV380" s="41"/>
      <c r="AW380" s="42"/>
    </row>
    <row r="381" spans="1:49" x14ac:dyDescent="0.25">
      <c r="B381" s="2" t="s">
        <v>8</v>
      </c>
      <c r="C381" s="2">
        <v>2024</v>
      </c>
      <c r="D381" s="1">
        <v>444025</v>
      </c>
      <c r="E381" s="11">
        <v>17742845.530000001</v>
      </c>
      <c r="F381" s="1">
        <v>1502096</v>
      </c>
      <c r="G381" s="11">
        <v>325923691</v>
      </c>
      <c r="H381" s="1">
        <v>162309</v>
      </c>
      <c r="I381" s="11">
        <v>8483421</v>
      </c>
      <c r="J381" s="1">
        <v>179759</v>
      </c>
      <c r="K381" s="11">
        <v>8555709</v>
      </c>
      <c r="L381" s="1">
        <v>1513134</v>
      </c>
      <c r="M381" s="11">
        <v>255316256</v>
      </c>
      <c r="N381" s="8">
        <v>562252</v>
      </c>
      <c r="O381" s="11">
        <v>62018370</v>
      </c>
      <c r="P381" s="8">
        <v>55333</v>
      </c>
      <c r="Q381" s="11">
        <v>7956191</v>
      </c>
      <c r="R381" s="8">
        <v>568803</v>
      </c>
      <c r="S381" s="11">
        <v>42254925</v>
      </c>
      <c r="T381" s="8">
        <f>+N381+H381+F381+D381+P381+L381+R381+J381</f>
        <v>4987711</v>
      </c>
      <c r="U381" s="11">
        <f t="shared" si="419"/>
        <v>728251408.52999997</v>
      </c>
      <c r="AR381" s="13"/>
      <c r="AS381" s="40"/>
      <c r="AT381" s="40"/>
      <c r="AU381" s="13"/>
      <c r="AV381" s="41"/>
      <c r="AW381" s="42"/>
    </row>
    <row r="382" spans="1:49" x14ac:dyDescent="0.25">
      <c r="B382" s="2" t="s">
        <v>9</v>
      </c>
      <c r="C382" s="2">
        <v>2024</v>
      </c>
      <c r="D382" s="1">
        <v>477341</v>
      </c>
      <c r="E382" s="11">
        <v>18771603.240000002</v>
      </c>
      <c r="F382" s="1">
        <v>1624720</v>
      </c>
      <c r="G382" s="11">
        <v>352722871</v>
      </c>
      <c r="H382" s="1">
        <v>153869</v>
      </c>
      <c r="I382" s="11">
        <v>7902302</v>
      </c>
      <c r="J382" s="1">
        <v>187841</v>
      </c>
      <c r="K382" s="11">
        <v>8824680</v>
      </c>
      <c r="L382" s="1">
        <v>1557326</v>
      </c>
      <c r="M382" s="11">
        <v>258621332</v>
      </c>
      <c r="N382" s="8">
        <v>567558</v>
      </c>
      <c r="O382" s="11">
        <v>63444431</v>
      </c>
      <c r="P382" s="8">
        <v>41346</v>
      </c>
      <c r="Q382" s="11">
        <v>8345526</v>
      </c>
      <c r="R382" s="8">
        <v>582225</v>
      </c>
      <c r="S382" s="11">
        <v>44132719</v>
      </c>
      <c r="T382" s="8">
        <f t="shared" ref="T382:T389" si="420">+N382+H382+F382+D382+P382+L382+R382+J382</f>
        <v>5192226</v>
      </c>
      <c r="U382" s="11">
        <f t="shared" si="419"/>
        <v>762765464.24000001</v>
      </c>
      <c r="AR382" s="13"/>
      <c r="AS382" s="40"/>
      <c r="AT382" s="40"/>
      <c r="AU382" s="13"/>
      <c r="AV382" s="41"/>
      <c r="AW382" s="42"/>
    </row>
    <row r="383" spans="1:49" x14ac:dyDescent="0.25">
      <c r="B383" s="2" t="s">
        <v>10</v>
      </c>
      <c r="C383" s="2">
        <v>2024</v>
      </c>
      <c r="D383" s="1">
        <v>417593</v>
      </c>
      <c r="E383" s="11">
        <v>16468424.089999998</v>
      </c>
      <c r="F383" s="1">
        <v>1093831</v>
      </c>
      <c r="G383" s="11">
        <v>319042317.96000004</v>
      </c>
      <c r="H383" s="1">
        <v>142099</v>
      </c>
      <c r="I383" s="11">
        <v>7407837</v>
      </c>
      <c r="J383" s="1">
        <v>185801</v>
      </c>
      <c r="K383" s="11">
        <v>8804254</v>
      </c>
      <c r="L383" s="1">
        <v>1516226</v>
      </c>
      <c r="M383" s="11">
        <v>259111133</v>
      </c>
      <c r="N383" s="8">
        <v>556759</v>
      </c>
      <c r="O383" s="11">
        <v>62210499</v>
      </c>
      <c r="P383" s="8">
        <v>41131</v>
      </c>
      <c r="Q383" s="11">
        <v>8476339</v>
      </c>
      <c r="R383" s="8">
        <v>585980</v>
      </c>
      <c r="S383" s="11">
        <v>44152493</v>
      </c>
      <c r="T383" s="8">
        <f t="shared" si="420"/>
        <v>4539420</v>
      </c>
      <c r="U383" s="11">
        <f t="shared" si="419"/>
        <v>725673297.04999995</v>
      </c>
      <c r="AR383" s="13"/>
      <c r="AS383" s="40"/>
      <c r="AT383" s="40"/>
      <c r="AU383" s="13"/>
      <c r="AV383" s="41"/>
      <c r="AW383" s="42"/>
    </row>
    <row r="384" spans="1:49" x14ac:dyDescent="0.25">
      <c r="B384" s="2" t="s">
        <v>11</v>
      </c>
      <c r="C384" s="2">
        <v>2024</v>
      </c>
      <c r="D384" s="1">
        <v>352543</v>
      </c>
      <c r="E384" s="11">
        <v>8376160.209999999</v>
      </c>
      <c r="F384" s="1">
        <v>1634651</v>
      </c>
      <c r="G384" s="11">
        <v>349258390</v>
      </c>
      <c r="H384" s="1">
        <v>162806</v>
      </c>
      <c r="I384" s="11">
        <v>8174620</v>
      </c>
      <c r="J384" s="1">
        <v>180810</v>
      </c>
      <c r="K384" s="11">
        <v>8558316</v>
      </c>
      <c r="L384" s="1">
        <v>1596089</v>
      </c>
      <c r="M384" s="11">
        <v>268885446</v>
      </c>
      <c r="N384" s="8">
        <v>588736</v>
      </c>
      <c r="O384" s="11">
        <v>66841074</v>
      </c>
      <c r="P384" s="8">
        <v>43450</v>
      </c>
      <c r="Q384" s="11">
        <v>8823979</v>
      </c>
      <c r="R384" s="8">
        <v>618054</v>
      </c>
      <c r="S384" s="11">
        <v>47575094</v>
      </c>
      <c r="T384" s="8">
        <f t="shared" si="420"/>
        <v>5177139</v>
      </c>
      <c r="U384" s="11">
        <f t="shared" si="419"/>
        <v>766493079.21000004</v>
      </c>
      <c r="AR384" s="13"/>
      <c r="AS384" s="40"/>
      <c r="AT384" s="40"/>
      <c r="AU384" s="13"/>
      <c r="AV384" s="41"/>
      <c r="AW384" s="42"/>
    </row>
    <row r="385" spans="2:49" x14ac:dyDescent="0.25">
      <c r="B385" s="2" t="s">
        <v>4</v>
      </c>
      <c r="C385" s="2">
        <v>2024</v>
      </c>
      <c r="D385" s="1">
        <v>376813</v>
      </c>
      <c r="E385" s="11">
        <v>8613352.6899999995</v>
      </c>
      <c r="F385" s="1">
        <v>1672576</v>
      </c>
      <c r="G385" s="11">
        <v>361128709</v>
      </c>
      <c r="H385" s="1">
        <v>179445</v>
      </c>
      <c r="I385" s="11">
        <v>8765019</v>
      </c>
      <c r="J385" s="1">
        <v>195051</v>
      </c>
      <c r="K385" s="11">
        <v>9195043</v>
      </c>
      <c r="L385" s="1">
        <v>1571998</v>
      </c>
      <c r="M385" s="11">
        <v>269336438</v>
      </c>
      <c r="N385" s="8">
        <v>608775</v>
      </c>
      <c r="O385" s="11">
        <v>68267268</v>
      </c>
      <c r="P385" s="8">
        <v>45245</v>
      </c>
      <c r="Q385" s="11">
        <v>9325370</v>
      </c>
      <c r="R385" s="8">
        <v>618887</v>
      </c>
      <c r="S385" s="11">
        <v>47267180</v>
      </c>
      <c r="T385" s="8">
        <f t="shared" si="420"/>
        <v>5268790</v>
      </c>
      <c r="U385" s="11">
        <f t="shared" si="419"/>
        <v>781898379.69000006</v>
      </c>
      <c r="AR385" s="13"/>
      <c r="AS385" s="40"/>
      <c r="AT385" s="40"/>
      <c r="AU385" s="13"/>
      <c r="AV385" s="41"/>
      <c r="AW385" s="42"/>
    </row>
    <row r="386" spans="2:49" x14ac:dyDescent="0.25">
      <c r="B386" s="2" t="s">
        <v>28</v>
      </c>
      <c r="C386" s="2">
        <v>2024</v>
      </c>
      <c r="D386" s="1">
        <v>376612</v>
      </c>
      <c r="E386" s="11">
        <v>8512482.9100000001</v>
      </c>
      <c r="F386" s="1">
        <v>1577258</v>
      </c>
      <c r="G386" s="11">
        <v>328971845</v>
      </c>
      <c r="H386" s="1">
        <v>160603</v>
      </c>
      <c r="I386" s="11">
        <v>7718884</v>
      </c>
      <c r="J386" s="1">
        <v>195718</v>
      </c>
      <c r="K386" s="11">
        <v>9338640</v>
      </c>
      <c r="L386" s="1">
        <v>1515320</v>
      </c>
      <c r="M386" s="11">
        <v>260187096</v>
      </c>
      <c r="N386" s="8">
        <v>574568</v>
      </c>
      <c r="O386" s="11">
        <v>64416805</v>
      </c>
      <c r="P386" s="8">
        <v>41600</v>
      </c>
      <c r="Q386" s="11">
        <v>8614331</v>
      </c>
      <c r="R386" s="8">
        <v>577342</v>
      </c>
      <c r="S386" s="11">
        <v>43716958</v>
      </c>
      <c r="T386" s="8">
        <f t="shared" si="420"/>
        <v>5019021</v>
      </c>
      <c r="U386" s="11">
        <f t="shared" si="419"/>
        <v>731477041.91000009</v>
      </c>
      <c r="AR386" s="13"/>
      <c r="AS386" s="40"/>
      <c r="AT386" s="40"/>
      <c r="AU386" s="13"/>
      <c r="AV386" s="41"/>
      <c r="AW386" s="42"/>
    </row>
    <row r="387" spans="2:49" x14ac:dyDescent="0.25">
      <c r="B387" s="2" t="s">
        <v>29</v>
      </c>
      <c r="C387" s="2">
        <v>2024</v>
      </c>
      <c r="D387" s="1">
        <v>419972</v>
      </c>
      <c r="E387" s="11">
        <v>9424109.7300000004</v>
      </c>
      <c r="F387" s="1">
        <v>1689079</v>
      </c>
      <c r="G387" s="11">
        <v>364088145</v>
      </c>
      <c r="H387" s="1">
        <v>174126</v>
      </c>
      <c r="I387" s="11">
        <v>8340816</v>
      </c>
      <c r="J387" s="1">
        <v>215445</v>
      </c>
      <c r="K387" s="11">
        <v>10327506</v>
      </c>
      <c r="L387" s="1">
        <v>1562668</v>
      </c>
      <c r="M387" s="11">
        <v>265268402</v>
      </c>
      <c r="N387" s="8">
        <v>615972</v>
      </c>
      <c r="O387" s="11">
        <v>69035447</v>
      </c>
      <c r="P387" s="8">
        <v>44333</v>
      </c>
      <c r="Q387" s="11">
        <v>9227094</v>
      </c>
      <c r="R387" s="8">
        <v>605834</v>
      </c>
      <c r="S387" s="11">
        <v>45855888</v>
      </c>
      <c r="T387" s="8">
        <f t="shared" si="420"/>
        <v>5327429</v>
      </c>
      <c r="U387" s="11">
        <f t="shared" si="419"/>
        <v>781567407.73000002</v>
      </c>
      <c r="AR387" s="13"/>
      <c r="AS387" s="40"/>
      <c r="AT387" s="40"/>
      <c r="AU387" s="13"/>
      <c r="AV387" s="40"/>
      <c r="AW387" s="40"/>
    </row>
    <row r="388" spans="2:49" x14ac:dyDescent="0.25">
      <c r="B388" s="2" t="s">
        <v>30</v>
      </c>
      <c r="C388" s="2">
        <v>2024</v>
      </c>
      <c r="D388" s="1">
        <v>396573</v>
      </c>
      <c r="E388" s="11">
        <v>9057678.7400000002</v>
      </c>
      <c r="F388" s="1">
        <v>1729668</v>
      </c>
      <c r="G388" s="11">
        <v>366350094</v>
      </c>
      <c r="H388" s="1">
        <v>172994</v>
      </c>
      <c r="I388" s="11">
        <v>8388026</v>
      </c>
      <c r="J388" s="1">
        <v>211368</v>
      </c>
      <c r="K388" s="11">
        <v>10220243</v>
      </c>
      <c r="L388" s="1">
        <v>1590354</v>
      </c>
      <c r="M388" s="11">
        <v>261630250</v>
      </c>
      <c r="N388" s="8">
        <v>621877</v>
      </c>
      <c r="O388" s="11">
        <v>68962545</v>
      </c>
      <c r="P388" s="8">
        <v>44095</v>
      </c>
      <c r="Q388" s="11">
        <v>9223328</v>
      </c>
      <c r="R388" s="8">
        <v>606897</v>
      </c>
      <c r="S388" s="11">
        <v>45887775</v>
      </c>
      <c r="T388" s="8">
        <f t="shared" si="420"/>
        <v>5373826</v>
      </c>
      <c r="U388" s="11">
        <f t="shared" si="419"/>
        <v>779719939.74000001</v>
      </c>
      <c r="AR388" s="13"/>
      <c r="AS388" s="40"/>
      <c r="AT388" s="40"/>
      <c r="AU388" s="13"/>
      <c r="AV388" s="40"/>
      <c r="AW388" s="40"/>
    </row>
    <row r="389" spans="2:49" x14ac:dyDescent="0.25">
      <c r="B389" s="2" t="s">
        <v>31</v>
      </c>
      <c r="C389" s="2">
        <v>2024</v>
      </c>
      <c r="D389" s="1">
        <v>377430</v>
      </c>
      <c r="E389" s="11">
        <v>8865329.8200000003</v>
      </c>
      <c r="F389" s="1">
        <v>1782160</v>
      </c>
      <c r="G389" s="11">
        <v>371274893</v>
      </c>
      <c r="H389" s="1">
        <v>190071</v>
      </c>
      <c r="I389" s="11">
        <v>9162326</v>
      </c>
      <c r="J389" s="1">
        <v>196326</v>
      </c>
      <c r="K389" s="11">
        <v>9660562</v>
      </c>
      <c r="L389" s="1">
        <v>1752735</v>
      </c>
      <c r="M389" s="11">
        <v>280421967</v>
      </c>
      <c r="N389" s="8">
        <v>629692</v>
      </c>
      <c r="O389" s="11">
        <v>71229261</v>
      </c>
      <c r="P389" s="8">
        <v>46778</v>
      </c>
      <c r="Q389" s="11">
        <v>9501216</v>
      </c>
      <c r="R389" s="8">
        <v>626701</v>
      </c>
      <c r="S389" s="11">
        <v>48003058</v>
      </c>
      <c r="T389" s="8">
        <f t="shared" si="420"/>
        <v>5601893</v>
      </c>
      <c r="U389" s="11">
        <f t="shared" si="419"/>
        <v>808118612.81999993</v>
      </c>
      <c r="AR389" s="13"/>
      <c r="AS389" s="40"/>
      <c r="AT389" s="40"/>
      <c r="AU389" s="13"/>
      <c r="AV389" s="40"/>
      <c r="AW389" s="40"/>
    </row>
    <row r="390" spans="2:49" x14ac:dyDescent="0.25">
      <c r="F390" s="39"/>
      <c r="G390" s="39"/>
      <c r="J390" s="9"/>
      <c r="P390"/>
      <c r="R390"/>
      <c r="W390" s="9"/>
    </row>
    <row r="391" spans="2:49" x14ac:dyDescent="0.25">
      <c r="B391" s="3" t="s">
        <v>12</v>
      </c>
      <c r="C391" s="3"/>
      <c r="D391" s="4">
        <f>SUM(D378:D390)</f>
        <v>4862186</v>
      </c>
      <c r="E391" s="12">
        <f t="shared" ref="E391:S391" si="421">SUM(E378:E390)</f>
        <v>155454514.81</v>
      </c>
      <c r="F391" s="4">
        <f t="shared" si="421"/>
        <v>18485310</v>
      </c>
      <c r="G391" s="12">
        <f t="shared" si="421"/>
        <v>4060651185.96</v>
      </c>
      <c r="H391" s="4">
        <f t="shared" si="421"/>
        <v>1925704</v>
      </c>
      <c r="I391" s="12">
        <f t="shared" si="421"/>
        <v>97139223</v>
      </c>
      <c r="J391" s="4">
        <f t="shared" si="421"/>
        <v>2246975</v>
      </c>
      <c r="K391" s="12">
        <f t="shared" si="421"/>
        <v>107077330</v>
      </c>
      <c r="L391" s="4">
        <f>SUM(L378:L390)</f>
        <v>18523040</v>
      </c>
      <c r="M391" s="12">
        <f>SUM(M378:M390)</f>
        <v>3109657078</v>
      </c>
      <c r="N391" s="4">
        <f t="shared" si="421"/>
        <v>6903862</v>
      </c>
      <c r="O391" s="12">
        <f t="shared" si="421"/>
        <v>771115749</v>
      </c>
      <c r="P391" s="4">
        <f t="shared" si="421"/>
        <v>512341</v>
      </c>
      <c r="Q391" s="12">
        <f t="shared" si="421"/>
        <v>101739307</v>
      </c>
      <c r="R391" s="4">
        <f t="shared" si="421"/>
        <v>6974282</v>
      </c>
      <c r="S391" s="12">
        <f t="shared" si="421"/>
        <v>526884002</v>
      </c>
      <c r="T391" s="4">
        <f>SUM(T378:T390)</f>
        <v>60433700</v>
      </c>
      <c r="U391" s="12">
        <f>SUM(U378:U390)</f>
        <v>8929718389.7699986</v>
      </c>
    </row>
    <row r="392" spans="2:49" x14ac:dyDescent="0.25">
      <c r="F392" s="39">
        <f>+D382+F382</f>
        <v>2102061</v>
      </c>
      <c r="G392" s="9">
        <f>+E382+G382</f>
        <v>371494474.24000001</v>
      </c>
      <c r="H392" s="39"/>
      <c r="J392" s="9"/>
      <c r="L392" s="39"/>
      <c r="N392" s="39"/>
      <c r="P392" s="39"/>
      <c r="T392" s="9"/>
      <c r="V392" s="9"/>
    </row>
    <row r="393" spans="2:49" x14ac:dyDescent="0.25">
      <c r="F393"/>
      <c r="J393" s="9"/>
      <c r="T393" s="29"/>
      <c r="U393" s="29"/>
      <c r="V393" s="9"/>
    </row>
    <row r="394" spans="2:49" x14ac:dyDescent="0.25">
      <c r="B394" s="5" t="s">
        <v>14</v>
      </c>
      <c r="F394"/>
      <c r="N394" s="9"/>
      <c r="P394"/>
      <c r="T394" s="13"/>
      <c r="U394"/>
    </row>
    <row r="395" spans="2:49" x14ac:dyDescent="0.25">
      <c r="B395" s="5" t="s">
        <v>74</v>
      </c>
      <c r="F395"/>
      <c r="N395" s="9"/>
      <c r="P395"/>
      <c r="U395"/>
    </row>
    <row r="396" spans="2:49" x14ac:dyDescent="0.25">
      <c r="F396"/>
      <c r="N396" s="9"/>
      <c r="P396"/>
      <c r="Q396"/>
      <c r="R396"/>
      <c r="S396"/>
      <c r="U396"/>
    </row>
    <row r="397" spans="2:49" x14ac:dyDescent="0.25">
      <c r="D397" s="89" t="s">
        <v>15</v>
      </c>
      <c r="E397" s="90"/>
      <c r="F397" s="89" t="s">
        <v>72</v>
      </c>
      <c r="G397" s="90"/>
      <c r="H397" s="89" t="s">
        <v>16</v>
      </c>
      <c r="I397" s="90"/>
      <c r="J397" s="89" t="s">
        <v>73</v>
      </c>
      <c r="K397" s="90"/>
      <c r="L397" s="89" t="s">
        <v>70</v>
      </c>
      <c r="M397" s="90"/>
      <c r="N397" s="9"/>
      <c r="P397"/>
      <c r="Q397"/>
      <c r="R397"/>
      <c r="S397"/>
      <c r="U397"/>
    </row>
    <row r="398" spans="2:49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49" x14ac:dyDescent="0.25">
      <c r="N399" s="9"/>
      <c r="P399" s="13"/>
      <c r="Q399" s="13"/>
      <c r="R399" s="13"/>
      <c r="S399" s="13"/>
      <c r="U399"/>
    </row>
    <row r="400" spans="2:49" x14ac:dyDescent="0.25">
      <c r="B400" s="2" t="s">
        <v>5</v>
      </c>
      <c r="C400" s="2">
        <v>2024</v>
      </c>
      <c r="D400" s="1">
        <v>248155</v>
      </c>
      <c r="E400" s="11">
        <v>10597660.870000001</v>
      </c>
      <c r="F400" s="1">
        <v>137534</v>
      </c>
      <c r="G400" s="11">
        <v>4472537.5299999993</v>
      </c>
      <c r="H400" s="1">
        <v>8062</v>
      </c>
      <c r="I400" s="11">
        <v>276899.57</v>
      </c>
      <c r="J400" s="45">
        <v>0</v>
      </c>
      <c r="K400" s="11">
        <v>0</v>
      </c>
      <c r="L400" s="1">
        <f>+D400+F400+H400+J400</f>
        <v>393751</v>
      </c>
      <c r="M400" s="11">
        <f>+E400+G400+I400+K400</f>
        <v>15347097.970000001</v>
      </c>
      <c r="N400" s="39">
        <f>+L400-D378</f>
        <v>0</v>
      </c>
      <c r="O400" s="13">
        <f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2024</v>
      </c>
      <c r="D401" s="1">
        <v>263048</v>
      </c>
      <c r="E401" s="11">
        <v>11216965.24</v>
      </c>
      <c r="F401" s="1">
        <v>156960</v>
      </c>
      <c r="G401" s="11">
        <v>5183063.7299999995</v>
      </c>
      <c r="H401" s="1">
        <v>6823</v>
      </c>
      <c r="I401" s="11">
        <v>214292.63999999996</v>
      </c>
      <c r="J401" s="45">
        <v>0</v>
      </c>
      <c r="K401" s="11">
        <v>0</v>
      </c>
      <c r="L401" s="1">
        <f t="shared" ref="L401:M411" si="422">+D401+F401+H401+J401</f>
        <v>426831</v>
      </c>
      <c r="M401" s="11">
        <f t="shared" si="422"/>
        <v>16614321.609999999</v>
      </c>
      <c r="N401" s="39">
        <f>+L401-D379</f>
        <v>0</v>
      </c>
      <c r="O401" s="13">
        <f t="shared" ref="O401" si="423">+M401-E379</f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2024</v>
      </c>
      <c r="D402" s="1">
        <v>252286</v>
      </c>
      <c r="E402" s="11">
        <v>12250633.599999998</v>
      </c>
      <c r="F402" s="1">
        <v>142184</v>
      </c>
      <c r="G402" s="11">
        <v>5097458.1000000006</v>
      </c>
      <c r="H402" s="1">
        <v>8232</v>
      </c>
      <c r="I402" s="11">
        <v>313016.57000000007</v>
      </c>
      <c r="J402" s="45">
        <v>0</v>
      </c>
      <c r="K402" s="11">
        <v>0</v>
      </c>
      <c r="L402" s="1">
        <f t="shared" si="422"/>
        <v>402702</v>
      </c>
      <c r="M402" s="11">
        <f t="shared" si="422"/>
        <v>17661108.27</v>
      </c>
      <c r="N402" s="39">
        <f t="shared" ref="N402:O410" si="424">+L402-D380</f>
        <v>0</v>
      </c>
      <c r="O402" s="13">
        <f t="shared" si="424"/>
        <v>0</v>
      </c>
      <c r="P402"/>
      <c r="Q402"/>
      <c r="R402"/>
      <c r="S402"/>
    </row>
    <row r="403" spans="2:19" x14ac:dyDescent="0.25">
      <c r="B403" s="2" t="s">
        <v>8</v>
      </c>
      <c r="C403" s="2">
        <v>2024</v>
      </c>
      <c r="D403" s="1">
        <v>275474</v>
      </c>
      <c r="E403" s="11">
        <v>12084605.6</v>
      </c>
      <c r="F403" s="1">
        <v>158956</v>
      </c>
      <c r="G403" s="11">
        <v>5298534.3899999997</v>
      </c>
      <c r="H403" s="1">
        <v>9595</v>
      </c>
      <c r="I403" s="11">
        <v>359705.54</v>
      </c>
      <c r="J403" s="45">
        <v>0</v>
      </c>
      <c r="K403" s="11">
        <v>0</v>
      </c>
      <c r="L403" s="1">
        <f t="shared" si="422"/>
        <v>444025</v>
      </c>
      <c r="M403" s="11">
        <f t="shared" si="422"/>
        <v>17742845.529999997</v>
      </c>
      <c r="N403" s="39">
        <f t="shared" si="424"/>
        <v>0</v>
      </c>
      <c r="O403" s="13">
        <f t="shared" si="424"/>
        <v>0</v>
      </c>
      <c r="P403"/>
      <c r="Q403"/>
      <c r="R403"/>
      <c r="S403"/>
    </row>
    <row r="404" spans="2:19" x14ac:dyDescent="0.25">
      <c r="B404" s="2" t="s">
        <v>9</v>
      </c>
      <c r="C404" s="2">
        <v>2024</v>
      </c>
      <c r="D404" s="1">
        <v>290861</v>
      </c>
      <c r="E404" s="11">
        <v>12674530.170000002</v>
      </c>
      <c r="F404" s="1">
        <v>176039</v>
      </c>
      <c r="G404" s="11">
        <v>5716149.7399999993</v>
      </c>
      <c r="H404" s="1">
        <v>10441</v>
      </c>
      <c r="I404" s="11">
        <v>380923.33</v>
      </c>
      <c r="J404" s="45">
        <v>0</v>
      </c>
      <c r="K404" s="11">
        <v>0</v>
      </c>
      <c r="L404" s="1">
        <f t="shared" si="422"/>
        <v>477341</v>
      </c>
      <c r="M404" s="11">
        <f t="shared" si="422"/>
        <v>18771603.239999998</v>
      </c>
      <c r="N404" s="39">
        <f t="shared" si="424"/>
        <v>0</v>
      </c>
      <c r="O404" s="13">
        <f t="shared" si="424"/>
        <v>0</v>
      </c>
      <c r="P404"/>
      <c r="Q404"/>
      <c r="R404"/>
      <c r="S404"/>
    </row>
    <row r="405" spans="2:19" x14ac:dyDescent="0.25">
      <c r="B405" s="2" t="s">
        <v>10</v>
      </c>
      <c r="C405" s="2">
        <v>2024</v>
      </c>
      <c r="D405" s="1">
        <v>257614</v>
      </c>
      <c r="E405" s="11">
        <v>11178159.110000001</v>
      </c>
      <c r="F405" s="1">
        <v>153730</v>
      </c>
      <c r="G405" s="11">
        <v>5085375.2799999993</v>
      </c>
      <c r="H405" s="1">
        <v>6249</v>
      </c>
      <c r="I405" s="11">
        <v>204889.7</v>
      </c>
      <c r="J405" s="45">
        <v>0</v>
      </c>
      <c r="K405" s="11">
        <v>0</v>
      </c>
      <c r="L405" s="1">
        <f t="shared" si="422"/>
        <v>417593</v>
      </c>
      <c r="M405" s="11">
        <f t="shared" si="422"/>
        <v>16468424.09</v>
      </c>
      <c r="N405" s="39">
        <f t="shared" si="424"/>
        <v>0</v>
      </c>
      <c r="O405" s="13">
        <f t="shared" si="424"/>
        <v>0</v>
      </c>
      <c r="P405"/>
      <c r="Q405"/>
      <c r="R405"/>
      <c r="S405"/>
    </row>
    <row r="406" spans="2:19" x14ac:dyDescent="0.25">
      <c r="B406" s="2" t="s">
        <v>11</v>
      </c>
      <c r="C406" s="2">
        <v>2024</v>
      </c>
      <c r="D406" s="1">
        <v>213719</v>
      </c>
      <c r="E406" s="11">
        <v>5235774.3</v>
      </c>
      <c r="F406" s="1">
        <v>130194</v>
      </c>
      <c r="G406" s="11">
        <v>2935386.9400000004</v>
      </c>
      <c r="H406" s="1">
        <v>8630</v>
      </c>
      <c r="I406" s="11">
        <v>204998.96999999997</v>
      </c>
      <c r="J406" s="45">
        <v>0</v>
      </c>
      <c r="K406" s="11">
        <v>0</v>
      </c>
      <c r="L406" s="1">
        <f t="shared" si="422"/>
        <v>352543</v>
      </c>
      <c r="M406" s="11">
        <f t="shared" si="422"/>
        <v>8376160.21</v>
      </c>
      <c r="N406" s="39">
        <f t="shared" si="424"/>
        <v>0</v>
      </c>
      <c r="O406" s="13">
        <f t="shared" si="424"/>
        <v>0</v>
      </c>
      <c r="P406"/>
      <c r="Q406"/>
      <c r="R406"/>
      <c r="S406"/>
    </row>
    <row r="407" spans="2:19" x14ac:dyDescent="0.25">
      <c r="B407" s="2" t="s">
        <v>4</v>
      </c>
      <c r="C407" s="2">
        <v>2024</v>
      </c>
      <c r="D407" s="1">
        <v>223249</v>
      </c>
      <c r="E407" s="11">
        <v>5249461.71</v>
      </c>
      <c r="F407" s="1">
        <v>144015</v>
      </c>
      <c r="G407" s="11">
        <v>3139568.0299999993</v>
      </c>
      <c r="H407" s="1">
        <v>9549</v>
      </c>
      <c r="I407" s="11">
        <v>224322.94999999998</v>
      </c>
      <c r="J407" s="45">
        <v>0</v>
      </c>
      <c r="K407" s="11">
        <v>0</v>
      </c>
      <c r="L407" s="1">
        <f t="shared" si="422"/>
        <v>376813</v>
      </c>
      <c r="M407" s="11">
        <f t="shared" si="422"/>
        <v>8613352.6899999976</v>
      </c>
      <c r="N407" s="39">
        <f t="shared" si="424"/>
        <v>0</v>
      </c>
      <c r="O407" s="13">
        <f t="shared" si="424"/>
        <v>0</v>
      </c>
      <c r="P407"/>
      <c r="Q407"/>
      <c r="R407"/>
      <c r="S407"/>
    </row>
    <row r="408" spans="2:19" x14ac:dyDescent="0.25">
      <c r="B408" s="2" t="s">
        <v>28</v>
      </c>
      <c r="C408" s="2">
        <v>2024</v>
      </c>
      <c r="D408" s="1">
        <v>225547</v>
      </c>
      <c r="E408" s="11">
        <v>5261723.7799999993</v>
      </c>
      <c r="F408" s="1">
        <v>141516</v>
      </c>
      <c r="G408" s="11">
        <v>3029600.48</v>
      </c>
      <c r="H408" s="1">
        <v>9549</v>
      </c>
      <c r="I408" s="11">
        <v>221158.64999999997</v>
      </c>
      <c r="J408" s="45">
        <v>0</v>
      </c>
      <c r="K408" s="11">
        <v>0</v>
      </c>
      <c r="L408" s="1">
        <f t="shared" si="422"/>
        <v>376612</v>
      </c>
      <c r="M408" s="11">
        <f t="shared" si="422"/>
        <v>8512482.9100000001</v>
      </c>
      <c r="N408" s="39">
        <f t="shared" si="424"/>
        <v>0</v>
      </c>
      <c r="O408" s="13">
        <f t="shared" si="424"/>
        <v>0</v>
      </c>
      <c r="P408"/>
      <c r="Q408"/>
      <c r="R408"/>
      <c r="S408"/>
    </row>
    <row r="409" spans="2:19" x14ac:dyDescent="0.25">
      <c r="B409" s="2" t="s">
        <v>29</v>
      </c>
      <c r="C409" s="2">
        <v>2024</v>
      </c>
      <c r="D409" s="1">
        <v>249441</v>
      </c>
      <c r="E409" s="11">
        <v>5751699.6099999994</v>
      </c>
      <c r="F409" s="1">
        <v>161768</v>
      </c>
      <c r="G409" s="11">
        <v>3470058.7999999993</v>
      </c>
      <c r="H409" s="1">
        <v>8763</v>
      </c>
      <c r="I409" s="11">
        <v>202351.32000000007</v>
      </c>
      <c r="J409" s="45">
        <v>0</v>
      </c>
      <c r="K409" s="11">
        <v>0</v>
      </c>
      <c r="L409" s="1">
        <f t="shared" si="422"/>
        <v>419972</v>
      </c>
      <c r="M409" s="11">
        <f t="shared" si="422"/>
        <v>9424109.7299999986</v>
      </c>
      <c r="N409" s="39">
        <f t="shared" si="424"/>
        <v>0</v>
      </c>
      <c r="O409" s="13">
        <f t="shared" si="424"/>
        <v>0</v>
      </c>
      <c r="P409"/>
      <c r="Q409"/>
      <c r="R409"/>
      <c r="S409"/>
    </row>
    <row r="410" spans="2:19" x14ac:dyDescent="0.25">
      <c r="B410" s="2" t="s">
        <v>30</v>
      </c>
      <c r="C410" s="2">
        <v>2024</v>
      </c>
      <c r="D410" s="1">
        <v>233875</v>
      </c>
      <c r="E410" s="11">
        <v>5493433.4299999997</v>
      </c>
      <c r="F410" s="1">
        <v>154669</v>
      </c>
      <c r="G410" s="11">
        <v>3374061.3799999994</v>
      </c>
      <c r="H410" s="1">
        <v>8029</v>
      </c>
      <c r="I410" s="11">
        <v>190183.93000000002</v>
      </c>
      <c r="J410" s="45">
        <v>0</v>
      </c>
      <c r="K410" s="11">
        <v>0</v>
      </c>
      <c r="L410" s="1">
        <f t="shared" si="422"/>
        <v>396573</v>
      </c>
      <c r="M410" s="11">
        <f t="shared" si="422"/>
        <v>9057678.7399999984</v>
      </c>
      <c r="N410" s="39">
        <f t="shared" si="424"/>
        <v>0</v>
      </c>
      <c r="O410" s="13">
        <f t="shared" si="424"/>
        <v>0</v>
      </c>
      <c r="P410"/>
      <c r="Q410"/>
      <c r="R410"/>
      <c r="S410"/>
    </row>
    <row r="411" spans="2:19" x14ac:dyDescent="0.25">
      <c r="B411" s="2" t="s">
        <v>31</v>
      </c>
      <c r="C411" s="2">
        <v>2024</v>
      </c>
      <c r="D411" s="1">
        <v>223079</v>
      </c>
      <c r="E411" s="11">
        <v>5424335.4000000004</v>
      </c>
      <c r="F411" s="1">
        <v>146323</v>
      </c>
      <c r="G411" s="11">
        <v>3246122.2700000005</v>
      </c>
      <c r="H411" s="1">
        <v>8028</v>
      </c>
      <c r="I411" s="11">
        <v>194872.15000000002</v>
      </c>
      <c r="J411" s="45">
        <v>0</v>
      </c>
      <c r="K411" s="11"/>
      <c r="L411" s="1">
        <f t="shared" si="422"/>
        <v>377430</v>
      </c>
      <c r="M411" s="11">
        <f t="shared" si="422"/>
        <v>8865329.8200000022</v>
      </c>
      <c r="N411" s="39">
        <f>+L411-D389</f>
        <v>0</v>
      </c>
      <c r="O411" s="13">
        <f>+M411-E389</f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88" t="s">
        <v>12</v>
      </c>
      <c r="C413" s="88"/>
      <c r="D413" s="4">
        <f>SUM(D400:D412)</f>
        <v>2956348</v>
      </c>
      <c r="E413" s="12">
        <f>SUM(E400:E412)</f>
        <v>102418982.81999999</v>
      </c>
      <c r="F413" s="4">
        <f t="shared" ref="F413:M413" si="425">SUM(F400:F412)</f>
        <v>1803888</v>
      </c>
      <c r="G413" s="12">
        <f t="shared" si="425"/>
        <v>50047916.669999994</v>
      </c>
      <c r="H413" s="4">
        <f t="shared" si="425"/>
        <v>101950</v>
      </c>
      <c r="I413" s="12">
        <f t="shared" si="425"/>
        <v>2987615.3200000003</v>
      </c>
      <c r="J413" s="4">
        <f t="shared" si="425"/>
        <v>0</v>
      </c>
      <c r="K413" s="12">
        <f t="shared" si="425"/>
        <v>0</v>
      </c>
      <c r="L413" s="4">
        <f t="shared" si="425"/>
        <v>4862186</v>
      </c>
      <c r="M413" s="12">
        <f t="shared" si="425"/>
        <v>155454514.80999997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0"/>
      <c r="F418" s="89" t="s">
        <v>72</v>
      </c>
      <c r="G418" s="90"/>
      <c r="H418" s="89" t="s">
        <v>16</v>
      </c>
      <c r="I418" s="90"/>
      <c r="J418" s="89" t="s">
        <v>73</v>
      </c>
      <c r="K418" s="90"/>
      <c r="L418" s="89" t="s">
        <v>70</v>
      </c>
      <c r="M418" s="90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2024</v>
      </c>
      <c r="D421" s="1">
        <v>626142</v>
      </c>
      <c r="E421" s="11">
        <v>115632839</v>
      </c>
      <c r="F421" s="1">
        <v>319670</v>
      </c>
      <c r="G421" s="11">
        <v>68500591</v>
      </c>
      <c r="H421" s="1">
        <v>469126</v>
      </c>
      <c r="I421" s="11">
        <v>137652745</v>
      </c>
      <c r="J421" s="1">
        <v>0</v>
      </c>
      <c r="K421" s="11">
        <v>0</v>
      </c>
      <c r="L421" s="1">
        <f>+D421+F421+H421+J421</f>
        <v>1414938</v>
      </c>
      <c r="M421" s="11">
        <f>+E421+G421+I421+K421</f>
        <v>321786175</v>
      </c>
      <c r="N421" s="39">
        <f>+L421-F378</f>
        <v>0</v>
      </c>
      <c r="O421" s="13">
        <f>+M421-G378</f>
        <v>0</v>
      </c>
    </row>
    <row r="422" spans="2:15" x14ac:dyDescent="0.25">
      <c r="B422" s="2" t="s">
        <v>6</v>
      </c>
      <c r="C422" s="2">
        <v>2024</v>
      </c>
      <c r="D422" s="1">
        <v>585713</v>
      </c>
      <c r="E422" s="11">
        <v>108141860</v>
      </c>
      <c r="F422" s="1">
        <v>313092</v>
      </c>
      <c r="G422" s="11">
        <v>65382760</v>
      </c>
      <c r="H422" s="1">
        <v>410359</v>
      </c>
      <c r="I422" s="11">
        <v>110425862</v>
      </c>
      <c r="J422" s="1">
        <v>0</v>
      </c>
      <c r="K422" s="11">
        <v>0</v>
      </c>
      <c r="L422" s="1">
        <f t="shared" ref="L422:M432" si="426">+D422+F422+H422+J422</f>
        <v>1309164</v>
      </c>
      <c r="M422" s="11">
        <f t="shared" si="426"/>
        <v>283950482</v>
      </c>
      <c r="N422" s="39">
        <f t="shared" ref="N422:O431" si="427">+L422-F379</f>
        <v>0</v>
      </c>
      <c r="O422" s="13">
        <f t="shared" si="427"/>
        <v>0</v>
      </c>
    </row>
    <row r="423" spans="2:15" x14ac:dyDescent="0.25">
      <c r="B423" s="2" t="s">
        <v>7</v>
      </c>
      <c r="C423" s="2">
        <v>2024</v>
      </c>
      <c r="D423" s="1">
        <v>620627</v>
      </c>
      <c r="E423" s="11">
        <v>113783584</v>
      </c>
      <c r="F423" s="1">
        <v>317974</v>
      </c>
      <c r="G423" s="11">
        <v>66932648</v>
      </c>
      <c r="H423" s="1">
        <v>516568</v>
      </c>
      <c r="I423" s="11">
        <v>135437341</v>
      </c>
      <c r="J423" s="1">
        <v>0</v>
      </c>
      <c r="K423" s="11">
        <v>0</v>
      </c>
      <c r="L423" s="1">
        <f t="shared" si="426"/>
        <v>1455169</v>
      </c>
      <c r="M423" s="11">
        <f t="shared" si="426"/>
        <v>316153573</v>
      </c>
      <c r="N423" s="39">
        <f t="shared" si="427"/>
        <v>0</v>
      </c>
      <c r="O423" s="13">
        <f t="shared" si="427"/>
        <v>0</v>
      </c>
    </row>
    <row r="424" spans="2:15" x14ac:dyDescent="0.25">
      <c r="B424" s="2" t="s">
        <v>8</v>
      </c>
      <c r="C424" s="2">
        <v>2024</v>
      </c>
      <c r="D424" s="1">
        <v>655797</v>
      </c>
      <c r="E424" s="11">
        <v>120705581</v>
      </c>
      <c r="F424" s="1">
        <v>337309</v>
      </c>
      <c r="G424" s="11">
        <v>70839956</v>
      </c>
      <c r="H424" s="1">
        <v>508990</v>
      </c>
      <c r="I424" s="11">
        <v>134378154</v>
      </c>
      <c r="J424" s="1">
        <v>0</v>
      </c>
      <c r="K424" s="11">
        <v>0</v>
      </c>
      <c r="L424" s="1">
        <f t="shared" si="426"/>
        <v>1502096</v>
      </c>
      <c r="M424" s="11">
        <f t="shared" si="426"/>
        <v>325923691</v>
      </c>
      <c r="N424" s="39">
        <f t="shared" si="427"/>
        <v>0</v>
      </c>
      <c r="O424" s="13">
        <f t="shared" si="427"/>
        <v>0</v>
      </c>
    </row>
    <row r="425" spans="2:15" x14ac:dyDescent="0.25">
      <c r="B425" s="2" t="s">
        <v>9</v>
      </c>
      <c r="C425" s="2">
        <v>2024</v>
      </c>
      <c r="D425" s="1">
        <v>726845</v>
      </c>
      <c r="E425" s="11">
        <v>135427923</v>
      </c>
      <c r="F425" s="1">
        <v>380603</v>
      </c>
      <c r="G425" s="11">
        <v>81836727</v>
      </c>
      <c r="H425" s="1">
        <v>517272</v>
      </c>
      <c r="I425" s="11">
        <v>135458221</v>
      </c>
      <c r="J425" s="1">
        <v>0</v>
      </c>
      <c r="K425" s="11">
        <v>0</v>
      </c>
      <c r="L425" s="1">
        <f t="shared" si="426"/>
        <v>1624720</v>
      </c>
      <c r="M425" s="11">
        <f t="shared" si="426"/>
        <v>352722871</v>
      </c>
      <c r="N425" s="39">
        <f t="shared" si="427"/>
        <v>0</v>
      </c>
      <c r="O425" s="13">
        <f t="shared" si="427"/>
        <v>0</v>
      </c>
    </row>
    <row r="426" spans="2:15" x14ac:dyDescent="0.25">
      <c r="B426" s="2" t="s">
        <v>10</v>
      </c>
      <c r="C426" s="2">
        <v>2024</v>
      </c>
      <c r="D426" s="1">
        <v>634685</v>
      </c>
      <c r="E426" s="11">
        <v>118386826</v>
      </c>
      <c r="F426" s="1">
        <v>350205</v>
      </c>
      <c r="G426" s="11">
        <v>73565936</v>
      </c>
      <c r="H426" s="1">
        <v>108941</v>
      </c>
      <c r="I426" s="11">
        <v>127089555.95999999</v>
      </c>
      <c r="J426" s="1">
        <v>0</v>
      </c>
      <c r="K426" s="11">
        <v>0</v>
      </c>
      <c r="L426" s="1">
        <f t="shared" si="426"/>
        <v>1093831</v>
      </c>
      <c r="M426" s="11">
        <f t="shared" si="426"/>
        <v>319042317.95999998</v>
      </c>
      <c r="N426" s="39">
        <f t="shared" si="427"/>
        <v>0</v>
      </c>
      <c r="O426" s="13">
        <f t="shared" si="427"/>
        <v>0</v>
      </c>
    </row>
    <row r="427" spans="2:15" x14ac:dyDescent="0.25">
      <c r="B427" s="2" t="s">
        <v>11</v>
      </c>
      <c r="C427" s="2">
        <v>2024</v>
      </c>
      <c r="D427" s="1">
        <v>722472</v>
      </c>
      <c r="E427" s="11">
        <v>133751957</v>
      </c>
      <c r="F427" s="1">
        <v>369682</v>
      </c>
      <c r="G427" s="11">
        <v>77534898</v>
      </c>
      <c r="H427" s="1">
        <v>542497</v>
      </c>
      <c r="I427" s="11">
        <v>137971535</v>
      </c>
      <c r="J427" s="1">
        <v>0</v>
      </c>
      <c r="K427" s="11">
        <v>0</v>
      </c>
      <c r="L427" s="1">
        <f t="shared" si="426"/>
        <v>1634651</v>
      </c>
      <c r="M427" s="11">
        <f t="shared" si="426"/>
        <v>349258390</v>
      </c>
      <c r="N427" s="39">
        <f t="shared" si="427"/>
        <v>0</v>
      </c>
      <c r="O427" s="13">
        <f t="shared" si="427"/>
        <v>0</v>
      </c>
    </row>
    <row r="428" spans="2:15" x14ac:dyDescent="0.25">
      <c r="B428" s="2" t="s">
        <v>4</v>
      </c>
      <c r="C428" s="2">
        <v>2024</v>
      </c>
      <c r="D428" s="1">
        <v>677271</v>
      </c>
      <c r="E428" s="11">
        <v>125196878</v>
      </c>
      <c r="F428" s="1">
        <v>356400</v>
      </c>
      <c r="G428" s="11">
        <v>72416397</v>
      </c>
      <c r="H428" s="1">
        <v>638905</v>
      </c>
      <c r="I428" s="11">
        <v>163515434</v>
      </c>
      <c r="J428" s="1">
        <v>0</v>
      </c>
      <c r="K428" s="11">
        <v>0</v>
      </c>
      <c r="L428" s="1">
        <f t="shared" si="426"/>
        <v>1672576</v>
      </c>
      <c r="M428" s="11">
        <f t="shared" si="426"/>
        <v>361128709</v>
      </c>
      <c r="N428" s="39">
        <f t="shared" si="427"/>
        <v>0</v>
      </c>
      <c r="O428" s="13">
        <f t="shared" si="427"/>
        <v>0</v>
      </c>
    </row>
    <row r="429" spans="2:15" x14ac:dyDescent="0.25">
      <c r="B429" s="2" t="s">
        <v>28</v>
      </c>
      <c r="C429" s="2">
        <v>2024</v>
      </c>
      <c r="D429" s="1">
        <v>691762</v>
      </c>
      <c r="E429" s="11">
        <v>124775416</v>
      </c>
      <c r="F429" s="1">
        <v>370091</v>
      </c>
      <c r="G429" s="11">
        <v>74554834</v>
      </c>
      <c r="H429" s="1">
        <v>515405</v>
      </c>
      <c r="I429" s="11">
        <v>129641595</v>
      </c>
      <c r="J429" s="1">
        <v>0</v>
      </c>
      <c r="K429" s="11">
        <v>0</v>
      </c>
      <c r="L429" s="1">
        <f t="shared" si="426"/>
        <v>1577258</v>
      </c>
      <c r="M429" s="11">
        <f t="shared" si="426"/>
        <v>328971845</v>
      </c>
      <c r="N429" s="39">
        <f t="shared" si="427"/>
        <v>0</v>
      </c>
      <c r="O429" s="13">
        <f t="shared" si="427"/>
        <v>0</v>
      </c>
    </row>
    <row r="430" spans="2:15" x14ac:dyDescent="0.25">
      <c r="B430" s="2" t="s">
        <v>29</v>
      </c>
      <c r="C430" s="2">
        <v>2024</v>
      </c>
      <c r="D430" s="1">
        <v>737634</v>
      </c>
      <c r="E430" s="11">
        <v>136636995</v>
      </c>
      <c r="F430" s="1">
        <v>408680</v>
      </c>
      <c r="G430" s="11">
        <v>86381116</v>
      </c>
      <c r="H430" s="1">
        <v>542765</v>
      </c>
      <c r="I430" s="11">
        <v>141070034</v>
      </c>
      <c r="J430" s="1">
        <v>0</v>
      </c>
      <c r="K430" s="11">
        <v>0</v>
      </c>
      <c r="L430" s="1">
        <f t="shared" si="426"/>
        <v>1689079</v>
      </c>
      <c r="M430" s="11">
        <f t="shared" si="426"/>
        <v>364088145</v>
      </c>
      <c r="N430" s="39">
        <f t="shared" si="427"/>
        <v>0</v>
      </c>
      <c r="O430" s="13">
        <f t="shared" si="427"/>
        <v>0</v>
      </c>
    </row>
    <row r="431" spans="2:15" x14ac:dyDescent="0.25">
      <c r="B431" s="2" t="s">
        <v>30</v>
      </c>
      <c r="C431" s="2">
        <v>2024</v>
      </c>
      <c r="D431" s="1">
        <v>769220</v>
      </c>
      <c r="E431" s="11">
        <v>142586601</v>
      </c>
      <c r="F431" s="1">
        <v>408070</v>
      </c>
      <c r="G431" s="11">
        <v>85290540</v>
      </c>
      <c r="H431" s="1">
        <v>552378</v>
      </c>
      <c r="I431" s="11">
        <v>138472953</v>
      </c>
      <c r="J431" s="1">
        <v>0</v>
      </c>
      <c r="K431" s="11">
        <v>0</v>
      </c>
      <c r="L431" s="1">
        <f t="shared" si="426"/>
        <v>1729668</v>
      </c>
      <c r="M431" s="11">
        <f t="shared" si="426"/>
        <v>366350094</v>
      </c>
      <c r="N431" s="39">
        <f t="shared" si="427"/>
        <v>0</v>
      </c>
      <c r="O431" s="13">
        <f t="shared" si="427"/>
        <v>0</v>
      </c>
    </row>
    <row r="432" spans="2:15" x14ac:dyDescent="0.25">
      <c r="B432" s="2" t="s">
        <v>31</v>
      </c>
      <c r="C432" s="2">
        <v>2024</v>
      </c>
      <c r="D432" s="1">
        <v>795129</v>
      </c>
      <c r="E432" s="11">
        <v>140837864</v>
      </c>
      <c r="F432" s="1">
        <v>400452</v>
      </c>
      <c r="G432" s="11">
        <v>82316531</v>
      </c>
      <c r="H432" s="1">
        <v>586579</v>
      </c>
      <c r="I432" s="11">
        <v>148120498</v>
      </c>
      <c r="J432" s="1">
        <v>0</v>
      </c>
      <c r="K432" s="11">
        <v>0</v>
      </c>
      <c r="L432" s="1">
        <f t="shared" si="426"/>
        <v>1782160</v>
      </c>
      <c r="M432" s="11">
        <f t="shared" si="426"/>
        <v>371274893</v>
      </c>
      <c r="N432" s="39">
        <f>+L432-F389</f>
        <v>0</v>
      </c>
      <c r="O432" s="13">
        <f>+M432-G389</f>
        <v>0</v>
      </c>
    </row>
    <row r="434" spans="2:15" x14ac:dyDescent="0.25">
      <c r="B434" s="88" t="s">
        <v>12</v>
      </c>
      <c r="C434" s="88"/>
      <c r="D434" s="4">
        <f>SUM(D421:D433)</f>
        <v>8243297</v>
      </c>
      <c r="E434" s="12">
        <f>SUM(E421:E433)</f>
        <v>1515864324</v>
      </c>
      <c r="F434" s="4">
        <f t="shared" ref="F434:M434" si="428">SUM(F421:F433)</f>
        <v>4332228</v>
      </c>
      <c r="G434" s="12">
        <f t="shared" si="428"/>
        <v>905552934</v>
      </c>
      <c r="H434" s="4">
        <f t="shared" si="428"/>
        <v>5909785</v>
      </c>
      <c r="I434" s="12">
        <f t="shared" si="428"/>
        <v>1639233927.96</v>
      </c>
      <c r="J434" s="4">
        <f t="shared" si="428"/>
        <v>0</v>
      </c>
      <c r="K434" s="12">
        <f t="shared" si="428"/>
        <v>0</v>
      </c>
      <c r="L434" s="4">
        <f t="shared" si="428"/>
        <v>18485310</v>
      </c>
      <c r="M434" s="12">
        <f t="shared" si="428"/>
        <v>4060651185.96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0"/>
      <c r="F439" s="89" t="s">
        <v>72</v>
      </c>
      <c r="G439" s="90"/>
      <c r="H439" s="89" t="s">
        <v>16</v>
      </c>
      <c r="I439" s="90"/>
      <c r="J439" s="89" t="s">
        <v>73</v>
      </c>
      <c r="K439" s="90"/>
      <c r="L439" s="89" t="s">
        <v>70</v>
      </c>
      <c r="M439" s="90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2024</v>
      </c>
      <c r="D442" s="1">
        <v>65877</v>
      </c>
      <c r="E442" s="11">
        <v>3167888</v>
      </c>
      <c r="F442" s="1">
        <v>14782</v>
      </c>
      <c r="G442" s="11">
        <v>1089664</v>
      </c>
      <c r="H442" s="1">
        <v>67526</v>
      </c>
      <c r="I442" s="11">
        <v>3647236</v>
      </c>
      <c r="J442" s="1">
        <v>0</v>
      </c>
      <c r="K442" s="11">
        <v>0</v>
      </c>
      <c r="L442" s="1">
        <f>+D442+F442+H442+J442</f>
        <v>148185</v>
      </c>
      <c r="M442" s="11">
        <f>+E442+G442+I442+K442</f>
        <v>7904788</v>
      </c>
      <c r="N442" s="39">
        <f>+L442-H378</f>
        <v>0</v>
      </c>
      <c r="O442" s="13">
        <f>+M442-I378</f>
        <v>0</v>
      </c>
    </row>
    <row r="443" spans="2:15" x14ac:dyDescent="0.25">
      <c r="B443" s="2" t="s">
        <v>6</v>
      </c>
      <c r="C443" s="2">
        <v>2024</v>
      </c>
      <c r="D443" s="1">
        <v>58903</v>
      </c>
      <c r="E443" s="11">
        <v>2895227</v>
      </c>
      <c r="F443" s="1">
        <v>14316</v>
      </c>
      <c r="G443" s="11">
        <v>1083525</v>
      </c>
      <c r="H443" s="1">
        <v>58587</v>
      </c>
      <c r="I443" s="11">
        <v>3144066</v>
      </c>
      <c r="J443" s="1">
        <v>0</v>
      </c>
      <c r="K443" s="11">
        <v>0</v>
      </c>
      <c r="L443" s="1">
        <f t="shared" ref="L443:M453" si="429">+D443+F443+H443+J443</f>
        <v>131806</v>
      </c>
      <c r="M443" s="11">
        <f t="shared" si="429"/>
        <v>7122818</v>
      </c>
      <c r="N443" s="39">
        <f t="shared" ref="N443:O453" si="430">+L443-H379</f>
        <v>0</v>
      </c>
      <c r="O443" s="13">
        <f t="shared" si="430"/>
        <v>0</v>
      </c>
    </row>
    <row r="444" spans="2:15" x14ac:dyDescent="0.25">
      <c r="B444" s="2" t="s">
        <v>7</v>
      </c>
      <c r="C444" s="2">
        <v>2024</v>
      </c>
      <c r="D444" s="1">
        <v>65706</v>
      </c>
      <c r="E444" s="11">
        <v>3068619</v>
      </c>
      <c r="F444" s="1">
        <v>14248</v>
      </c>
      <c r="G444" s="11">
        <v>1062277</v>
      </c>
      <c r="H444" s="1">
        <v>67437</v>
      </c>
      <c r="I444" s="11">
        <v>3637470</v>
      </c>
      <c r="J444" s="1">
        <v>0</v>
      </c>
      <c r="K444" s="11">
        <v>0</v>
      </c>
      <c r="L444" s="1">
        <f t="shared" si="429"/>
        <v>147391</v>
      </c>
      <c r="M444" s="11">
        <f t="shared" si="429"/>
        <v>7768366</v>
      </c>
      <c r="N444" s="39">
        <f t="shared" si="430"/>
        <v>0</v>
      </c>
      <c r="O444" s="13">
        <f t="shared" si="430"/>
        <v>0</v>
      </c>
    </row>
    <row r="445" spans="2:15" x14ac:dyDescent="0.25">
      <c r="B445" s="2" t="s">
        <v>8</v>
      </c>
      <c r="C445" s="2">
        <v>2024</v>
      </c>
      <c r="D445" s="1">
        <v>74954</v>
      </c>
      <c r="E445" s="11">
        <v>3514056</v>
      </c>
      <c r="F445" s="1">
        <v>17641</v>
      </c>
      <c r="G445" s="11">
        <v>1318535</v>
      </c>
      <c r="H445" s="1">
        <v>69714</v>
      </c>
      <c r="I445" s="11">
        <v>3650830</v>
      </c>
      <c r="J445" s="1">
        <v>0</v>
      </c>
      <c r="K445" s="11">
        <v>0</v>
      </c>
      <c r="L445" s="1">
        <f t="shared" si="429"/>
        <v>162309</v>
      </c>
      <c r="M445" s="11">
        <f t="shared" si="429"/>
        <v>8483421</v>
      </c>
      <c r="N445" s="39">
        <f t="shared" si="430"/>
        <v>0</v>
      </c>
      <c r="O445" s="13">
        <f t="shared" si="430"/>
        <v>0</v>
      </c>
    </row>
    <row r="446" spans="2:15" x14ac:dyDescent="0.25">
      <c r="B446" s="2" t="s">
        <v>9</v>
      </c>
      <c r="C446" s="2">
        <v>2024</v>
      </c>
      <c r="D446" s="1">
        <v>67774</v>
      </c>
      <c r="E446" s="11">
        <v>3170002</v>
      </c>
      <c r="F446" s="1">
        <v>16567</v>
      </c>
      <c r="G446" s="11">
        <v>1183980</v>
      </c>
      <c r="H446" s="1">
        <v>69528</v>
      </c>
      <c r="I446" s="11">
        <v>3548320</v>
      </c>
      <c r="J446" s="1">
        <v>0</v>
      </c>
      <c r="K446" s="11">
        <v>0</v>
      </c>
      <c r="L446" s="1">
        <f t="shared" si="429"/>
        <v>153869</v>
      </c>
      <c r="M446" s="11">
        <f t="shared" si="429"/>
        <v>7902302</v>
      </c>
      <c r="N446" s="39">
        <f t="shared" si="430"/>
        <v>0</v>
      </c>
      <c r="O446" s="13">
        <f t="shared" si="430"/>
        <v>0</v>
      </c>
    </row>
    <row r="447" spans="2:15" x14ac:dyDescent="0.25">
      <c r="B447" s="2" t="s">
        <v>10</v>
      </c>
      <c r="C447" s="2">
        <v>2024</v>
      </c>
      <c r="D447" s="1">
        <v>60930</v>
      </c>
      <c r="E447" s="11">
        <v>2903150</v>
      </c>
      <c r="F447" s="1">
        <v>16044</v>
      </c>
      <c r="G447" s="11">
        <v>1161421</v>
      </c>
      <c r="H447" s="1">
        <v>65125</v>
      </c>
      <c r="I447" s="11">
        <v>3343266</v>
      </c>
      <c r="J447" s="1">
        <v>0</v>
      </c>
      <c r="K447" s="11">
        <v>0</v>
      </c>
      <c r="L447" s="1">
        <f t="shared" si="429"/>
        <v>142099</v>
      </c>
      <c r="M447" s="11">
        <f t="shared" si="429"/>
        <v>7407837</v>
      </c>
      <c r="N447" s="39">
        <f t="shared" si="430"/>
        <v>0</v>
      </c>
      <c r="O447" s="13">
        <f t="shared" si="430"/>
        <v>0</v>
      </c>
    </row>
    <row r="448" spans="2:15" x14ac:dyDescent="0.25">
      <c r="B448" s="2" t="s">
        <v>11</v>
      </c>
      <c r="C448" s="2">
        <v>2024</v>
      </c>
      <c r="D448" s="1">
        <v>77369</v>
      </c>
      <c r="E448" s="11">
        <v>3507959</v>
      </c>
      <c r="F448" s="1">
        <v>15233</v>
      </c>
      <c r="G448" s="11">
        <v>1066791</v>
      </c>
      <c r="H448" s="1">
        <v>70204</v>
      </c>
      <c r="I448" s="11">
        <v>3599870</v>
      </c>
      <c r="J448" s="1">
        <v>0</v>
      </c>
      <c r="K448" s="11">
        <v>0</v>
      </c>
      <c r="L448" s="1">
        <f t="shared" si="429"/>
        <v>162806</v>
      </c>
      <c r="M448" s="11">
        <f t="shared" si="429"/>
        <v>8174620</v>
      </c>
      <c r="N448" s="39">
        <f t="shared" si="430"/>
        <v>0</v>
      </c>
      <c r="O448" s="13">
        <f t="shared" si="430"/>
        <v>0</v>
      </c>
    </row>
    <row r="449" spans="2:15" x14ac:dyDescent="0.25">
      <c r="B449" s="2" t="s">
        <v>4</v>
      </c>
      <c r="C449" s="2">
        <v>2024</v>
      </c>
      <c r="D449" s="1">
        <v>91292</v>
      </c>
      <c r="E449" s="11">
        <v>3906126</v>
      </c>
      <c r="F449" s="1">
        <v>16075</v>
      </c>
      <c r="G449" s="11">
        <v>1096614</v>
      </c>
      <c r="H449" s="1">
        <v>72078</v>
      </c>
      <c r="I449" s="11">
        <v>3762279</v>
      </c>
      <c r="J449" s="1">
        <v>0</v>
      </c>
      <c r="K449" s="11">
        <v>0</v>
      </c>
      <c r="L449" s="1">
        <f t="shared" si="429"/>
        <v>179445</v>
      </c>
      <c r="M449" s="11">
        <f t="shared" si="429"/>
        <v>8765019</v>
      </c>
      <c r="N449" s="39">
        <f t="shared" si="430"/>
        <v>0</v>
      </c>
      <c r="O449" s="13">
        <f t="shared" si="430"/>
        <v>0</v>
      </c>
    </row>
    <row r="450" spans="2:15" x14ac:dyDescent="0.25">
      <c r="B450" s="2" t="s">
        <v>28</v>
      </c>
      <c r="C450" s="2">
        <v>2024</v>
      </c>
      <c r="D450" s="1">
        <v>83256</v>
      </c>
      <c r="E450" s="11">
        <v>3493033</v>
      </c>
      <c r="F450" s="1">
        <v>13513</v>
      </c>
      <c r="G450" s="11">
        <v>906776</v>
      </c>
      <c r="H450" s="1">
        <v>63834</v>
      </c>
      <c r="I450" s="11">
        <v>3319075</v>
      </c>
      <c r="J450" s="1">
        <v>0</v>
      </c>
      <c r="K450" s="11">
        <v>0</v>
      </c>
      <c r="L450" s="1">
        <f t="shared" si="429"/>
        <v>160603</v>
      </c>
      <c r="M450" s="11">
        <f t="shared" si="429"/>
        <v>7718884</v>
      </c>
      <c r="N450" s="39">
        <f t="shared" si="430"/>
        <v>0</v>
      </c>
      <c r="O450" s="13">
        <f t="shared" si="430"/>
        <v>0</v>
      </c>
    </row>
    <row r="451" spans="2:15" x14ac:dyDescent="0.25">
      <c r="B451" s="2" t="s">
        <v>29</v>
      </c>
      <c r="C451" s="2">
        <v>2024</v>
      </c>
      <c r="D451" s="1">
        <v>89544</v>
      </c>
      <c r="E451" s="11">
        <v>3795634</v>
      </c>
      <c r="F451" s="1">
        <v>15698</v>
      </c>
      <c r="G451" s="11">
        <v>1027761</v>
      </c>
      <c r="H451" s="1">
        <v>68884</v>
      </c>
      <c r="I451" s="11">
        <v>3517421</v>
      </c>
      <c r="J451" s="1">
        <v>0</v>
      </c>
      <c r="K451" s="11">
        <v>0</v>
      </c>
      <c r="L451" s="1">
        <f t="shared" si="429"/>
        <v>174126</v>
      </c>
      <c r="M451" s="11">
        <f t="shared" si="429"/>
        <v>8340816</v>
      </c>
      <c r="N451" s="39">
        <f t="shared" si="430"/>
        <v>0</v>
      </c>
      <c r="O451" s="13">
        <f t="shared" si="430"/>
        <v>0</v>
      </c>
    </row>
    <row r="452" spans="2:15" x14ac:dyDescent="0.25">
      <c r="B452" s="2" t="s">
        <v>30</v>
      </c>
      <c r="C452" s="2">
        <v>2024</v>
      </c>
      <c r="D452" s="1">
        <v>90442</v>
      </c>
      <c r="E452" s="11">
        <v>3832639</v>
      </c>
      <c r="F452" s="1">
        <v>16726</v>
      </c>
      <c r="G452" s="11">
        <v>1147414</v>
      </c>
      <c r="H452" s="1">
        <v>65826</v>
      </c>
      <c r="I452" s="11">
        <v>3407973</v>
      </c>
      <c r="J452" s="1">
        <v>0</v>
      </c>
      <c r="K452" s="11">
        <v>0</v>
      </c>
      <c r="L452" s="1">
        <f t="shared" si="429"/>
        <v>172994</v>
      </c>
      <c r="M452" s="11">
        <f t="shared" si="429"/>
        <v>8388026</v>
      </c>
      <c r="N452" s="39">
        <f t="shared" si="430"/>
        <v>0</v>
      </c>
      <c r="O452" s="13">
        <f t="shared" si="430"/>
        <v>0</v>
      </c>
    </row>
    <row r="453" spans="2:15" x14ac:dyDescent="0.25">
      <c r="B453" s="2" t="s">
        <v>31</v>
      </c>
      <c r="C453" s="2">
        <v>2024</v>
      </c>
      <c r="D453" s="1">
        <v>100826</v>
      </c>
      <c r="E453" s="11">
        <v>4165085</v>
      </c>
      <c r="F453" s="1">
        <v>17353</v>
      </c>
      <c r="G453" s="11">
        <v>1222883</v>
      </c>
      <c r="H453" s="1">
        <v>71892</v>
      </c>
      <c r="I453" s="11">
        <v>3774358</v>
      </c>
      <c r="J453" s="1">
        <v>0</v>
      </c>
      <c r="K453" s="11">
        <v>0</v>
      </c>
      <c r="L453" s="1">
        <f t="shared" si="429"/>
        <v>190071</v>
      </c>
      <c r="M453" s="11">
        <f t="shared" si="429"/>
        <v>9162326</v>
      </c>
      <c r="N453" s="39">
        <f t="shared" si="430"/>
        <v>0</v>
      </c>
      <c r="O453" s="13">
        <f t="shared" si="430"/>
        <v>0</v>
      </c>
    </row>
    <row r="455" spans="2:15" x14ac:dyDescent="0.25">
      <c r="B455" s="88" t="s">
        <v>12</v>
      </c>
      <c r="C455" s="88"/>
      <c r="D455" s="4">
        <f>SUM(D442:D454)</f>
        <v>926873</v>
      </c>
      <c r="E455" s="12">
        <f>SUM(E442:E454)</f>
        <v>41419418</v>
      </c>
      <c r="F455" s="4">
        <f t="shared" ref="F455:M455" si="431">SUM(F442:F454)</f>
        <v>188196</v>
      </c>
      <c r="G455" s="12">
        <f t="shared" si="431"/>
        <v>13367641</v>
      </c>
      <c r="H455" s="4">
        <f t="shared" si="431"/>
        <v>810635</v>
      </c>
      <c r="I455" s="12">
        <f t="shared" si="431"/>
        <v>42352164</v>
      </c>
      <c r="J455" s="4">
        <f t="shared" si="431"/>
        <v>0</v>
      </c>
      <c r="K455" s="12">
        <f t="shared" si="431"/>
        <v>0</v>
      </c>
      <c r="L455" s="4">
        <f t="shared" si="431"/>
        <v>1925704</v>
      </c>
      <c r="M455" s="12">
        <f t="shared" si="431"/>
        <v>97139223</v>
      </c>
    </row>
    <row r="457" spans="2:15" x14ac:dyDescent="0.25">
      <c r="B457" s="5" t="s">
        <v>14</v>
      </c>
    </row>
    <row r="458" spans="2:15" x14ac:dyDescent="0.25">
      <c r="B458" s="5" t="s">
        <v>77</v>
      </c>
    </row>
    <row r="460" spans="2:15" x14ac:dyDescent="0.25">
      <c r="D460" s="89" t="s">
        <v>15</v>
      </c>
      <c r="E460" s="90"/>
      <c r="F460" s="89" t="s">
        <v>72</v>
      </c>
      <c r="G460" s="90"/>
      <c r="H460" s="89" t="s">
        <v>16</v>
      </c>
      <c r="I460" s="90"/>
      <c r="J460" s="89" t="s">
        <v>73</v>
      </c>
      <c r="K460" s="90"/>
      <c r="L460" s="89" t="s">
        <v>70</v>
      </c>
      <c r="M460" s="90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2024</v>
      </c>
      <c r="D463" s="1">
        <v>633683</v>
      </c>
      <c r="E463" s="11">
        <v>89109835</v>
      </c>
      <c r="F463" s="1">
        <v>281955</v>
      </c>
      <c r="G463" s="11">
        <v>52439894</v>
      </c>
      <c r="H463" s="1">
        <v>523711</v>
      </c>
      <c r="I463" s="11">
        <v>101243066</v>
      </c>
      <c r="J463" s="45">
        <v>0</v>
      </c>
      <c r="K463" s="11">
        <v>0</v>
      </c>
      <c r="L463" s="1">
        <f>+D463+F463+H463+J463</f>
        <v>1439349</v>
      </c>
      <c r="M463" s="11">
        <f>+E463+G463+I463+K463</f>
        <v>242792795</v>
      </c>
      <c r="N463" s="39">
        <f t="shared" ref="N463:O474" si="432">+L463-L378</f>
        <v>0</v>
      </c>
      <c r="O463" s="13">
        <f t="shared" si="432"/>
        <v>0</v>
      </c>
    </row>
    <row r="464" spans="2:15" x14ac:dyDescent="0.25">
      <c r="B464" s="2" t="s">
        <v>6</v>
      </c>
      <c r="C464" s="2">
        <v>2024</v>
      </c>
      <c r="D464" s="1">
        <v>599475</v>
      </c>
      <c r="E464" s="11">
        <v>86389583</v>
      </c>
      <c r="F464" s="1">
        <v>275379</v>
      </c>
      <c r="G464" s="11">
        <v>52070472</v>
      </c>
      <c r="H464" s="1">
        <v>481676</v>
      </c>
      <c r="I464" s="11">
        <v>92492994</v>
      </c>
      <c r="J464" s="45">
        <v>0</v>
      </c>
      <c r="K464" s="11">
        <v>0</v>
      </c>
      <c r="L464" s="1">
        <f t="shared" ref="L464:M474" si="433">+D464+F464+H464+J464</f>
        <v>1356530</v>
      </c>
      <c r="M464" s="11">
        <f t="shared" si="433"/>
        <v>230953049</v>
      </c>
      <c r="N464" s="39">
        <f>+L464-L379</f>
        <v>0</v>
      </c>
      <c r="O464" s="13">
        <f t="shared" si="432"/>
        <v>0</v>
      </c>
    </row>
    <row r="465" spans="2:15" x14ac:dyDescent="0.25">
      <c r="B465" s="2" t="s">
        <v>7</v>
      </c>
      <c r="C465" s="2">
        <v>2024</v>
      </c>
      <c r="D465" s="1">
        <v>707578</v>
      </c>
      <c r="E465" s="11">
        <v>96649477</v>
      </c>
      <c r="F465" s="1">
        <v>303555</v>
      </c>
      <c r="G465" s="11">
        <v>55182571</v>
      </c>
      <c r="H465" s="1">
        <v>540178</v>
      </c>
      <c r="I465" s="11">
        <v>105300866</v>
      </c>
      <c r="J465" s="45">
        <v>0</v>
      </c>
      <c r="K465" s="11">
        <v>0</v>
      </c>
      <c r="L465" s="1">
        <f t="shared" si="433"/>
        <v>1551311</v>
      </c>
      <c r="M465" s="11">
        <f t="shared" si="433"/>
        <v>257132914</v>
      </c>
      <c r="N465" s="39">
        <f t="shared" si="432"/>
        <v>0</v>
      </c>
      <c r="O465" s="13">
        <f t="shared" si="432"/>
        <v>0</v>
      </c>
    </row>
    <row r="466" spans="2:15" x14ac:dyDescent="0.25">
      <c r="B466" s="2" t="s">
        <v>8</v>
      </c>
      <c r="C466" s="2">
        <v>2024</v>
      </c>
      <c r="D466" s="1">
        <v>686065</v>
      </c>
      <c r="E466" s="11">
        <v>96064603</v>
      </c>
      <c r="F466" s="1">
        <v>300508</v>
      </c>
      <c r="G466" s="11">
        <v>56521962</v>
      </c>
      <c r="H466" s="1">
        <v>526561</v>
      </c>
      <c r="I466" s="11">
        <v>102729691</v>
      </c>
      <c r="J466" s="45">
        <v>0</v>
      </c>
      <c r="K466" s="11">
        <v>0</v>
      </c>
      <c r="L466" s="1">
        <f t="shared" si="433"/>
        <v>1513134</v>
      </c>
      <c r="M466" s="11">
        <f t="shared" si="433"/>
        <v>255316256</v>
      </c>
      <c r="N466" s="39">
        <f t="shared" si="432"/>
        <v>0</v>
      </c>
      <c r="O466" s="13">
        <f t="shared" si="432"/>
        <v>0</v>
      </c>
    </row>
    <row r="467" spans="2:15" x14ac:dyDescent="0.25">
      <c r="B467" s="2" t="s">
        <v>9</v>
      </c>
      <c r="C467" s="2">
        <v>2024</v>
      </c>
      <c r="D467" s="1">
        <v>685697</v>
      </c>
      <c r="E467" s="11">
        <v>97327270</v>
      </c>
      <c r="F467" s="1">
        <v>310555</v>
      </c>
      <c r="G467" s="11">
        <v>59847653</v>
      </c>
      <c r="H467" s="1">
        <v>561074</v>
      </c>
      <c r="I467" s="11">
        <v>101446409</v>
      </c>
      <c r="J467" s="45">
        <v>0</v>
      </c>
      <c r="K467" s="11">
        <v>0</v>
      </c>
      <c r="L467" s="1">
        <f t="shared" si="433"/>
        <v>1557326</v>
      </c>
      <c r="M467" s="11">
        <f t="shared" si="433"/>
        <v>258621332</v>
      </c>
      <c r="N467" s="39">
        <f t="shared" si="432"/>
        <v>0</v>
      </c>
      <c r="O467" s="13">
        <f t="shared" si="432"/>
        <v>0</v>
      </c>
    </row>
    <row r="468" spans="2:15" x14ac:dyDescent="0.25">
      <c r="B468" s="2" t="s">
        <v>10</v>
      </c>
      <c r="C468" s="2">
        <v>2024</v>
      </c>
      <c r="D468" s="1">
        <v>656955</v>
      </c>
      <c r="E468" s="11">
        <v>93139717</v>
      </c>
      <c r="F468" s="1">
        <v>300476</v>
      </c>
      <c r="G468" s="11">
        <v>57764593</v>
      </c>
      <c r="H468" s="1">
        <v>558795</v>
      </c>
      <c r="I468" s="11">
        <v>108206823</v>
      </c>
      <c r="J468" s="45">
        <v>0</v>
      </c>
      <c r="K468" s="11">
        <v>0</v>
      </c>
      <c r="L468" s="1">
        <f t="shared" si="433"/>
        <v>1516226</v>
      </c>
      <c r="M468" s="11">
        <f t="shared" si="433"/>
        <v>259111133</v>
      </c>
      <c r="N468" s="39">
        <f t="shared" si="432"/>
        <v>0</v>
      </c>
      <c r="O468" s="13">
        <f t="shared" si="432"/>
        <v>0</v>
      </c>
    </row>
    <row r="469" spans="2:15" x14ac:dyDescent="0.25">
      <c r="B469" s="2" t="s">
        <v>11</v>
      </c>
      <c r="C469" s="2">
        <v>2024</v>
      </c>
      <c r="D469" s="1">
        <v>723192</v>
      </c>
      <c r="E469" s="11">
        <v>101176018</v>
      </c>
      <c r="F469" s="1">
        <v>308082</v>
      </c>
      <c r="G469" s="11">
        <v>59084987</v>
      </c>
      <c r="H469" s="1">
        <v>564815</v>
      </c>
      <c r="I469" s="11">
        <v>108624441</v>
      </c>
      <c r="J469" s="45">
        <v>0</v>
      </c>
      <c r="K469" s="11">
        <v>0</v>
      </c>
      <c r="L469" s="1">
        <f t="shared" si="433"/>
        <v>1596089</v>
      </c>
      <c r="M469" s="11">
        <f t="shared" si="433"/>
        <v>268885446</v>
      </c>
      <c r="N469" s="39">
        <f t="shared" si="432"/>
        <v>0</v>
      </c>
      <c r="O469" s="13">
        <f t="shared" si="432"/>
        <v>0</v>
      </c>
    </row>
    <row r="470" spans="2:15" x14ac:dyDescent="0.25">
      <c r="B470" s="2" t="s">
        <v>4</v>
      </c>
      <c r="C470" s="2">
        <v>2024</v>
      </c>
      <c r="D470" s="1">
        <v>702808</v>
      </c>
      <c r="E470" s="11">
        <v>101917120</v>
      </c>
      <c r="F470" s="1">
        <v>300835</v>
      </c>
      <c r="G470" s="11">
        <v>57441744</v>
      </c>
      <c r="H470" s="1">
        <v>568355</v>
      </c>
      <c r="I470" s="11">
        <v>109977574</v>
      </c>
      <c r="J470" s="45">
        <v>0</v>
      </c>
      <c r="K470" s="11">
        <v>0</v>
      </c>
      <c r="L470" s="1">
        <f t="shared" si="433"/>
        <v>1571998</v>
      </c>
      <c r="M470" s="11">
        <f t="shared" si="433"/>
        <v>269336438</v>
      </c>
      <c r="N470" s="39">
        <f t="shared" si="432"/>
        <v>0</v>
      </c>
      <c r="O470" s="13">
        <f t="shared" si="432"/>
        <v>0</v>
      </c>
    </row>
    <row r="471" spans="2:15" x14ac:dyDescent="0.25">
      <c r="B471" s="2" t="s">
        <v>28</v>
      </c>
      <c r="C471" s="2">
        <v>2024</v>
      </c>
      <c r="D471" s="1">
        <v>667348</v>
      </c>
      <c r="E471" s="11">
        <v>96211213</v>
      </c>
      <c r="F471" s="1">
        <v>296043</v>
      </c>
      <c r="G471" s="11">
        <v>56508411</v>
      </c>
      <c r="H471" s="1">
        <v>551929</v>
      </c>
      <c r="I471" s="11">
        <v>107467472</v>
      </c>
      <c r="J471" s="45">
        <v>0</v>
      </c>
      <c r="K471" s="11">
        <v>0</v>
      </c>
      <c r="L471" s="1">
        <f t="shared" si="433"/>
        <v>1515320</v>
      </c>
      <c r="M471" s="11">
        <f t="shared" si="433"/>
        <v>260187096</v>
      </c>
      <c r="N471" s="39">
        <f t="shared" si="432"/>
        <v>0</v>
      </c>
      <c r="O471" s="13">
        <f t="shared" si="432"/>
        <v>0</v>
      </c>
    </row>
    <row r="472" spans="2:15" x14ac:dyDescent="0.25">
      <c r="B472" s="2" t="s">
        <v>29</v>
      </c>
      <c r="C472" s="2">
        <v>2024</v>
      </c>
      <c r="D472" s="1">
        <v>680730</v>
      </c>
      <c r="E472" s="11">
        <v>97939150</v>
      </c>
      <c r="F472" s="1">
        <v>309321</v>
      </c>
      <c r="G472" s="11">
        <v>59399250</v>
      </c>
      <c r="H472" s="1">
        <v>572617</v>
      </c>
      <c r="I472" s="11">
        <v>107930002</v>
      </c>
      <c r="J472" s="45">
        <v>0</v>
      </c>
      <c r="K472" s="11">
        <v>0</v>
      </c>
      <c r="L472" s="1">
        <f t="shared" si="433"/>
        <v>1562668</v>
      </c>
      <c r="M472" s="11">
        <f t="shared" si="433"/>
        <v>265268402</v>
      </c>
      <c r="N472" s="39">
        <f t="shared" si="432"/>
        <v>0</v>
      </c>
      <c r="O472" s="13">
        <f t="shared" si="432"/>
        <v>0</v>
      </c>
    </row>
    <row r="473" spans="2:15" x14ac:dyDescent="0.25">
      <c r="B473" s="2" t="s">
        <v>30</v>
      </c>
      <c r="C473" s="2">
        <v>2024</v>
      </c>
      <c r="D473" s="1">
        <v>711380</v>
      </c>
      <c r="E473" s="11">
        <v>99112298</v>
      </c>
      <c r="F473" s="1">
        <v>309441</v>
      </c>
      <c r="G473" s="11">
        <v>57177505</v>
      </c>
      <c r="H473" s="1">
        <v>569533</v>
      </c>
      <c r="I473" s="11">
        <v>105340447</v>
      </c>
      <c r="J473" s="45">
        <v>0</v>
      </c>
      <c r="K473" s="11">
        <v>0</v>
      </c>
      <c r="L473" s="1">
        <f t="shared" si="433"/>
        <v>1590354</v>
      </c>
      <c r="M473" s="11">
        <f t="shared" si="433"/>
        <v>261630250</v>
      </c>
      <c r="N473" s="39">
        <f t="shared" si="432"/>
        <v>0</v>
      </c>
      <c r="O473" s="13">
        <f t="shared" si="432"/>
        <v>0</v>
      </c>
    </row>
    <row r="474" spans="2:15" x14ac:dyDescent="0.25">
      <c r="B474" s="2" t="s">
        <v>31</v>
      </c>
      <c r="C474" s="2">
        <v>2024</v>
      </c>
      <c r="D474" s="1">
        <v>808832</v>
      </c>
      <c r="E474" s="11">
        <v>107178416</v>
      </c>
      <c r="F474" s="1">
        <v>316841</v>
      </c>
      <c r="G474" s="11">
        <v>56050650</v>
      </c>
      <c r="H474" s="1">
        <v>627062</v>
      </c>
      <c r="I474" s="11">
        <v>117192901</v>
      </c>
      <c r="J474" s="45">
        <v>0</v>
      </c>
      <c r="K474" s="11">
        <v>0</v>
      </c>
      <c r="L474" s="1">
        <f t="shared" si="433"/>
        <v>1752735</v>
      </c>
      <c r="M474" s="11">
        <f t="shared" si="433"/>
        <v>280421967</v>
      </c>
      <c r="N474" s="39">
        <f t="shared" si="432"/>
        <v>0</v>
      </c>
      <c r="O474" s="13">
        <f t="shared" si="432"/>
        <v>0</v>
      </c>
    </row>
    <row r="476" spans="2:15" x14ac:dyDescent="0.25">
      <c r="B476" s="88" t="s">
        <v>12</v>
      </c>
      <c r="C476" s="88"/>
      <c r="D476" s="4">
        <f>SUM(D463:D475)</f>
        <v>8263743</v>
      </c>
      <c r="E476" s="12">
        <f>SUM(E463:E475)</f>
        <v>1162214700</v>
      </c>
      <c r="F476" s="4">
        <f t="shared" ref="F476:M476" si="434">SUM(F463:F475)</f>
        <v>3612991</v>
      </c>
      <c r="G476" s="12">
        <f t="shared" si="434"/>
        <v>679489692</v>
      </c>
      <c r="H476" s="4">
        <f t="shared" si="434"/>
        <v>6646306</v>
      </c>
      <c r="I476" s="12">
        <f t="shared" si="434"/>
        <v>1267952686</v>
      </c>
      <c r="J476" s="4">
        <f t="shared" si="434"/>
        <v>0</v>
      </c>
      <c r="K476" s="12">
        <f t="shared" si="434"/>
        <v>0</v>
      </c>
      <c r="L476" s="4">
        <f t="shared" si="434"/>
        <v>18523040</v>
      </c>
      <c r="M476" s="12">
        <f t="shared" si="434"/>
        <v>3109657078</v>
      </c>
    </row>
    <row r="478" spans="2:15" x14ac:dyDescent="0.25">
      <c r="B478" s="5" t="s">
        <v>14</v>
      </c>
    </row>
    <row r="479" spans="2:15" x14ac:dyDescent="0.25">
      <c r="B479" s="5" t="s">
        <v>78</v>
      </c>
    </row>
    <row r="481" spans="2:15" x14ac:dyDescent="0.25">
      <c r="D481" s="89" t="s">
        <v>15</v>
      </c>
      <c r="E481" s="90"/>
      <c r="F481" s="89" t="s">
        <v>72</v>
      </c>
      <c r="G481" s="90"/>
      <c r="H481" s="89" t="s">
        <v>16</v>
      </c>
      <c r="I481" s="90"/>
      <c r="J481" s="89" t="s">
        <v>73</v>
      </c>
      <c r="K481" s="90"/>
      <c r="L481" s="89" t="s">
        <v>70</v>
      </c>
      <c r="M481" s="90"/>
      <c r="N481" s="9"/>
    </row>
    <row r="482" spans="2:15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</row>
    <row r="483" spans="2:15" x14ac:dyDescent="0.25">
      <c r="N483" s="9"/>
    </row>
    <row r="484" spans="2:15" x14ac:dyDescent="0.25">
      <c r="B484" s="2" t="s">
        <v>5</v>
      </c>
      <c r="C484" s="2">
        <v>2024</v>
      </c>
      <c r="D484" s="1">
        <v>228161</v>
      </c>
      <c r="E484" s="11">
        <v>20206803</v>
      </c>
      <c r="F484" s="1">
        <v>150131</v>
      </c>
      <c r="G484" s="11">
        <v>14215384</v>
      </c>
      <c r="H484" s="1">
        <v>127375</v>
      </c>
      <c r="I484" s="11">
        <v>21962283</v>
      </c>
      <c r="J484" s="45">
        <v>0</v>
      </c>
      <c r="K484" s="11">
        <v>0</v>
      </c>
      <c r="L484" s="1">
        <f>+D484+F484+H484+J484</f>
        <v>505667</v>
      </c>
      <c r="M484" s="11">
        <f>+E484+G484+I484+K484</f>
        <v>56384470</v>
      </c>
      <c r="N484" s="39">
        <f t="shared" ref="N484:O495" si="435">+L484-N378</f>
        <v>0</v>
      </c>
      <c r="O484" s="13">
        <f t="shared" si="435"/>
        <v>0</v>
      </c>
    </row>
    <row r="485" spans="2:15" x14ac:dyDescent="0.25">
      <c r="B485" s="2" t="s">
        <v>6</v>
      </c>
      <c r="C485" s="2">
        <v>2024</v>
      </c>
      <c r="D485" s="1">
        <v>229471</v>
      </c>
      <c r="E485" s="11">
        <v>20570834</v>
      </c>
      <c r="F485" s="1">
        <v>160499</v>
      </c>
      <c r="G485" s="11">
        <v>15275638</v>
      </c>
      <c r="H485" s="1">
        <v>110968</v>
      </c>
      <c r="I485" s="11">
        <v>19289147</v>
      </c>
      <c r="J485" s="45">
        <v>0</v>
      </c>
      <c r="K485" s="11">
        <v>0</v>
      </c>
      <c r="L485" s="1">
        <f t="shared" ref="L485:M495" si="436">+D485+F485+H485+J485</f>
        <v>500938</v>
      </c>
      <c r="M485" s="11">
        <f t="shared" si="436"/>
        <v>55135619</v>
      </c>
      <c r="N485" s="39">
        <f t="shared" si="435"/>
        <v>0</v>
      </c>
      <c r="O485" s="13">
        <f t="shared" si="435"/>
        <v>0</v>
      </c>
    </row>
    <row r="486" spans="2:15" x14ac:dyDescent="0.25">
      <c r="B486" s="2" t="s">
        <v>7</v>
      </c>
      <c r="C486" s="2">
        <v>2024</v>
      </c>
      <c r="D486" s="1">
        <v>258058</v>
      </c>
      <c r="E486" s="11">
        <v>22916688</v>
      </c>
      <c r="F486" s="1">
        <v>173973</v>
      </c>
      <c r="G486" s="11">
        <v>16265845</v>
      </c>
      <c r="H486" s="1">
        <v>139037</v>
      </c>
      <c r="I486" s="11">
        <v>23987427</v>
      </c>
      <c r="J486" s="45">
        <v>0</v>
      </c>
      <c r="K486" s="11">
        <v>0</v>
      </c>
      <c r="L486" s="1">
        <f t="shared" si="436"/>
        <v>571068</v>
      </c>
      <c r="M486" s="11">
        <f t="shared" si="436"/>
        <v>63169960</v>
      </c>
      <c r="N486" s="39">
        <f t="shared" si="435"/>
        <v>0</v>
      </c>
      <c r="O486" s="13">
        <f t="shared" si="435"/>
        <v>0</v>
      </c>
    </row>
    <row r="487" spans="2:15" x14ac:dyDescent="0.25">
      <c r="B487" s="2" t="s">
        <v>8</v>
      </c>
      <c r="C487" s="2">
        <v>2024</v>
      </c>
      <c r="D487" s="1">
        <v>250438</v>
      </c>
      <c r="E487" s="11">
        <v>22314559</v>
      </c>
      <c r="F487" s="1">
        <v>175936</v>
      </c>
      <c r="G487" s="11">
        <v>16601260</v>
      </c>
      <c r="H487" s="1">
        <v>135878</v>
      </c>
      <c r="I487" s="11">
        <v>23102551</v>
      </c>
      <c r="J487" s="45">
        <v>0</v>
      </c>
      <c r="K487" s="11">
        <v>0</v>
      </c>
      <c r="L487" s="1">
        <f t="shared" si="436"/>
        <v>562252</v>
      </c>
      <c r="M487" s="11">
        <f>+E487+G487+I487+K487</f>
        <v>62018370</v>
      </c>
      <c r="N487" s="39">
        <f t="shared" si="435"/>
        <v>0</v>
      </c>
      <c r="O487" s="13">
        <f t="shared" si="435"/>
        <v>0</v>
      </c>
    </row>
    <row r="488" spans="2:15" x14ac:dyDescent="0.25">
      <c r="B488" s="2" t="s">
        <v>9</v>
      </c>
      <c r="C488" s="2">
        <v>2024</v>
      </c>
      <c r="D488" s="1">
        <v>249232</v>
      </c>
      <c r="E488" s="11">
        <v>22596345</v>
      </c>
      <c r="F488" s="1">
        <v>180825</v>
      </c>
      <c r="G488" s="11">
        <v>17579207</v>
      </c>
      <c r="H488" s="1">
        <v>137501</v>
      </c>
      <c r="I488" s="11">
        <v>23268879</v>
      </c>
      <c r="J488" s="45">
        <v>0</v>
      </c>
      <c r="K488" s="11">
        <v>0</v>
      </c>
      <c r="L488" s="1">
        <f t="shared" si="436"/>
        <v>567558</v>
      </c>
      <c r="M488" s="11">
        <f t="shared" si="436"/>
        <v>63444431</v>
      </c>
      <c r="N488" s="39">
        <f t="shared" si="435"/>
        <v>0</v>
      </c>
      <c r="O488" s="13">
        <f t="shared" si="435"/>
        <v>0</v>
      </c>
    </row>
    <row r="489" spans="2:15" x14ac:dyDescent="0.25">
      <c r="B489" s="2" t="s">
        <v>10</v>
      </c>
      <c r="C489" s="2">
        <v>2024</v>
      </c>
      <c r="D489" s="1">
        <v>245867</v>
      </c>
      <c r="E489" s="11">
        <v>22642838</v>
      </c>
      <c r="F489" s="1">
        <v>178287</v>
      </c>
      <c r="G489" s="11">
        <v>17264842</v>
      </c>
      <c r="H489" s="1">
        <v>132605</v>
      </c>
      <c r="I489" s="11">
        <v>22302819</v>
      </c>
      <c r="J489" s="45">
        <v>0</v>
      </c>
      <c r="K489" s="11">
        <v>0</v>
      </c>
      <c r="L489" s="1">
        <f t="shared" si="436"/>
        <v>556759</v>
      </c>
      <c r="M489" s="11">
        <f t="shared" si="436"/>
        <v>62210499</v>
      </c>
      <c r="N489" s="39">
        <f t="shared" si="435"/>
        <v>0</v>
      </c>
      <c r="O489" s="13">
        <f t="shared" si="435"/>
        <v>0</v>
      </c>
    </row>
    <row r="490" spans="2:15" x14ac:dyDescent="0.25">
      <c r="B490" s="2" t="s">
        <v>11</v>
      </c>
      <c r="C490" s="2">
        <v>2024</v>
      </c>
      <c r="D490" s="1">
        <v>260615</v>
      </c>
      <c r="E490" s="11">
        <v>23974316</v>
      </c>
      <c r="F490" s="1">
        <v>180606</v>
      </c>
      <c r="G490" s="11">
        <v>18372913</v>
      </c>
      <c r="H490" s="1">
        <v>147515</v>
      </c>
      <c r="I490" s="11">
        <v>24493845</v>
      </c>
      <c r="J490" s="45">
        <v>0</v>
      </c>
      <c r="K490" s="11">
        <v>0</v>
      </c>
      <c r="L490" s="1">
        <f t="shared" si="436"/>
        <v>588736</v>
      </c>
      <c r="M490" s="11">
        <f t="shared" si="436"/>
        <v>66841074</v>
      </c>
      <c r="N490" s="39">
        <f t="shared" si="435"/>
        <v>0</v>
      </c>
      <c r="O490" s="13">
        <f t="shared" si="435"/>
        <v>0</v>
      </c>
    </row>
    <row r="491" spans="2:15" x14ac:dyDescent="0.25">
      <c r="B491" s="2" t="s">
        <v>4</v>
      </c>
      <c r="C491" s="2">
        <v>2024</v>
      </c>
      <c r="D491" s="1">
        <v>267313</v>
      </c>
      <c r="E491" s="11">
        <v>24536956</v>
      </c>
      <c r="F491" s="1">
        <v>190137</v>
      </c>
      <c r="G491" s="11">
        <v>18721801</v>
      </c>
      <c r="H491" s="39">
        <v>151325</v>
      </c>
      <c r="I491" s="11">
        <v>25008511</v>
      </c>
      <c r="J491" s="45">
        <v>0</v>
      </c>
      <c r="K491" s="11">
        <v>0</v>
      </c>
      <c r="L491" s="1">
        <f t="shared" si="436"/>
        <v>608775</v>
      </c>
      <c r="M491" s="11">
        <f t="shared" si="436"/>
        <v>68267268</v>
      </c>
      <c r="N491" s="39">
        <f t="shared" si="435"/>
        <v>0</v>
      </c>
      <c r="O491" s="13">
        <f t="shared" si="435"/>
        <v>0</v>
      </c>
    </row>
    <row r="492" spans="2:15" x14ac:dyDescent="0.25">
      <c r="B492" s="2" t="s">
        <v>28</v>
      </c>
      <c r="C492" s="2">
        <v>2024</v>
      </c>
      <c r="D492" s="1">
        <v>254686</v>
      </c>
      <c r="E492" s="11">
        <v>23395260</v>
      </c>
      <c r="F492" s="1">
        <v>179877</v>
      </c>
      <c r="G492" s="11">
        <v>17928643</v>
      </c>
      <c r="H492" s="1">
        <v>140005</v>
      </c>
      <c r="I492" s="11">
        <v>23092902</v>
      </c>
      <c r="J492" s="45">
        <v>0</v>
      </c>
      <c r="K492" s="11">
        <v>0</v>
      </c>
      <c r="L492" s="1">
        <f t="shared" si="436"/>
        <v>574568</v>
      </c>
      <c r="M492" s="11">
        <f t="shared" si="436"/>
        <v>64416805</v>
      </c>
      <c r="N492" s="39">
        <f t="shared" si="435"/>
        <v>0</v>
      </c>
      <c r="O492" s="13">
        <f t="shared" si="435"/>
        <v>0</v>
      </c>
    </row>
    <row r="493" spans="2:15" x14ac:dyDescent="0.25">
      <c r="B493" s="2" t="s">
        <v>29</v>
      </c>
      <c r="C493" s="2">
        <v>2024</v>
      </c>
      <c r="D493" s="1">
        <v>272207</v>
      </c>
      <c r="E493" s="11">
        <v>25039198</v>
      </c>
      <c r="F493" s="1">
        <v>196197</v>
      </c>
      <c r="G493" s="11">
        <v>19463288</v>
      </c>
      <c r="H493" s="1">
        <v>147568</v>
      </c>
      <c r="I493" s="11">
        <v>24532961</v>
      </c>
      <c r="J493" s="45">
        <v>0</v>
      </c>
      <c r="K493" s="11">
        <v>0</v>
      </c>
      <c r="L493" s="1">
        <f t="shared" si="436"/>
        <v>615972</v>
      </c>
      <c r="M493" s="11">
        <f t="shared" si="436"/>
        <v>69035447</v>
      </c>
      <c r="N493" s="39">
        <f t="shared" si="435"/>
        <v>0</v>
      </c>
      <c r="O493" s="13">
        <f t="shared" si="435"/>
        <v>0</v>
      </c>
    </row>
    <row r="494" spans="2:15" x14ac:dyDescent="0.25">
      <c r="B494" s="2" t="s">
        <v>30</v>
      </c>
      <c r="C494" s="2">
        <v>2024</v>
      </c>
      <c r="D494" s="1">
        <v>280272</v>
      </c>
      <c r="E494" s="11">
        <v>25597581</v>
      </c>
      <c r="F494" s="1">
        <v>197242</v>
      </c>
      <c r="G494" s="11">
        <v>19224574</v>
      </c>
      <c r="H494" s="1">
        <v>144363</v>
      </c>
      <c r="I494" s="11">
        <v>24140390</v>
      </c>
      <c r="J494" s="45">
        <v>0</v>
      </c>
      <c r="K494" s="11">
        <v>0</v>
      </c>
      <c r="L494" s="1">
        <f t="shared" si="436"/>
        <v>621877</v>
      </c>
      <c r="M494" s="11">
        <f t="shared" si="436"/>
        <v>68962545</v>
      </c>
      <c r="N494" s="39">
        <f t="shared" si="435"/>
        <v>0</v>
      </c>
      <c r="O494" s="13">
        <f t="shared" si="435"/>
        <v>0</v>
      </c>
    </row>
    <row r="495" spans="2:15" x14ac:dyDescent="0.25">
      <c r="B495" s="2" t="s">
        <v>31</v>
      </c>
      <c r="C495" s="2">
        <v>2024</v>
      </c>
      <c r="D495" s="1">
        <v>289144</v>
      </c>
      <c r="E495" s="11">
        <v>26339589</v>
      </c>
      <c r="F495" s="1">
        <v>187827</v>
      </c>
      <c r="G495" s="11">
        <v>18921718</v>
      </c>
      <c r="H495" s="1">
        <v>152721</v>
      </c>
      <c r="I495" s="11">
        <v>25967954</v>
      </c>
      <c r="J495" s="45">
        <v>0</v>
      </c>
      <c r="K495" s="11">
        <v>0</v>
      </c>
      <c r="L495" s="1">
        <f t="shared" si="436"/>
        <v>629692</v>
      </c>
      <c r="M495" s="11">
        <f t="shared" si="436"/>
        <v>71229261</v>
      </c>
      <c r="N495" s="39">
        <f t="shared" si="435"/>
        <v>0</v>
      </c>
      <c r="O495" s="13">
        <f t="shared" si="435"/>
        <v>0</v>
      </c>
    </row>
    <row r="497" spans="2:15" x14ac:dyDescent="0.25">
      <c r="B497" s="88" t="s">
        <v>12</v>
      </c>
      <c r="C497" s="88"/>
      <c r="D497" s="4">
        <f>SUM(D484:D496)</f>
        <v>3085464</v>
      </c>
      <c r="E497" s="12">
        <f>SUM(E484:E496)</f>
        <v>280130967</v>
      </c>
      <c r="F497" s="4">
        <f t="shared" ref="F497:M497" si="437">SUM(F484:F496)</f>
        <v>2151537</v>
      </c>
      <c r="G497" s="12">
        <f t="shared" si="437"/>
        <v>209835113</v>
      </c>
      <c r="H497" s="4">
        <f t="shared" si="437"/>
        <v>1666861</v>
      </c>
      <c r="I497" s="12">
        <f t="shared" si="437"/>
        <v>281149669</v>
      </c>
      <c r="J497" s="4">
        <f t="shared" si="437"/>
        <v>0</v>
      </c>
      <c r="K497" s="12">
        <f t="shared" si="437"/>
        <v>0</v>
      </c>
      <c r="L497" s="4">
        <f t="shared" si="437"/>
        <v>6903862</v>
      </c>
      <c r="M497" s="12">
        <f t="shared" si="437"/>
        <v>771115749</v>
      </c>
    </row>
    <row r="499" spans="2:15" x14ac:dyDescent="0.25">
      <c r="B499" s="5" t="s">
        <v>14</v>
      </c>
    </row>
    <row r="500" spans="2:15" x14ac:dyDescent="0.25">
      <c r="B500" s="5" t="s">
        <v>79</v>
      </c>
    </row>
    <row r="502" spans="2:15" x14ac:dyDescent="0.25">
      <c r="D502" s="89" t="s">
        <v>15</v>
      </c>
      <c r="E502" s="90"/>
      <c r="F502" s="89" t="s">
        <v>72</v>
      </c>
      <c r="G502" s="90"/>
      <c r="H502" s="89" t="s">
        <v>16</v>
      </c>
      <c r="I502" s="90"/>
      <c r="J502" s="89" t="s">
        <v>73</v>
      </c>
      <c r="K502" s="90"/>
      <c r="L502" s="89" t="s">
        <v>70</v>
      </c>
      <c r="M502" s="90"/>
      <c r="N502" s="9"/>
    </row>
    <row r="503" spans="2:15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15" x14ac:dyDescent="0.25">
      <c r="N504" s="9"/>
    </row>
    <row r="505" spans="2:15" x14ac:dyDescent="0.25">
      <c r="B505" s="2" t="s">
        <v>5</v>
      </c>
      <c r="C505" s="2">
        <v>2024</v>
      </c>
      <c r="D505" s="1">
        <v>12162</v>
      </c>
      <c r="E505" s="11">
        <v>1917938</v>
      </c>
      <c r="F505" s="1">
        <v>7305</v>
      </c>
      <c r="G505" s="11">
        <v>1479741</v>
      </c>
      <c r="H505" s="1">
        <v>15573</v>
      </c>
      <c r="I505" s="11">
        <v>3714321</v>
      </c>
      <c r="J505" s="1">
        <v>0</v>
      </c>
      <c r="K505" s="11">
        <v>0</v>
      </c>
      <c r="L505" s="1">
        <f>+D505+F505+H505+J505</f>
        <v>35040</v>
      </c>
      <c r="M505" s="11">
        <f>+E505+G505+I505+K505</f>
        <v>7112000</v>
      </c>
      <c r="N505" s="39">
        <f t="shared" ref="N505:O516" si="438">+L505-P378</f>
        <v>0</v>
      </c>
      <c r="O505" s="13">
        <f t="shared" si="438"/>
        <v>0</v>
      </c>
    </row>
    <row r="506" spans="2:15" x14ac:dyDescent="0.25">
      <c r="B506" s="2" t="s">
        <v>6</v>
      </c>
      <c r="C506" s="2">
        <v>2024</v>
      </c>
      <c r="D506" s="1">
        <v>11559</v>
      </c>
      <c r="E506" s="11">
        <v>1958057</v>
      </c>
      <c r="F506" s="1">
        <v>6948</v>
      </c>
      <c r="G506" s="11">
        <v>1420765</v>
      </c>
      <c r="H506" s="1">
        <v>16702</v>
      </c>
      <c r="I506" s="11">
        <v>3797712</v>
      </c>
      <c r="J506" s="1">
        <v>0</v>
      </c>
      <c r="K506" s="11">
        <v>0</v>
      </c>
      <c r="L506" s="1">
        <f t="shared" ref="L506:M516" si="439">+D506+F506+H506+J506</f>
        <v>35209</v>
      </c>
      <c r="M506" s="11">
        <f t="shared" si="439"/>
        <v>7176534</v>
      </c>
      <c r="N506" s="39">
        <f t="shared" si="438"/>
        <v>0</v>
      </c>
      <c r="O506" s="13">
        <f t="shared" si="438"/>
        <v>0</v>
      </c>
    </row>
    <row r="507" spans="2:15" x14ac:dyDescent="0.25">
      <c r="B507" s="2" t="s">
        <v>7</v>
      </c>
      <c r="C507" s="2">
        <v>2024</v>
      </c>
      <c r="D507" s="1">
        <v>12918</v>
      </c>
      <c r="E507" s="11">
        <v>2144484</v>
      </c>
      <c r="F507" s="1">
        <v>7394</v>
      </c>
      <c r="G507" s="11">
        <v>1510364</v>
      </c>
      <c r="H507" s="1">
        <v>18469</v>
      </c>
      <c r="I507" s="11">
        <v>4302551</v>
      </c>
      <c r="J507" s="1">
        <v>0</v>
      </c>
      <c r="K507" s="11">
        <v>0</v>
      </c>
      <c r="L507" s="1">
        <f t="shared" si="439"/>
        <v>38781</v>
      </c>
      <c r="M507" s="11">
        <f t="shared" si="439"/>
        <v>7957399</v>
      </c>
      <c r="N507" s="39">
        <f t="shared" si="438"/>
        <v>0</v>
      </c>
      <c r="O507" s="13">
        <f t="shared" si="438"/>
        <v>0</v>
      </c>
    </row>
    <row r="508" spans="2:15" x14ac:dyDescent="0.25">
      <c r="B508" s="2" t="s">
        <v>8</v>
      </c>
      <c r="C508" s="2">
        <v>2024</v>
      </c>
      <c r="D508" s="1">
        <v>13615</v>
      </c>
      <c r="E508" s="11">
        <v>2262190</v>
      </c>
      <c r="F508" s="1">
        <v>8307</v>
      </c>
      <c r="G508" s="11">
        <v>1534274</v>
      </c>
      <c r="H508" s="1">
        <v>33411</v>
      </c>
      <c r="I508" s="11">
        <v>4159727</v>
      </c>
      <c r="J508" s="1">
        <v>0</v>
      </c>
      <c r="K508" s="11">
        <v>0</v>
      </c>
      <c r="L508" s="1">
        <f t="shared" si="439"/>
        <v>55333</v>
      </c>
      <c r="M508" s="11">
        <f t="shared" si="439"/>
        <v>7956191</v>
      </c>
      <c r="N508" s="39">
        <f t="shared" si="438"/>
        <v>0</v>
      </c>
      <c r="O508" s="13">
        <f t="shared" si="438"/>
        <v>0</v>
      </c>
    </row>
    <row r="509" spans="2:15" x14ac:dyDescent="0.25">
      <c r="B509" s="2" t="s">
        <v>9</v>
      </c>
      <c r="C509" s="2">
        <v>2024</v>
      </c>
      <c r="D509" s="1">
        <v>13375</v>
      </c>
      <c r="E509" s="11">
        <v>2367003</v>
      </c>
      <c r="F509" s="1">
        <v>9424</v>
      </c>
      <c r="G509" s="11">
        <v>1718572</v>
      </c>
      <c r="H509" s="1">
        <v>18547</v>
      </c>
      <c r="I509" s="11">
        <v>4259951</v>
      </c>
      <c r="J509" s="1">
        <v>0</v>
      </c>
      <c r="K509" s="11">
        <v>0</v>
      </c>
      <c r="L509" s="1">
        <f t="shared" si="439"/>
        <v>41346</v>
      </c>
      <c r="M509" s="11">
        <f t="shared" si="439"/>
        <v>8345526</v>
      </c>
      <c r="N509" s="39">
        <f t="shared" si="438"/>
        <v>0</v>
      </c>
      <c r="O509" s="13">
        <f t="shared" si="438"/>
        <v>0</v>
      </c>
    </row>
    <row r="510" spans="2:15" x14ac:dyDescent="0.25">
      <c r="B510" s="2" t="s">
        <v>10</v>
      </c>
      <c r="C510" s="2">
        <v>2024</v>
      </c>
      <c r="D510" s="1">
        <v>13649</v>
      </c>
      <c r="E510" s="11">
        <v>2505594</v>
      </c>
      <c r="F510" s="1">
        <v>9630</v>
      </c>
      <c r="G510" s="11">
        <v>1856861</v>
      </c>
      <c r="H510" s="1">
        <v>17852</v>
      </c>
      <c r="I510" s="11">
        <v>4113884</v>
      </c>
      <c r="J510" s="1">
        <v>0</v>
      </c>
      <c r="K510" s="11">
        <v>0</v>
      </c>
      <c r="L510" s="1">
        <f t="shared" si="439"/>
        <v>41131</v>
      </c>
      <c r="M510" s="11">
        <f t="shared" si="439"/>
        <v>8476339</v>
      </c>
      <c r="N510" s="39">
        <f t="shared" si="438"/>
        <v>0</v>
      </c>
      <c r="O510" s="13">
        <f t="shared" si="438"/>
        <v>0</v>
      </c>
    </row>
    <row r="511" spans="2:15" x14ac:dyDescent="0.25">
      <c r="B511" s="2" t="s">
        <v>11</v>
      </c>
      <c r="C511" s="2">
        <v>2024</v>
      </c>
      <c r="D511" s="1">
        <v>15238</v>
      </c>
      <c r="E511" s="11">
        <v>2725382</v>
      </c>
      <c r="F511" s="1">
        <v>9783</v>
      </c>
      <c r="G511" s="11">
        <v>1826865</v>
      </c>
      <c r="H511" s="1">
        <v>18429</v>
      </c>
      <c r="I511" s="11">
        <v>4271732</v>
      </c>
      <c r="J511" s="1">
        <v>0</v>
      </c>
      <c r="K511" s="11">
        <v>0</v>
      </c>
      <c r="L511" s="1">
        <f t="shared" si="439"/>
        <v>43450</v>
      </c>
      <c r="M511" s="11">
        <f t="shared" si="439"/>
        <v>8823979</v>
      </c>
      <c r="N511" s="39">
        <f t="shared" si="438"/>
        <v>0</v>
      </c>
      <c r="O511" s="13">
        <f t="shared" si="438"/>
        <v>0</v>
      </c>
    </row>
    <row r="512" spans="2:15" x14ac:dyDescent="0.25">
      <c r="B512" s="2" t="s">
        <v>4</v>
      </c>
      <c r="C512" s="2">
        <v>2024</v>
      </c>
      <c r="D512" s="1">
        <v>15280</v>
      </c>
      <c r="E512" s="11">
        <v>2838656</v>
      </c>
      <c r="F512" s="1">
        <v>9924</v>
      </c>
      <c r="G512" s="11">
        <v>1922213</v>
      </c>
      <c r="H512" s="1">
        <v>20041</v>
      </c>
      <c r="I512" s="11">
        <v>4564501</v>
      </c>
      <c r="J512" s="1">
        <v>0</v>
      </c>
      <c r="K512" s="11">
        <v>0</v>
      </c>
      <c r="L512" s="1">
        <f t="shared" si="439"/>
        <v>45245</v>
      </c>
      <c r="M512" s="11">
        <f t="shared" si="439"/>
        <v>9325370</v>
      </c>
      <c r="N512" s="39">
        <f t="shared" si="438"/>
        <v>0</v>
      </c>
      <c r="O512" s="13">
        <f t="shared" si="438"/>
        <v>0</v>
      </c>
    </row>
    <row r="513" spans="2:15" x14ac:dyDescent="0.25">
      <c r="B513" s="2" t="s">
        <v>28</v>
      </c>
      <c r="C513" s="2">
        <v>2024</v>
      </c>
      <c r="D513" s="1">
        <v>13802</v>
      </c>
      <c r="E513" s="11">
        <v>2537419</v>
      </c>
      <c r="F513" s="1">
        <v>9429</v>
      </c>
      <c r="G513" s="11">
        <v>1718413</v>
      </c>
      <c r="H513" s="1">
        <v>18369</v>
      </c>
      <c r="I513" s="11">
        <v>4358499</v>
      </c>
      <c r="J513" s="1">
        <v>0</v>
      </c>
      <c r="K513" s="11">
        <v>0</v>
      </c>
      <c r="L513" s="1">
        <f t="shared" si="439"/>
        <v>41600</v>
      </c>
      <c r="M513" s="11">
        <f t="shared" si="439"/>
        <v>8614331</v>
      </c>
      <c r="N513" s="39">
        <f t="shared" si="438"/>
        <v>0</v>
      </c>
      <c r="O513" s="13">
        <f t="shared" si="438"/>
        <v>0</v>
      </c>
    </row>
    <row r="514" spans="2:15" x14ac:dyDescent="0.25">
      <c r="B514" s="2" t="s">
        <v>29</v>
      </c>
      <c r="C514" s="2">
        <v>2024</v>
      </c>
      <c r="D514" s="1">
        <v>15237</v>
      </c>
      <c r="E514" s="11">
        <v>2805160</v>
      </c>
      <c r="F514" s="1">
        <v>9973</v>
      </c>
      <c r="G514" s="11">
        <v>1898051</v>
      </c>
      <c r="H514" s="1">
        <v>19123</v>
      </c>
      <c r="I514" s="11">
        <v>4523883</v>
      </c>
      <c r="J514" s="1">
        <v>0</v>
      </c>
      <c r="K514" s="11">
        <v>0</v>
      </c>
      <c r="L514" s="1">
        <f t="shared" si="439"/>
        <v>44333</v>
      </c>
      <c r="M514" s="11">
        <f t="shared" si="439"/>
        <v>9227094</v>
      </c>
      <c r="N514" s="39">
        <f t="shared" si="438"/>
        <v>0</v>
      </c>
      <c r="O514" s="13">
        <f t="shared" si="438"/>
        <v>0</v>
      </c>
    </row>
    <row r="515" spans="2:15" x14ac:dyDescent="0.25">
      <c r="B515" s="2" t="s">
        <v>30</v>
      </c>
      <c r="C515" s="2">
        <v>2024</v>
      </c>
      <c r="D515" s="1">
        <v>15320</v>
      </c>
      <c r="E515" s="11">
        <v>2833765</v>
      </c>
      <c r="F515" s="1">
        <v>9246</v>
      </c>
      <c r="G515" s="11">
        <v>1708392</v>
      </c>
      <c r="H515" s="1">
        <v>19529</v>
      </c>
      <c r="I515" s="11">
        <v>4681171</v>
      </c>
      <c r="J515" s="1">
        <v>0</v>
      </c>
      <c r="K515" s="11">
        <v>0</v>
      </c>
      <c r="L515" s="1">
        <f t="shared" si="439"/>
        <v>44095</v>
      </c>
      <c r="M515" s="11">
        <f t="shared" si="439"/>
        <v>9223328</v>
      </c>
      <c r="N515" s="39">
        <f t="shared" si="438"/>
        <v>0</v>
      </c>
      <c r="O515" s="13">
        <f t="shared" si="438"/>
        <v>0</v>
      </c>
    </row>
    <row r="516" spans="2:15" x14ac:dyDescent="0.25">
      <c r="B516" s="2" t="s">
        <v>31</v>
      </c>
      <c r="C516" s="2">
        <v>2024</v>
      </c>
      <c r="D516" s="1">
        <v>16884</v>
      </c>
      <c r="E516" s="11">
        <v>2880145</v>
      </c>
      <c r="F516" s="1">
        <v>8971</v>
      </c>
      <c r="G516" s="11">
        <v>1779008</v>
      </c>
      <c r="H516" s="1">
        <v>20923</v>
      </c>
      <c r="I516" s="11">
        <v>4842063</v>
      </c>
      <c r="J516" s="1"/>
      <c r="K516" s="11"/>
      <c r="L516" s="1">
        <f t="shared" si="439"/>
        <v>46778</v>
      </c>
      <c r="M516" s="11">
        <f t="shared" si="439"/>
        <v>9501216</v>
      </c>
      <c r="N516" s="39">
        <f t="shared" si="438"/>
        <v>0</v>
      </c>
      <c r="O516" s="13">
        <f t="shared" si="438"/>
        <v>0</v>
      </c>
    </row>
    <row r="518" spans="2:15" x14ac:dyDescent="0.25">
      <c r="B518" s="88" t="s">
        <v>12</v>
      </c>
      <c r="C518" s="88"/>
      <c r="D518" s="4">
        <f>SUM(D505:D517)</f>
        <v>169039</v>
      </c>
      <c r="E518" s="12">
        <f>SUM(E505:E517)</f>
        <v>29775793</v>
      </c>
      <c r="F518" s="4">
        <f t="shared" ref="F518:M518" si="440">SUM(F505:F517)</f>
        <v>106334</v>
      </c>
      <c r="G518" s="12">
        <f t="shared" si="440"/>
        <v>20373519</v>
      </c>
      <c r="H518" s="4">
        <f t="shared" si="440"/>
        <v>236968</v>
      </c>
      <c r="I518" s="12">
        <f t="shared" si="440"/>
        <v>51589995</v>
      </c>
      <c r="J518" s="4">
        <f t="shared" si="440"/>
        <v>0</v>
      </c>
      <c r="K518" s="12">
        <f t="shared" si="440"/>
        <v>0</v>
      </c>
      <c r="L518" s="4">
        <f t="shared" si="440"/>
        <v>512341</v>
      </c>
      <c r="M518" s="12">
        <f t="shared" si="440"/>
        <v>101739307</v>
      </c>
    </row>
    <row r="520" spans="2:15" x14ac:dyDescent="0.25">
      <c r="B520" s="5" t="s">
        <v>14</v>
      </c>
    </row>
    <row r="521" spans="2:15" x14ac:dyDescent="0.25">
      <c r="B521" s="5" t="s">
        <v>88</v>
      </c>
    </row>
    <row r="523" spans="2:15" x14ac:dyDescent="0.25">
      <c r="D523" s="89" t="s">
        <v>15</v>
      </c>
      <c r="E523" s="90"/>
      <c r="F523" s="89" t="s">
        <v>72</v>
      </c>
      <c r="G523" s="90"/>
      <c r="H523" s="89" t="s">
        <v>16</v>
      </c>
      <c r="I523" s="90"/>
      <c r="J523" s="89" t="s">
        <v>73</v>
      </c>
      <c r="K523" s="90"/>
      <c r="L523" s="89" t="s">
        <v>70</v>
      </c>
      <c r="M523" s="90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2024</v>
      </c>
      <c r="D526" s="1">
        <v>231999</v>
      </c>
      <c r="E526" s="11">
        <v>14849573</v>
      </c>
      <c r="F526" s="1">
        <v>198424</v>
      </c>
      <c r="G526" s="11">
        <v>12431822</v>
      </c>
      <c r="H526" s="1">
        <v>83974</v>
      </c>
      <c r="I526" s="11">
        <v>11155563</v>
      </c>
      <c r="J526" s="1">
        <v>0</v>
      </c>
      <c r="K526" s="11">
        <v>0</v>
      </c>
      <c r="L526" s="1">
        <f>+D526+F526+H526+J526</f>
        <v>514397</v>
      </c>
      <c r="M526" s="11">
        <f>+E526+G526+I526+K526</f>
        <v>38436958</v>
      </c>
      <c r="N526" s="39">
        <f t="shared" ref="N526:O537" si="441">+L526-R378</f>
        <v>0</v>
      </c>
      <c r="O526" s="13">
        <f t="shared" si="441"/>
        <v>0</v>
      </c>
    </row>
    <row r="527" spans="2:15" x14ac:dyDescent="0.25">
      <c r="B527" s="2" t="s">
        <v>6</v>
      </c>
      <c r="C527" s="2">
        <v>2024</v>
      </c>
      <c r="D527" s="1">
        <v>222492</v>
      </c>
      <c r="E527" s="11">
        <v>14161844</v>
      </c>
      <c r="F527" s="1">
        <v>206127</v>
      </c>
      <c r="G527" s="11">
        <v>12798432</v>
      </c>
      <c r="H527" s="1">
        <v>79185</v>
      </c>
      <c r="I527" s="11">
        <v>10608562</v>
      </c>
      <c r="J527" s="1">
        <v>0</v>
      </c>
      <c r="K527" s="11">
        <v>0</v>
      </c>
      <c r="L527" s="1">
        <f t="shared" ref="L527:M537" si="442">+D527+F527+H527+J527</f>
        <v>507804</v>
      </c>
      <c r="M527" s="11">
        <f t="shared" si="442"/>
        <v>37568838</v>
      </c>
      <c r="N527" s="39">
        <f t="shared" si="441"/>
        <v>0</v>
      </c>
      <c r="O527" s="13">
        <f t="shared" si="441"/>
        <v>0</v>
      </c>
    </row>
    <row r="528" spans="2:15" x14ac:dyDescent="0.25">
      <c r="B528" s="2" t="s">
        <v>7</v>
      </c>
      <c r="C528" s="2">
        <v>2024</v>
      </c>
      <c r="D528" s="1">
        <v>246608</v>
      </c>
      <c r="E528" s="11">
        <v>16123532</v>
      </c>
      <c r="F528" s="1">
        <v>225408</v>
      </c>
      <c r="G528" s="11">
        <v>14220642</v>
      </c>
      <c r="H528" s="1">
        <v>89342</v>
      </c>
      <c r="I528" s="11">
        <v>11687942</v>
      </c>
      <c r="J528" s="1">
        <v>0</v>
      </c>
      <c r="K528" s="11">
        <v>0</v>
      </c>
      <c r="L528" s="1">
        <f t="shared" si="442"/>
        <v>561358</v>
      </c>
      <c r="M528" s="11">
        <f t="shared" si="442"/>
        <v>42032116</v>
      </c>
      <c r="N528" s="39">
        <f t="shared" si="441"/>
        <v>0</v>
      </c>
      <c r="O528" s="13">
        <f t="shared" si="441"/>
        <v>0</v>
      </c>
    </row>
    <row r="529" spans="2:21" x14ac:dyDescent="0.25">
      <c r="B529" s="2" t="s">
        <v>8</v>
      </c>
      <c r="C529" s="2">
        <v>2024</v>
      </c>
      <c r="D529" s="1">
        <v>253014</v>
      </c>
      <c r="E529" s="11">
        <v>16397722</v>
      </c>
      <c r="F529" s="1">
        <v>230384</v>
      </c>
      <c r="G529" s="11">
        <v>14667612</v>
      </c>
      <c r="H529" s="1">
        <v>85405</v>
      </c>
      <c r="I529" s="11">
        <v>11189591</v>
      </c>
      <c r="J529" s="1">
        <v>0</v>
      </c>
      <c r="K529" s="11">
        <v>0</v>
      </c>
      <c r="L529" s="1">
        <f t="shared" si="442"/>
        <v>568803</v>
      </c>
      <c r="M529" s="11">
        <f t="shared" si="442"/>
        <v>42254925</v>
      </c>
      <c r="N529" s="39">
        <f>+L529-R381</f>
        <v>0</v>
      </c>
      <c r="O529" s="13">
        <f>+M529-S381</f>
        <v>0</v>
      </c>
    </row>
    <row r="530" spans="2:21" x14ac:dyDescent="0.25">
      <c r="B530" s="2" t="s">
        <v>9</v>
      </c>
      <c r="C530" s="2">
        <v>2024</v>
      </c>
      <c r="D530" s="1">
        <v>252573</v>
      </c>
      <c r="E530" s="11">
        <v>16442491</v>
      </c>
      <c r="F530" s="1">
        <v>236137</v>
      </c>
      <c r="G530" s="11">
        <v>15483157</v>
      </c>
      <c r="H530" s="1">
        <v>93515</v>
      </c>
      <c r="I530" s="11">
        <v>12207071</v>
      </c>
      <c r="J530" s="1">
        <v>0</v>
      </c>
      <c r="K530" s="11">
        <v>0</v>
      </c>
      <c r="L530" s="1">
        <f t="shared" si="442"/>
        <v>582225</v>
      </c>
      <c r="M530" s="11">
        <f t="shared" si="442"/>
        <v>44132719</v>
      </c>
      <c r="N530" s="39">
        <f t="shared" si="441"/>
        <v>0</v>
      </c>
      <c r="O530" s="13">
        <f t="shared" si="441"/>
        <v>0</v>
      </c>
    </row>
    <row r="531" spans="2:21" x14ac:dyDescent="0.25">
      <c r="B531" s="2" t="s">
        <v>10</v>
      </c>
      <c r="C531" s="2">
        <v>2024</v>
      </c>
      <c r="D531" s="1">
        <v>250081</v>
      </c>
      <c r="E531" s="11">
        <v>16128355</v>
      </c>
      <c r="F531" s="1">
        <v>237977</v>
      </c>
      <c r="G531" s="11">
        <v>15206526</v>
      </c>
      <c r="H531" s="1">
        <v>97922</v>
      </c>
      <c r="I531" s="11">
        <v>12817612</v>
      </c>
      <c r="J531" s="1">
        <v>0</v>
      </c>
      <c r="K531" s="11">
        <v>0</v>
      </c>
      <c r="L531" s="1">
        <f t="shared" si="442"/>
        <v>585980</v>
      </c>
      <c r="M531" s="11">
        <f t="shared" si="442"/>
        <v>44152493</v>
      </c>
      <c r="N531" s="39">
        <f t="shared" si="441"/>
        <v>0</v>
      </c>
      <c r="O531" s="13">
        <f t="shared" si="441"/>
        <v>0</v>
      </c>
    </row>
    <row r="532" spans="2:21" x14ac:dyDescent="0.25">
      <c r="B532" s="2" t="s">
        <v>11</v>
      </c>
      <c r="C532" s="2">
        <v>2024</v>
      </c>
      <c r="D532" s="1">
        <v>268593</v>
      </c>
      <c r="E532" s="11">
        <v>17760134</v>
      </c>
      <c r="F532" s="1">
        <v>239672</v>
      </c>
      <c r="G532" s="11">
        <v>15911068</v>
      </c>
      <c r="H532" s="1">
        <v>109789</v>
      </c>
      <c r="I532" s="11">
        <v>13903892</v>
      </c>
      <c r="J532" s="1">
        <v>0</v>
      </c>
      <c r="K532" s="11">
        <v>0</v>
      </c>
      <c r="L532" s="1">
        <f t="shared" si="442"/>
        <v>618054</v>
      </c>
      <c r="M532" s="11">
        <f t="shared" si="442"/>
        <v>47575094</v>
      </c>
      <c r="N532" s="39">
        <f t="shared" si="441"/>
        <v>0</v>
      </c>
      <c r="O532" s="13">
        <f t="shared" si="441"/>
        <v>0</v>
      </c>
    </row>
    <row r="533" spans="2:21" x14ac:dyDescent="0.25">
      <c r="B533" s="2" t="s">
        <v>4</v>
      </c>
      <c r="C533" s="2">
        <v>2024</v>
      </c>
      <c r="D533" s="1">
        <v>269993</v>
      </c>
      <c r="E533" s="11">
        <v>17978267</v>
      </c>
      <c r="F533" s="1">
        <v>243842</v>
      </c>
      <c r="G533" s="11">
        <v>15875123</v>
      </c>
      <c r="H533" s="1">
        <v>105052</v>
      </c>
      <c r="I533" s="11">
        <v>13413790</v>
      </c>
      <c r="J533" s="1">
        <v>0</v>
      </c>
      <c r="K533" s="11">
        <v>0</v>
      </c>
      <c r="L533" s="1">
        <f t="shared" si="442"/>
        <v>618887</v>
      </c>
      <c r="M533" s="11">
        <f t="shared" si="442"/>
        <v>47267180</v>
      </c>
      <c r="N533" s="39">
        <f t="shared" si="441"/>
        <v>0</v>
      </c>
      <c r="O533" s="13">
        <f t="shared" si="441"/>
        <v>0</v>
      </c>
    </row>
    <row r="534" spans="2:21" x14ac:dyDescent="0.25">
      <c r="B534" s="2" t="s">
        <v>28</v>
      </c>
      <c r="C534" s="2">
        <v>2024</v>
      </c>
      <c r="D534" s="1">
        <v>254713</v>
      </c>
      <c r="E534" s="11">
        <v>16661191</v>
      </c>
      <c r="F534" s="1">
        <v>226574</v>
      </c>
      <c r="G534" s="11">
        <v>14910627</v>
      </c>
      <c r="H534" s="1">
        <v>96055</v>
      </c>
      <c r="I534" s="11">
        <v>12145140</v>
      </c>
      <c r="J534" s="1">
        <v>0</v>
      </c>
      <c r="K534" s="11">
        <v>0</v>
      </c>
      <c r="L534" s="1">
        <f t="shared" si="442"/>
        <v>577342</v>
      </c>
      <c r="M534" s="11">
        <f t="shared" si="442"/>
        <v>43716958</v>
      </c>
      <c r="N534" s="39">
        <f t="shared" si="441"/>
        <v>0</v>
      </c>
      <c r="O534" s="13">
        <f t="shared" si="441"/>
        <v>0</v>
      </c>
    </row>
    <row r="535" spans="2:21" x14ac:dyDescent="0.25">
      <c r="B535" s="2" t="s">
        <v>29</v>
      </c>
      <c r="C535" s="2">
        <v>2024</v>
      </c>
      <c r="D535" s="1">
        <v>265385</v>
      </c>
      <c r="E535" s="11">
        <v>17594947</v>
      </c>
      <c r="F535" s="1">
        <v>239069</v>
      </c>
      <c r="G535" s="11">
        <v>15488567</v>
      </c>
      <c r="H535" s="1">
        <v>101380</v>
      </c>
      <c r="I535" s="11">
        <v>12772374</v>
      </c>
      <c r="J535" s="1">
        <v>0</v>
      </c>
      <c r="K535" s="11">
        <v>0</v>
      </c>
      <c r="L535" s="1">
        <f t="shared" si="442"/>
        <v>605834</v>
      </c>
      <c r="M535" s="11">
        <f t="shared" si="442"/>
        <v>45855888</v>
      </c>
      <c r="N535" s="39">
        <f t="shared" si="441"/>
        <v>0</v>
      </c>
      <c r="O535" s="13">
        <f t="shared" si="441"/>
        <v>0</v>
      </c>
    </row>
    <row r="536" spans="2:21" x14ac:dyDescent="0.25">
      <c r="B536" s="2" t="s">
        <v>30</v>
      </c>
      <c r="C536" s="2">
        <v>2024</v>
      </c>
      <c r="D536" s="1">
        <v>269173</v>
      </c>
      <c r="E536" s="11">
        <v>18033527</v>
      </c>
      <c r="F536" s="1">
        <v>236431</v>
      </c>
      <c r="G536" s="11">
        <v>15122029</v>
      </c>
      <c r="H536" s="1">
        <v>101293</v>
      </c>
      <c r="I536" s="11">
        <v>12732219</v>
      </c>
      <c r="J536" s="1">
        <v>0</v>
      </c>
      <c r="K536" s="11">
        <v>0</v>
      </c>
      <c r="L536" s="1">
        <f t="shared" si="442"/>
        <v>606897</v>
      </c>
      <c r="M536" s="11">
        <f t="shared" si="442"/>
        <v>45887775</v>
      </c>
      <c r="N536" s="39">
        <f t="shared" si="441"/>
        <v>0</v>
      </c>
      <c r="O536" s="13">
        <f t="shared" si="441"/>
        <v>0</v>
      </c>
    </row>
    <row r="537" spans="2:21" x14ac:dyDescent="0.25">
      <c r="B537" s="2" t="s">
        <v>31</v>
      </c>
      <c r="C537" s="2">
        <v>2024</v>
      </c>
      <c r="D537" s="1">
        <v>275115</v>
      </c>
      <c r="E537" s="11">
        <v>18319860</v>
      </c>
      <c r="F537" s="1">
        <v>241902</v>
      </c>
      <c r="G537" s="11">
        <v>15751659</v>
      </c>
      <c r="H537" s="1">
        <v>109684</v>
      </c>
      <c r="I537" s="11">
        <v>13931539</v>
      </c>
      <c r="J537" s="1">
        <v>0</v>
      </c>
      <c r="K537" s="11">
        <v>0</v>
      </c>
      <c r="L537" s="1">
        <f t="shared" si="442"/>
        <v>626701</v>
      </c>
      <c r="M537" s="11">
        <f t="shared" si="442"/>
        <v>48003058</v>
      </c>
      <c r="N537" s="39">
        <f t="shared" si="441"/>
        <v>0</v>
      </c>
      <c r="O537" s="13">
        <f t="shared" si="441"/>
        <v>0</v>
      </c>
    </row>
    <row r="539" spans="2:21" x14ac:dyDescent="0.25">
      <c r="B539" s="88" t="s">
        <v>12</v>
      </c>
      <c r="C539" s="88"/>
      <c r="D539" s="4">
        <f>SUM(D526:D538)</f>
        <v>3059739</v>
      </c>
      <c r="E539" s="12">
        <f>SUM(E526:E538)</f>
        <v>200451443</v>
      </c>
      <c r="F539" s="4">
        <f t="shared" ref="F539:M539" si="443">SUM(F526:F538)</f>
        <v>2761947</v>
      </c>
      <c r="G539" s="12">
        <f t="shared" si="443"/>
        <v>177867264</v>
      </c>
      <c r="H539" s="4">
        <f t="shared" si="443"/>
        <v>1152596</v>
      </c>
      <c r="I539" s="12">
        <f t="shared" si="443"/>
        <v>148565295</v>
      </c>
      <c r="J539" s="4">
        <f t="shared" si="443"/>
        <v>0</v>
      </c>
      <c r="K539" s="12">
        <f t="shared" si="443"/>
        <v>0</v>
      </c>
      <c r="L539" s="4">
        <f t="shared" si="443"/>
        <v>6974282</v>
      </c>
      <c r="M539" s="12">
        <f t="shared" si="443"/>
        <v>526884002</v>
      </c>
    </row>
    <row r="540" spans="2:21" x14ac:dyDescent="0.25">
      <c r="P540"/>
      <c r="Q540"/>
      <c r="R540"/>
      <c r="S540"/>
      <c r="U540"/>
    </row>
    <row r="541" spans="2:21" x14ac:dyDescent="0.25">
      <c r="B541" s="5" t="s">
        <v>14</v>
      </c>
      <c r="P541"/>
      <c r="Q541"/>
      <c r="R541"/>
      <c r="S541"/>
      <c r="U541"/>
    </row>
    <row r="542" spans="2:21" x14ac:dyDescent="0.25">
      <c r="B542" s="5" t="s">
        <v>92</v>
      </c>
      <c r="P542"/>
      <c r="Q542"/>
      <c r="R542"/>
      <c r="S542"/>
      <c r="U542"/>
    </row>
    <row r="543" spans="2:21" x14ac:dyDescent="0.25">
      <c r="P543"/>
      <c r="Q543"/>
      <c r="R543"/>
      <c r="S543"/>
      <c r="U543"/>
    </row>
    <row r="544" spans="2:21" x14ac:dyDescent="0.25">
      <c r="D544" s="89" t="s">
        <v>15</v>
      </c>
      <c r="E544" s="90"/>
      <c r="F544" s="89" t="s">
        <v>72</v>
      </c>
      <c r="G544" s="90"/>
      <c r="H544" s="89" t="s">
        <v>16</v>
      </c>
      <c r="I544" s="90"/>
      <c r="J544" s="89" t="s">
        <v>73</v>
      </c>
      <c r="K544" s="90"/>
      <c r="L544" s="89" t="s">
        <v>70</v>
      </c>
      <c r="M544" s="90"/>
      <c r="N544" s="9"/>
      <c r="P544"/>
      <c r="Q544"/>
      <c r="R544"/>
      <c r="S544"/>
      <c r="U544"/>
    </row>
    <row r="545" spans="2:21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  <c r="P545"/>
      <c r="Q545"/>
      <c r="R545"/>
      <c r="S545"/>
      <c r="U545"/>
    </row>
    <row r="546" spans="2:21" x14ac:dyDescent="0.25">
      <c r="N546" s="9"/>
      <c r="P546"/>
      <c r="Q546"/>
      <c r="R546"/>
      <c r="S546"/>
      <c r="U546"/>
    </row>
    <row r="547" spans="2:21" x14ac:dyDescent="0.25">
      <c r="B547" s="2" t="s">
        <v>5</v>
      </c>
      <c r="C547" s="2">
        <v>2024</v>
      </c>
      <c r="D547" s="1">
        <v>85686</v>
      </c>
      <c r="E547" s="11">
        <v>3949236</v>
      </c>
      <c r="F547" s="1">
        <v>68075</v>
      </c>
      <c r="G547" s="11">
        <v>3099406</v>
      </c>
      <c r="H547" s="1">
        <v>5076</v>
      </c>
      <c r="I547" s="11">
        <v>413209</v>
      </c>
      <c r="J547" s="1">
        <v>0</v>
      </c>
      <c r="K547" s="11">
        <v>0</v>
      </c>
      <c r="L547" s="1">
        <f>+D547+F547+H547+J547</f>
        <v>158837</v>
      </c>
      <c r="M547" s="11">
        <f>+E547+G547+I547+K547</f>
        <v>7461851</v>
      </c>
      <c r="N547" s="39">
        <f>+L547-J378</f>
        <v>0</v>
      </c>
      <c r="O547" s="13">
        <f t="shared" ref="O547:O558" si="444">+M547-K378</f>
        <v>0</v>
      </c>
      <c r="P547"/>
      <c r="Q547"/>
      <c r="R547"/>
      <c r="S547"/>
      <c r="U547"/>
    </row>
    <row r="548" spans="2:21" x14ac:dyDescent="0.25">
      <c r="B548" s="2" t="s">
        <v>6</v>
      </c>
      <c r="C548" s="2">
        <v>2024</v>
      </c>
      <c r="D548" s="1">
        <v>89296</v>
      </c>
      <c r="E548" s="11">
        <v>4137100</v>
      </c>
      <c r="F548" s="1">
        <v>73038</v>
      </c>
      <c r="G548" s="11">
        <v>3422057</v>
      </c>
      <c r="H548" s="1">
        <v>5460</v>
      </c>
      <c r="I548" s="11">
        <v>443738</v>
      </c>
      <c r="J548" s="1">
        <v>0</v>
      </c>
      <c r="K548" s="11">
        <v>0</v>
      </c>
      <c r="L548" s="1">
        <f t="shared" ref="L548:M558" si="445">+D548+F548+H548+J548</f>
        <v>167794</v>
      </c>
      <c r="M548" s="11">
        <f t="shared" si="445"/>
        <v>8002895</v>
      </c>
      <c r="N548" s="39">
        <f t="shared" ref="N548:N558" si="446">+L548-J379</f>
        <v>0</v>
      </c>
      <c r="O548" s="13">
        <f t="shared" si="444"/>
        <v>0</v>
      </c>
      <c r="P548"/>
      <c r="Q548"/>
      <c r="R548"/>
      <c r="S548"/>
      <c r="U548"/>
    </row>
    <row r="549" spans="2:21" x14ac:dyDescent="0.25">
      <c r="B549" s="2" t="s">
        <v>7</v>
      </c>
      <c r="C549" s="2">
        <v>2024</v>
      </c>
      <c r="D549" s="1">
        <v>91687</v>
      </c>
      <c r="E549" s="11">
        <v>4241790</v>
      </c>
      <c r="F549" s="1">
        <v>75573</v>
      </c>
      <c r="G549" s="11">
        <v>3496657</v>
      </c>
      <c r="H549" s="1">
        <v>4965</v>
      </c>
      <c r="I549" s="11">
        <v>389184</v>
      </c>
      <c r="J549" s="1">
        <v>0</v>
      </c>
      <c r="K549" s="11">
        <v>0</v>
      </c>
      <c r="L549" s="1">
        <f t="shared" si="445"/>
        <v>172225</v>
      </c>
      <c r="M549" s="11">
        <f t="shared" si="445"/>
        <v>8127631</v>
      </c>
      <c r="N549" s="39">
        <f t="shared" si="446"/>
        <v>0</v>
      </c>
      <c r="O549" s="13">
        <f t="shared" si="444"/>
        <v>0</v>
      </c>
      <c r="P549"/>
      <c r="Q549"/>
      <c r="R549"/>
      <c r="S549"/>
      <c r="U549"/>
    </row>
    <row r="550" spans="2:21" x14ac:dyDescent="0.25">
      <c r="B550" s="2" t="s">
        <v>8</v>
      </c>
      <c r="C550" s="2">
        <v>2024</v>
      </c>
      <c r="D550" s="1">
        <v>98192</v>
      </c>
      <c r="E550" s="11">
        <v>4545535</v>
      </c>
      <c r="F550" s="1">
        <v>76150</v>
      </c>
      <c r="G550" s="11">
        <v>3565041</v>
      </c>
      <c r="H550" s="1">
        <v>5417</v>
      </c>
      <c r="I550" s="11">
        <v>445133</v>
      </c>
      <c r="J550" s="1">
        <v>0</v>
      </c>
      <c r="K550" s="11">
        <v>0</v>
      </c>
      <c r="L550" s="1">
        <f t="shared" si="445"/>
        <v>179759</v>
      </c>
      <c r="M550" s="11">
        <f t="shared" si="445"/>
        <v>8555709</v>
      </c>
      <c r="N550" s="39">
        <f t="shared" si="446"/>
        <v>0</v>
      </c>
      <c r="O550" s="13">
        <f t="shared" si="444"/>
        <v>0</v>
      </c>
      <c r="P550"/>
      <c r="Q550"/>
      <c r="R550"/>
      <c r="S550"/>
      <c r="U550"/>
    </row>
    <row r="551" spans="2:21" x14ac:dyDescent="0.25">
      <c r="B551" s="2" t="s">
        <v>9</v>
      </c>
      <c r="C551" s="2">
        <v>2024</v>
      </c>
      <c r="D551" s="1">
        <v>101189</v>
      </c>
      <c r="E551" s="11">
        <v>4630198</v>
      </c>
      <c r="F551" s="1">
        <v>80882</v>
      </c>
      <c r="G551" s="11">
        <v>3702980</v>
      </c>
      <c r="H551" s="1">
        <v>5770</v>
      </c>
      <c r="I551" s="11">
        <v>491502</v>
      </c>
      <c r="J551" s="1">
        <v>0</v>
      </c>
      <c r="K551" s="11">
        <v>0</v>
      </c>
      <c r="L551" s="1">
        <f t="shared" si="445"/>
        <v>187841</v>
      </c>
      <c r="M551" s="11">
        <f t="shared" si="445"/>
        <v>8824680</v>
      </c>
      <c r="N551" s="39">
        <f t="shared" si="446"/>
        <v>0</v>
      </c>
      <c r="O551" s="13">
        <f t="shared" si="444"/>
        <v>0</v>
      </c>
      <c r="P551"/>
      <c r="Q551"/>
      <c r="R551"/>
      <c r="S551"/>
      <c r="U551"/>
    </row>
    <row r="552" spans="2:21" x14ac:dyDescent="0.25">
      <c r="B552" s="2" t="s">
        <v>10</v>
      </c>
      <c r="C552" s="2">
        <v>2024</v>
      </c>
      <c r="D552" s="1">
        <v>98004</v>
      </c>
      <c r="E552" s="11">
        <v>4449287</v>
      </c>
      <c r="F552" s="1">
        <v>79635</v>
      </c>
      <c r="G552" s="11">
        <v>3677450</v>
      </c>
      <c r="H552" s="1">
        <v>8162</v>
      </c>
      <c r="I552" s="11">
        <v>677517</v>
      </c>
      <c r="J552" s="1">
        <v>0</v>
      </c>
      <c r="K552" s="11">
        <v>0</v>
      </c>
      <c r="L552" s="1">
        <f t="shared" si="445"/>
        <v>185801</v>
      </c>
      <c r="M552" s="11">
        <f t="shared" si="445"/>
        <v>8804254</v>
      </c>
      <c r="N552" s="39">
        <f t="shared" si="446"/>
        <v>0</v>
      </c>
      <c r="O552" s="13">
        <f t="shared" si="444"/>
        <v>0</v>
      </c>
      <c r="P552"/>
      <c r="Q552"/>
      <c r="R552"/>
      <c r="S552"/>
      <c r="U552"/>
    </row>
    <row r="553" spans="2:21" x14ac:dyDescent="0.25">
      <c r="B553" s="2" t="s">
        <v>11</v>
      </c>
      <c r="C553" s="2">
        <v>2024</v>
      </c>
      <c r="D553" s="1">
        <v>95601</v>
      </c>
      <c r="E553" s="11">
        <v>4357748</v>
      </c>
      <c r="F553" s="1">
        <v>77194</v>
      </c>
      <c r="G553" s="11">
        <v>3532841</v>
      </c>
      <c r="H553" s="1">
        <v>8015</v>
      </c>
      <c r="I553" s="11">
        <v>667727</v>
      </c>
      <c r="J553" s="1">
        <v>0</v>
      </c>
      <c r="K553" s="11">
        <v>0</v>
      </c>
      <c r="L553" s="1">
        <f t="shared" si="445"/>
        <v>180810</v>
      </c>
      <c r="M553" s="11">
        <f t="shared" si="445"/>
        <v>8558316</v>
      </c>
      <c r="N553" s="39">
        <f t="shared" si="446"/>
        <v>0</v>
      </c>
      <c r="O553" s="13">
        <f t="shared" si="444"/>
        <v>0</v>
      </c>
      <c r="P553"/>
      <c r="Q553"/>
      <c r="R553"/>
      <c r="S553"/>
      <c r="U553"/>
    </row>
    <row r="554" spans="2:21" x14ac:dyDescent="0.25">
      <c r="B554" s="2" t="s">
        <v>4</v>
      </c>
      <c r="C554" s="2">
        <v>2024</v>
      </c>
      <c r="D554" s="1">
        <v>103926</v>
      </c>
      <c r="E554" s="11">
        <v>4695789</v>
      </c>
      <c r="F554" s="1">
        <v>81723</v>
      </c>
      <c r="G554" s="11">
        <v>3715198</v>
      </c>
      <c r="H554" s="1">
        <v>9402</v>
      </c>
      <c r="I554" s="11">
        <v>784056</v>
      </c>
      <c r="J554" s="1">
        <v>0</v>
      </c>
      <c r="K554" s="11">
        <v>0</v>
      </c>
      <c r="L554" s="1">
        <f t="shared" si="445"/>
        <v>195051</v>
      </c>
      <c r="M554" s="11">
        <f t="shared" si="445"/>
        <v>9195043</v>
      </c>
      <c r="N554" s="39">
        <f t="shared" si="446"/>
        <v>0</v>
      </c>
      <c r="O554" s="13">
        <f t="shared" si="444"/>
        <v>0</v>
      </c>
      <c r="P554"/>
      <c r="Q554"/>
      <c r="R554"/>
      <c r="S554"/>
      <c r="U554"/>
    </row>
    <row r="555" spans="2:21" x14ac:dyDescent="0.25">
      <c r="B555" s="2" t="s">
        <v>28</v>
      </c>
      <c r="C555" s="2">
        <v>2024</v>
      </c>
      <c r="D555" s="1">
        <v>105576</v>
      </c>
      <c r="E555" s="11">
        <v>4771734</v>
      </c>
      <c r="F555" s="1">
        <v>79969</v>
      </c>
      <c r="G555" s="11">
        <v>3712695</v>
      </c>
      <c r="H555" s="1">
        <v>10173</v>
      </c>
      <c r="I555" s="11">
        <v>854211</v>
      </c>
      <c r="J555" s="1">
        <v>0</v>
      </c>
      <c r="K555" s="11">
        <v>0</v>
      </c>
      <c r="L555" s="1">
        <f t="shared" si="445"/>
        <v>195718</v>
      </c>
      <c r="M555" s="11">
        <f t="shared" si="445"/>
        <v>9338640</v>
      </c>
      <c r="N555" s="39">
        <f t="shared" si="446"/>
        <v>0</v>
      </c>
      <c r="O555" s="13">
        <f t="shared" si="444"/>
        <v>0</v>
      </c>
      <c r="P555"/>
      <c r="Q555"/>
      <c r="R555"/>
      <c r="S555"/>
      <c r="U555"/>
    </row>
    <row r="556" spans="2:21" x14ac:dyDescent="0.25">
      <c r="B556" s="2" t="s">
        <v>29</v>
      </c>
      <c r="C556" s="2">
        <v>2024</v>
      </c>
      <c r="D556" s="1">
        <v>116483</v>
      </c>
      <c r="E556" s="11">
        <v>5296507</v>
      </c>
      <c r="F556" s="1">
        <v>87069</v>
      </c>
      <c r="G556" s="11">
        <v>4058417</v>
      </c>
      <c r="H556" s="1">
        <v>11893</v>
      </c>
      <c r="I556" s="11">
        <v>972582</v>
      </c>
      <c r="J556" s="1">
        <v>0</v>
      </c>
      <c r="K556" s="11">
        <v>0</v>
      </c>
      <c r="L556" s="1">
        <f t="shared" si="445"/>
        <v>215445</v>
      </c>
      <c r="M556" s="11">
        <f t="shared" si="445"/>
        <v>10327506</v>
      </c>
      <c r="N556" s="39">
        <f t="shared" si="446"/>
        <v>0</v>
      </c>
      <c r="O556" s="13">
        <f t="shared" si="444"/>
        <v>0</v>
      </c>
      <c r="P556"/>
      <c r="Q556"/>
      <c r="R556"/>
      <c r="S556"/>
      <c r="U556"/>
    </row>
    <row r="557" spans="2:21" x14ac:dyDescent="0.25">
      <c r="B557" s="2" t="s">
        <v>30</v>
      </c>
      <c r="C557" s="2">
        <v>2024</v>
      </c>
      <c r="D557" s="1">
        <v>114634</v>
      </c>
      <c r="E557" s="11">
        <v>5292225</v>
      </c>
      <c r="F557" s="1">
        <v>85032</v>
      </c>
      <c r="G557" s="11">
        <v>3973472</v>
      </c>
      <c r="H557" s="1">
        <v>11702</v>
      </c>
      <c r="I557" s="11">
        <v>954546</v>
      </c>
      <c r="J557" s="1">
        <v>0</v>
      </c>
      <c r="K557" s="11">
        <v>0</v>
      </c>
      <c r="L557" s="1">
        <f t="shared" si="445"/>
        <v>211368</v>
      </c>
      <c r="M557" s="11">
        <f t="shared" si="445"/>
        <v>10220243</v>
      </c>
      <c r="N557" s="39">
        <f t="shared" si="446"/>
        <v>0</v>
      </c>
      <c r="O557" s="13">
        <f t="shared" si="444"/>
        <v>0</v>
      </c>
      <c r="P557"/>
      <c r="Q557"/>
      <c r="R557"/>
      <c r="S557"/>
      <c r="U557"/>
    </row>
    <row r="558" spans="2:21" x14ac:dyDescent="0.25">
      <c r="B558" s="2" t="s">
        <v>31</v>
      </c>
      <c r="C558" s="2">
        <v>2024</v>
      </c>
      <c r="D558" s="1">
        <v>105267</v>
      </c>
      <c r="E558" s="11">
        <v>4932185</v>
      </c>
      <c r="F558" s="1">
        <v>80932</v>
      </c>
      <c r="G558" s="11">
        <v>3879961</v>
      </c>
      <c r="H558" s="1">
        <v>10127</v>
      </c>
      <c r="I558" s="11">
        <v>848416</v>
      </c>
      <c r="J558" s="1">
        <v>0</v>
      </c>
      <c r="K558" s="11">
        <v>0</v>
      </c>
      <c r="L558" s="1">
        <f t="shared" si="445"/>
        <v>196326</v>
      </c>
      <c r="M558" s="11">
        <f t="shared" si="445"/>
        <v>9660562</v>
      </c>
      <c r="N558" s="39">
        <f t="shared" si="446"/>
        <v>0</v>
      </c>
      <c r="O558" s="13">
        <f t="shared" si="444"/>
        <v>0</v>
      </c>
      <c r="P558"/>
      <c r="Q558"/>
      <c r="R558"/>
      <c r="S558"/>
      <c r="U558"/>
    </row>
    <row r="559" spans="2:21" x14ac:dyDescent="0.25">
      <c r="P559"/>
      <c r="Q559"/>
      <c r="R559"/>
      <c r="S559"/>
      <c r="U559"/>
    </row>
    <row r="560" spans="2:21" x14ac:dyDescent="0.25">
      <c r="B560" s="88" t="s">
        <v>12</v>
      </c>
      <c r="C560" s="88"/>
      <c r="D560" s="4">
        <f>SUM(D547:D559)</f>
        <v>1205541</v>
      </c>
      <c r="E560" s="12">
        <f>SUM(E547:E559)</f>
        <v>55299334</v>
      </c>
      <c r="F560" s="4">
        <f t="shared" ref="F560:M560" si="447">SUM(F547:F559)</f>
        <v>945272</v>
      </c>
      <c r="G560" s="12">
        <f t="shared" si="447"/>
        <v>43836175</v>
      </c>
      <c r="H560" s="4">
        <f t="shared" si="447"/>
        <v>96162</v>
      </c>
      <c r="I560" s="12">
        <f t="shared" si="447"/>
        <v>7941821</v>
      </c>
      <c r="J560" s="4">
        <f t="shared" si="447"/>
        <v>0</v>
      </c>
      <c r="K560" s="12">
        <f t="shared" si="447"/>
        <v>0</v>
      </c>
      <c r="L560" s="4">
        <f t="shared" si="447"/>
        <v>2246975</v>
      </c>
      <c r="M560" s="12">
        <f t="shared" si="447"/>
        <v>107077330</v>
      </c>
      <c r="P560"/>
      <c r="Q560"/>
      <c r="R560"/>
      <c r="S560"/>
      <c r="U560"/>
    </row>
    <row r="562" spans="2:15" x14ac:dyDescent="0.25">
      <c r="B562" s="5" t="s">
        <v>14</v>
      </c>
    </row>
    <row r="563" spans="2:15" x14ac:dyDescent="0.25">
      <c r="B563" s="5" t="s">
        <v>114</v>
      </c>
    </row>
    <row r="565" spans="2:15" x14ac:dyDescent="0.25">
      <c r="D565" s="89" t="s">
        <v>15</v>
      </c>
      <c r="E565" s="90"/>
      <c r="F565" s="89" t="s">
        <v>72</v>
      </c>
      <c r="G565" s="90"/>
      <c r="H565" s="89" t="s">
        <v>16</v>
      </c>
      <c r="I565" s="90"/>
      <c r="J565" s="89" t="s">
        <v>73</v>
      </c>
      <c r="K565" s="90"/>
      <c r="L565" s="89" t="s">
        <v>70</v>
      </c>
      <c r="M565" s="90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2024</v>
      </c>
      <c r="D568" s="1">
        <f>+D505+D484+D463+D442+D421+D400+D526+D547</f>
        <v>2131865</v>
      </c>
      <c r="E568" s="11">
        <f t="shared" ref="E568:K568" si="448">+E505+E484+E463+E442+E421+E400+E526+E547</f>
        <v>259431772.87</v>
      </c>
      <c r="F568" s="1">
        <f t="shared" si="448"/>
        <v>1177876</v>
      </c>
      <c r="G568" s="11">
        <f t="shared" si="448"/>
        <v>157729039.53</v>
      </c>
      <c r="H568" s="1">
        <f t="shared" si="448"/>
        <v>1300423</v>
      </c>
      <c r="I568" s="11">
        <f t="shared" si="448"/>
        <v>280065322.56999999</v>
      </c>
      <c r="J568" s="1">
        <f t="shared" si="448"/>
        <v>0</v>
      </c>
      <c r="K568" s="11">
        <f t="shared" si="448"/>
        <v>0</v>
      </c>
      <c r="L568" s="1">
        <f>+D568+F568+H568+J568</f>
        <v>4610164</v>
      </c>
      <c r="M568" s="11">
        <f>+E568+G568+I568+K568</f>
        <v>697226134.97000003</v>
      </c>
      <c r="N568" s="39">
        <f t="shared" ref="N568:O579" si="449">+L568-T378</f>
        <v>0</v>
      </c>
      <c r="O568" s="13">
        <f t="shared" si="449"/>
        <v>0</v>
      </c>
    </row>
    <row r="569" spans="2:15" x14ac:dyDescent="0.25">
      <c r="B569" s="2" t="s">
        <v>6</v>
      </c>
      <c r="C569" s="2">
        <v>2024</v>
      </c>
      <c r="D569" s="1">
        <f t="shared" ref="D569:K579" si="450">+D506+D485+D464+D443+D422+D401+D527+D548</f>
        <v>2059957</v>
      </c>
      <c r="E569" s="11">
        <f t="shared" si="450"/>
        <v>249471470.24000001</v>
      </c>
      <c r="F569" s="1">
        <f t="shared" si="450"/>
        <v>1206359</v>
      </c>
      <c r="G569" s="11">
        <f t="shared" si="450"/>
        <v>156636712.72999999</v>
      </c>
      <c r="H569" s="1">
        <f t="shared" si="450"/>
        <v>1169760</v>
      </c>
      <c r="I569" s="11">
        <f t="shared" si="450"/>
        <v>240416373.63999999</v>
      </c>
      <c r="J569" s="1">
        <f t="shared" si="450"/>
        <v>0</v>
      </c>
      <c r="K569" s="11">
        <f t="shared" si="450"/>
        <v>0</v>
      </c>
      <c r="L569" s="1">
        <f t="shared" ref="L569:M579" si="451">+D569+F569+H569+J569</f>
        <v>4436076</v>
      </c>
      <c r="M569" s="11">
        <f t="shared" si="451"/>
        <v>646524556.61000001</v>
      </c>
      <c r="N569" s="39">
        <f t="shared" si="449"/>
        <v>0</v>
      </c>
      <c r="O569" s="13">
        <f t="shared" si="449"/>
        <v>0</v>
      </c>
    </row>
    <row r="570" spans="2:15" x14ac:dyDescent="0.25">
      <c r="B570" s="2" t="s">
        <v>7</v>
      </c>
      <c r="C570" s="2">
        <v>2024</v>
      </c>
      <c r="D570" s="1">
        <f t="shared" si="450"/>
        <v>2255468</v>
      </c>
      <c r="E570" s="11">
        <f t="shared" si="450"/>
        <v>271178807.60000002</v>
      </c>
      <c r="F570" s="1">
        <f t="shared" si="450"/>
        <v>1260309</v>
      </c>
      <c r="G570" s="11">
        <f t="shared" si="450"/>
        <v>163768462.09999999</v>
      </c>
      <c r="H570" s="1">
        <f t="shared" si="450"/>
        <v>1384228</v>
      </c>
      <c r="I570" s="11">
        <f t="shared" si="450"/>
        <v>285055797.56999999</v>
      </c>
      <c r="J570" s="1">
        <f t="shared" si="450"/>
        <v>0</v>
      </c>
      <c r="K570" s="11">
        <f t="shared" si="450"/>
        <v>0</v>
      </c>
      <c r="L570" s="1">
        <f t="shared" si="451"/>
        <v>4900005</v>
      </c>
      <c r="M570" s="11">
        <f t="shared" si="451"/>
        <v>720003067.26999998</v>
      </c>
      <c r="N570" s="39">
        <f t="shared" si="449"/>
        <v>0</v>
      </c>
      <c r="O570" s="13">
        <f t="shared" si="449"/>
        <v>0</v>
      </c>
    </row>
    <row r="571" spans="2:15" x14ac:dyDescent="0.25">
      <c r="B571" s="2" t="s">
        <v>8</v>
      </c>
      <c r="C571" s="2">
        <v>2024</v>
      </c>
      <c r="D571" s="1">
        <f t="shared" si="450"/>
        <v>2307549</v>
      </c>
      <c r="E571" s="11">
        <f t="shared" si="450"/>
        <v>277888851.60000002</v>
      </c>
      <c r="F571" s="1">
        <f t="shared" si="450"/>
        <v>1305191</v>
      </c>
      <c r="G571" s="11">
        <f t="shared" si="450"/>
        <v>170347174.38999999</v>
      </c>
      <c r="H571" s="1">
        <f t="shared" si="450"/>
        <v>1374971</v>
      </c>
      <c r="I571" s="11">
        <f t="shared" si="450"/>
        <v>280015382.53999996</v>
      </c>
      <c r="J571" s="1">
        <f t="shared" si="450"/>
        <v>0</v>
      </c>
      <c r="K571" s="11">
        <f t="shared" si="450"/>
        <v>0</v>
      </c>
      <c r="L571" s="1">
        <f t="shared" si="451"/>
        <v>4987711</v>
      </c>
      <c r="M571" s="11">
        <f t="shared" si="451"/>
        <v>728251408.52999997</v>
      </c>
      <c r="N571" s="39">
        <f t="shared" si="449"/>
        <v>0</v>
      </c>
      <c r="O571" s="13">
        <f t="shared" si="449"/>
        <v>0</v>
      </c>
    </row>
    <row r="572" spans="2:15" x14ac:dyDescent="0.25">
      <c r="B572" s="2" t="s">
        <v>9</v>
      </c>
      <c r="C572" s="2">
        <v>2024</v>
      </c>
      <c r="D572" s="1">
        <f t="shared" si="450"/>
        <v>2387546</v>
      </c>
      <c r="E572" s="11">
        <f t="shared" si="450"/>
        <v>294635762.17000002</v>
      </c>
      <c r="F572" s="1">
        <f t="shared" si="450"/>
        <v>1391032</v>
      </c>
      <c r="G572" s="11">
        <f t="shared" si="450"/>
        <v>187068425.74000001</v>
      </c>
      <c r="H572" s="1">
        <f t="shared" si="450"/>
        <v>1413648</v>
      </c>
      <c r="I572" s="11">
        <f t="shared" si="450"/>
        <v>281061276.33000004</v>
      </c>
      <c r="J572" s="1">
        <f t="shared" si="450"/>
        <v>0</v>
      </c>
      <c r="K572" s="11">
        <f t="shared" si="450"/>
        <v>0</v>
      </c>
      <c r="L572" s="1">
        <f t="shared" si="451"/>
        <v>5192226</v>
      </c>
      <c r="M572" s="11">
        <f t="shared" si="451"/>
        <v>762765464.24000001</v>
      </c>
      <c r="N572" s="39">
        <f t="shared" si="449"/>
        <v>0</v>
      </c>
      <c r="O572" s="13">
        <f t="shared" si="449"/>
        <v>0</v>
      </c>
    </row>
    <row r="573" spans="2:15" x14ac:dyDescent="0.25">
      <c r="B573" s="2" t="s">
        <v>10</v>
      </c>
      <c r="C573" s="2">
        <v>2024</v>
      </c>
      <c r="D573" s="1">
        <f t="shared" si="450"/>
        <v>2217785</v>
      </c>
      <c r="E573" s="11">
        <f t="shared" si="450"/>
        <v>271333926.11000001</v>
      </c>
      <c r="F573" s="1">
        <f t="shared" si="450"/>
        <v>1325984</v>
      </c>
      <c r="G573" s="11">
        <f t="shared" si="450"/>
        <v>175583004.28</v>
      </c>
      <c r="H573" s="1">
        <f t="shared" si="450"/>
        <v>995651</v>
      </c>
      <c r="I573" s="11">
        <f t="shared" si="450"/>
        <v>278756366.65999997</v>
      </c>
      <c r="J573" s="1">
        <f t="shared" si="450"/>
        <v>0</v>
      </c>
      <c r="K573" s="11">
        <f t="shared" si="450"/>
        <v>0</v>
      </c>
      <c r="L573" s="1">
        <f t="shared" si="451"/>
        <v>4539420</v>
      </c>
      <c r="M573" s="11">
        <f t="shared" si="451"/>
        <v>725673297.04999995</v>
      </c>
      <c r="N573" s="39">
        <f t="shared" si="449"/>
        <v>0</v>
      </c>
      <c r="O573" s="13">
        <f t="shared" si="449"/>
        <v>0</v>
      </c>
    </row>
    <row r="574" spans="2:15" x14ac:dyDescent="0.25">
      <c r="B574" s="2" t="s">
        <v>11</v>
      </c>
      <c r="C574" s="2">
        <v>2024</v>
      </c>
      <c r="D574" s="1">
        <f t="shared" si="450"/>
        <v>2376799</v>
      </c>
      <c r="E574" s="11">
        <f t="shared" si="450"/>
        <v>292489288.30000001</v>
      </c>
      <c r="F574" s="1">
        <f t="shared" si="450"/>
        <v>1330446</v>
      </c>
      <c r="G574" s="11">
        <f t="shared" si="450"/>
        <v>180265749.94</v>
      </c>
      <c r="H574" s="1">
        <f t="shared" si="450"/>
        <v>1469894</v>
      </c>
      <c r="I574" s="11">
        <f t="shared" si="450"/>
        <v>293738040.97000003</v>
      </c>
      <c r="J574" s="1">
        <f t="shared" si="450"/>
        <v>0</v>
      </c>
      <c r="K574" s="11">
        <f t="shared" si="450"/>
        <v>0</v>
      </c>
      <c r="L574" s="1">
        <f t="shared" si="451"/>
        <v>5177139</v>
      </c>
      <c r="M574" s="11">
        <f t="shared" si="451"/>
        <v>766493079.21000004</v>
      </c>
      <c r="N574" s="39">
        <f t="shared" si="449"/>
        <v>0</v>
      </c>
      <c r="O574" s="13">
        <f t="shared" si="449"/>
        <v>0</v>
      </c>
    </row>
    <row r="575" spans="2:15" x14ac:dyDescent="0.25">
      <c r="B575" s="2" t="s">
        <v>4</v>
      </c>
      <c r="C575" s="2">
        <v>2024</v>
      </c>
      <c r="D575" s="1">
        <f t="shared" si="450"/>
        <v>2351132</v>
      </c>
      <c r="E575" s="11">
        <f t="shared" si="450"/>
        <v>286319253.71000004</v>
      </c>
      <c r="F575" s="1">
        <f t="shared" si="450"/>
        <v>1342951</v>
      </c>
      <c r="G575" s="11">
        <f t="shared" si="450"/>
        <v>174328658.03</v>
      </c>
      <c r="H575" s="1">
        <f t="shared" si="450"/>
        <v>1574707</v>
      </c>
      <c r="I575" s="11">
        <f t="shared" si="450"/>
        <v>321250467.94999999</v>
      </c>
      <c r="J575" s="1">
        <f t="shared" si="450"/>
        <v>0</v>
      </c>
      <c r="K575" s="11">
        <f t="shared" si="450"/>
        <v>0</v>
      </c>
      <c r="L575" s="1">
        <f t="shared" si="451"/>
        <v>5268790</v>
      </c>
      <c r="M575" s="11">
        <f t="shared" si="451"/>
        <v>781898379.69000006</v>
      </c>
      <c r="N575" s="39">
        <f t="shared" si="449"/>
        <v>0</v>
      </c>
      <c r="O575" s="13">
        <f t="shared" si="449"/>
        <v>0</v>
      </c>
    </row>
    <row r="576" spans="2:15" x14ac:dyDescent="0.25">
      <c r="B576" s="2" t="s">
        <v>28</v>
      </c>
      <c r="C576" s="2">
        <v>2024</v>
      </c>
      <c r="D576" s="1">
        <f t="shared" si="450"/>
        <v>2296690</v>
      </c>
      <c r="E576" s="11">
        <f t="shared" si="450"/>
        <v>277106989.77999997</v>
      </c>
      <c r="F576" s="1">
        <f t="shared" si="450"/>
        <v>1317012</v>
      </c>
      <c r="G576" s="11">
        <f t="shared" si="450"/>
        <v>173269999.47999999</v>
      </c>
      <c r="H576" s="1">
        <f t="shared" si="450"/>
        <v>1405319</v>
      </c>
      <c r="I576" s="11">
        <f t="shared" si="450"/>
        <v>281100052.64999998</v>
      </c>
      <c r="J576" s="1">
        <f t="shared" si="450"/>
        <v>0</v>
      </c>
      <c r="K576" s="11">
        <f t="shared" si="450"/>
        <v>0</v>
      </c>
      <c r="L576" s="1">
        <f t="shared" si="451"/>
        <v>5019021</v>
      </c>
      <c r="M576" s="11">
        <f t="shared" si="451"/>
        <v>731477041.90999997</v>
      </c>
      <c r="N576" s="39">
        <f t="shared" si="449"/>
        <v>0</v>
      </c>
      <c r="O576" s="13">
        <f t="shared" si="449"/>
        <v>0</v>
      </c>
    </row>
    <row r="577" spans="1:20" x14ac:dyDescent="0.25">
      <c r="B577" s="2" t="s">
        <v>29</v>
      </c>
      <c r="C577" s="2">
        <v>2024</v>
      </c>
      <c r="D577" s="1">
        <f t="shared" si="450"/>
        <v>2426661</v>
      </c>
      <c r="E577" s="11">
        <f t="shared" si="450"/>
        <v>294859290.61000001</v>
      </c>
      <c r="F577" s="1">
        <f t="shared" si="450"/>
        <v>1427775</v>
      </c>
      <c r="G577" s="11">
        <f t="shared" si="450"/>
        <v>191186508.80000001</v>
      </c>
      <c r="H577" s="1">
        <f t="shared" si="450"/>
        <v>1472993</v>
      </c>
      <c r="I577" s="11">
        <f t="shared" si="450"/>
        <v>295521608.31999999</v>
      </c>
      <c r="J577" s="1">
        <f t="shared" si="450"/>
        <v>0</v>
      </c>
      <c r="K577" s="11">
        <f t="shared" si="450"/>
        <v>0</v>
      </c>
      <c r="L577" s="1">
        <f t="shared" si="451"/>
        <v>5327429</v>
      </c>
      <c r="M577" s="11">
        <f t="shared" si="451"/>
        <v>781567407.73000002</v>
      </c>
      <c r="N577" s="39">
        <f t="shared" si="449"/>
        <v>0</v>
      </c>
      <c r="O577" s="13">
        <f t="shared" si="449"/>
        <v>0</v>
      </c>
    </row>
    <row r="578" spans="1:20" x14ac:dyDescent="0.25">
      <c r="B578" s="2" t="s">
        <v>30</v>
      </c>
      <c r="C578" s="2">
        <v>2024</v>
      </c>
      <c r="D578" s="1">
        <f t="shared" si="450"/>
        <v>2484316</v>
      </c>
      <c r="E578" s="11">
        <f t="shared" si="450"/>
        <v>302782069.43000001</v>
      </c>
      <c r="F578" s="1">
        <f t="shared" si="450"/>
        <v>1416857</v>
      </c>
      <c r="G578" s="11">
        <f t="shared" si="450"/>
        <v>187017987.38</v>
      </c>
      <c r="H578" s="1">
        <f t="shared" si="450"/>
        <v>1472653</v>
      </c>
      <c r="I578" s="11">
        <f t="shared" si="450"/>
        <v>289919882.93000001</v>
      </c>
      <c r="J578" s="1">
        <f t="shared" si="450"/>
        <v>0</v>
      </c>
      <c r="K578" s="11">
        <f t="shared" si="450"/>
        <v>0</v>
      </c>
      <c r="L578" s="1">
        <f t="shared" si="451"/>
        <v>5373826</v>
      </c>
      <c r="M578" s="11">
        <f t="shared" si="451"/>
        <v>779719939.74000001</v>
      </c>
      <c r="N578" s="39">
        <f t="shared" si="449"/>
        <v>0</v>
      </c>
      <c r="O578" s="13">
        <f t="shared" si="449"/>
        <v>0</v>
      </c>
    </row>
    <row r="579" spans="1:20" x14ac:dyDescent="0.25">
      <c r="B579" s="2" t="s">
        <v>31</v>
      </c>
      <c r="C579" s="2">
        <v>2024</v>
      </c>
      <c r="D579" s="1">
        <f t="shared" si="450"/>
        <v>2614276</v>
      </c>
      <c r="E579" s="11">
        <f t="shared" si="450"/>
        <v>310077479.39999998</v>
      </c>
      <c r="F579" s="1">
        <f t="shared" si="450"/>
        <v>1400601</v>
      </c>
      <c r="G579" s="11">
        <f t="shared" si="450"/>
        <v>183168532.27000001</v>
      </c>
      <c r="H579" s="1">
        <f t="shared" si="450"/>
        <v>1587016</v>
      </c>
      <c r="I579" s="11">
        <f t="shared" si="450"/>
        <v>314872601.14999998</v>
      </c>
      <c r="J579" s="1">
        <f t="shared" si="450"/>
        <v>0</v>
      </c>
      <c r="K579" s="11">
        <f t="shared" si="450"/>
        <v>0</v>
      </c>
      <c r="L579" s="1">
        <f t="shared" si="451"/>
        <v>5601893</v>
      </c>
      <c r="M579" s="11">
        <f t="shared" si="451"/>
        <v>808118612.81999993</v>
      </c>
      <c r="N579" s="39">
        <f t="shared" si="449"/>
        <v>0</v>
      </c>
      <c r="O579" s="13">
        <f t="shared" si="449"/>
        <v>0</v>
      </c>
    </row>
    <row r="581" spans="1:20" x14ac:dyDescent="0.25">
      <c r="B581" s="88" t="s">
        <v>12</v>
      </c>
      <c r="C581" s="88"/>
      <c r="D581" s="4">
        <f>SUM(D568:D580)</f>
        <v>27910044</v>
      </c>
      <c r="E581" s="12">
        <f>SUM(E568:E580)</f>
        <v>3387574961.8200002</v>
      </c>
      <c r="F581" s="4">
        <f t="shared" ref="F581:M581" si="452">SUM(F568:F580)</f>
        <v>15902393</v>
      </c>
      <c r="G581" s="12">
        <f t="shared" si="452"/>
        <v>2100370254.6700001</v>
      </c>
      <c r="H581" s="4">
        <f t="shared" si="452"/>
        <v>16621263</v>
      </c>
      <c r="I581" s="12">
        <f t="shared" si="452"/>
        <v>3441773173.2800002</v>
      </c>
      <c r="J581" s="4">
        <f t="shared" si="452"/>
        <v>0</v>
      </c>
      <c r="K581" s="12">
        <f t="shared" si="452"/>
        <v>0</v>
      </c>
      <c r="L581" s="4">
        <f t="shared" si="452"/>
        <v>60433700</v>
      </c>
      <c r="M581" s="12">
        <f t="shared" si="452"/>
        <v>8929718389.7699986</v>
      </c>
    </row>
    <row r="582" spans="1:20" x14ac:dyDescent="0.25">
      <c r="E582" s="29">
        <f>E581/$M$581</f>
        <v>0.37935966331265836</v>
      </c>
      <c r="G582" s="29">
        <f>G581/$M$581</f>
        <v>0.23521125336675919</v>
      </c>
      <c r="I582" s="29">
        <f>I581/$M$581</f>
        <v>0.38542908332058268</v>
      </c>
      <c r="K582" s="29">
        <f>K581/$M$581</f>
        <v>0</v>
      </c>
    </row>
    <row r="583" spans="1:20" x14ac:dyDescent="0.25">
      <c r="F583"/>
      <c r="G583"/>
      <c r="I583"/>
      <c r="K583"/>
      <c r="M583"/>
    </row>
    <row r="584" spans="1:20" collapsed="1" x14ac:dyDescent="0.25">
      <c r="A584" s="5" t="s">
        <v>14</v>
      </c>
    </row>
    <row r="585" spans="1:20" x14ac:dyDescent="0.25">
      <c r="A585" s="5" t="s">
        <v>115</v>
      </c>
    </row>
    <row r="586" spans="1:20" x14ac:dyDescent="0.25">
      <c r="F586"/>
      <c r="G586"/>
      <c r="I586"/>
      <c r="K586"/>
    </row>
    <row r="587" spans="1:20" ht="28.5" customHeight="1" x14ac:dyDescent="0.25">
      <c r="D587" s="89" t="s">
        <v>108</v>
      </c>
      <c r="E587" s="90"/>
      <c r="F587" s="89" t="s">
        <v>109</v>
      </c>
      <c r="G587" s="90"/>
      <c r="H587" s="89" t="s">
        <v>113</v>
      </c>
      <c r="I587" s="90"/>
      <c r="J587" s="89" t="s">
        <v>100</v>
      </c>
      <c r="K587" s="90"/>
      <c r="L587" s="89" t="s">
        <v>110</v>
      </c>
      <c r="M587" s="90"/>
      <c r="O587"/>
      <c r="P587"/>
      <c r="T587" s="9"/>
    </row>
    <row r="588" spans="1:20" x14ac:dyDescent="0.25">
      <c r="B588" s="7" t="s">
        <v>0</v>
      </c>
      <c r="C588" s="7" t="s">
        <v>1</v>
      </c>
      <c r="D588" s="7" t="s">
        <v>2</v>
      </c>
      <c r="E588" s="10" t="s">
        <v>3</v>
      </c>
      <c r="F588" s="7" t="s">
        <v>2</v>
      </c>
      <c r="G588" s="10" t="s">
        <v>3</v>
      </c>
      <c r="H588" s="7" t="s">
        <v>2</v>
      </c>
      <c r="I588" s="10" t="s">
        <v>3</v>
      </c>
      <c r="J588" s="7" t="s">
        <v>2</v>
      </c>
      <c r="K588" s="10" t="s">
        <v>3</v>
      </c>
      <c r="L588" s="7" t="s">
        <v>2</v>
      </c>
      <c r="M588" s="10" t="s">
        <v>3</v>
      </c>
      <c r="O588"/>
      <c r="P588"/>
      <c r="T588" s="9"/>
    </row>
    <row r="589" spans="1:20" x14ac:dyDescent="0.25">
      <c r="E589"/>
      <c r="F589"/>
      <c r="G589"/>
      <c r="I589"/>
      <c r="K589"/>
      <c r="M589"/>
      <c r="O589"/>
      <c r="P589"/>
      <c r="T589" s="9"/>
    </row>
    <row r="590" spans="1:20" x14ac:dyDescent="0.25">
      <c r="B590" s="2" t="s">
        <v>5</v>
      </c>
      <c r="C590" s="2">
        <v>2024</v>
      </c>
      <c r="D590" s="1">
        <f t="shared" ref="D590:D601" si="453">+D357+F357+H357</f>
        <v>3194131</v>
      </c>
      <c r="E590" s="11">
        <f t="shared" ref="E590:E601" si="454">+E357+G357+I357</f>
        <v>215566866.10999995</v>
      </c>
      <c r="F590" s="1">
        <f t="shared" ref="F590:F601" si="455">+T378</f>
        <v>4610164</v>
      </c>
      <c r="G590" s="11">
        <f t="shared" ref="G590:G601" si="456">+U378</f>
        <v>697226134.97000003</v>
      </c>
      <c r="H590" s="1">
        <f>+D590+F590</f>
        <v>7804295</v>
      </c>
      <c r="I590" s="11">
        <f t="shared" ref="I590:I600" si="457">+E590+G590</f>
        <v>912793001.07999992</v>
      </c>
      <c r="J590" s="1">
        <f t="shared" ref="J590:J601" si="458">+J357+L357+N357+P357+R357</f>
        <v>10836742</v>
      </c>
      <c r="K590" s="11">
        <f t="shared" ref="K590:K601" si="459">+K357+M357+O357+Q357+S357</f>
        <v>1013228021.1799988</v>
      </c>
      <c r="L590" s="1">
        <f>H590+J590</f>
        <v>18641037</v>
      </c>
      <c r="M590" s="11">
        <f t="shared" ref="M590:M600" si="460">I590+K590</f>
        <v>1926021022.2599988</v>
      </c>
      <c r="N590" s="37">
        <f t="shared" ref="N590:N601" si="461">+L590-T378-T357</f>
        <v>0</v>
      </c>
      <c r="O590" s="13">
        <f t="shared" ref="O590:O601" si="462">+M590-U378-U357</f>
        <v>0</v>
      </c>
      <c r="P590"/>
      <c r="T590" s="9"/>
    </row>
    <row r="591" spans="1:20" x14ac:dyDescent="0.25">
      <c r="B591" s="2" t="s">
        <v>6</v>
      </c>
      <c r="C591" s="2">
        <v>2024</v>
      </c>
      <c r="D591" s="1">
        <f t="shared" si="453"/>
        <v>3250748</v>
      </c>
      <c r="E591" s="11">
        <f t="shared" si="454"/>
        <v>225224847.60000002</v>
      </c>
      <c r="F591" s="1">
        <f t="shared" si="455"/>
        <v>4436076</v>
      </c>
      <c r="G591" s="11">
        <f t="shared" si="456"/>
        <v>646524556.61000001</v>
      </c>
      <c r="H591" s="1">
        <f t="shared" ref="H591:H600" si="463">+D591+F591</f>
        <v>7686824</v>
      </c>
      <c r="I591" s="11">
        <f t="shared" si="457"/>
        <v>871749404.21000004</v>
      </c>
      <c r="J591" s="1">
        <f t="shared" si="458"/>
        <v>10919957</v>
      </c>
      <c r="K591" s="11">
        <f t="shared" si="459"/>
        <v>1043778175.0999988</v>
      </c>
      <c r="L591" s="1">
        <f t="shared" ref="L591:L600" si="464">H591+J591</f>
        <v>18606781</v>
      </c>
      <c r="M591" s="11">
        <f t="shared" si="460"/>
        <v>1915527579.309999</v>
      </c>
      <c r="N591" s="37">
        <f t="shared" si="461"/>
        <v>0</v>
      </c>
      <c r="O591" s="13">
        <f t="shared" si="462"/>
        <v>0</v>
      </c>
      <c r="P591"/>
      <c r="T591" s="9"/>
    </row>
    <row r="592" spans="1:20" x14ac:dyDescent="0.25">
      <c r="B592" s="2" t="s">
        <v>7</v>
      </c>
      <c r="C592" s="2">
        <v>2024</v>
      </c>
      <c r="D592" s="1">
        <f t="shared" si="453"/>
        <v>3249783</v>
      </c>
      <c r="E592" s="11">
        <f t="shared" si="454"/>
        <v>232833314.02000001</v>
      </c>
      <c r="F592" s="1">
        <f t="shared" si="455"/>
        <v>4900005</v>
      </c>
      <c r="G592" s="11">
        <f t="shared" si="456"/>
        <v>720003067.26999998</v>
      </c>
      <c r="H592" s="1">
        <f t="shared" si="463"/>
        <v>8149788</v>
      </c>
      <c r="I592" s="11">
        <f t="shared" si="457"/>
        <v>952836381.28999996</v>
      </c>
      <c r="J592" s="1">
        <f t="shared" si="458"/>
        <v>10777753</v>
      </c>
      <c r="K592" s="11">
        <f t="shared" si="459"/>
        <v>1058867137.0099994</v>
      </c>
      <c r="L592" s="1">
        <f t="shared" si="464"/>
        <v>18927541</v>
      </c>
      <c r="M592" s="11">
        <f t="shared" si="460"/>
        <v>2011703518.2999992</v>
      </c>
      <c r="N592" s="37">
        <f t="shared" si="461"/>
        <v>0</v>
      </c>
      <c r="O592" s="13">
        <f t="shared" si="462"/>
        <v>0</v>
      </c>
      <c r="P592"/>
      <c r="T592" s="9"/>
    </row>
    <row r="593" spans="2:22" x14ac:dyDescent="0.25">
      <c r="B593" s="2" t="s">
        <v>8</v>
      </c>
      <c r="C593" s="2">
        <v>2024</v>
      </c>
      <c r="D593" s="1">
        <f t="shared" si="453"/>
        <v>3482594</v>
      </c>
      <c r="E593" s="11">
        <f t="shared" si="454"/>
        <v>246131118.54999998</v>
      </c>
      <c r="F593" s="1">
        <f t="shared" si="455"/>
        <v>4987711</v>
      </c>
      <c r="G593" s="11">
        <f t="shared" si="456"/>
        <v>728251408.52999997</v>
      </c>
      <c r="H593" s="1">
        <f t="shared" si="463"/>
        <v>8470305</v>
      </c>
      <c r="I593" s="11">
        <f t="shared" si="457"/>
        <v>974382527.07999992</v>
      </c>
      <c r="J593" s="1">
        <f t="shared" si="458"/>
        <v>11434549</v>
      </c>
      <c r="K593" s="11">
        <f t="shared" si="459"/>
        <v>1101790907.8799992</v>
      </c>
      <c r="L593" s="1">
        <f t="shared" si="464"/>
        <v>19904854</v>
      </c>
      <c r="M593" s="11">
        <f t="shared" si="460"/>
        <v>2076173434.9599991</v>
      </c>
      <c r="N593" s="37">
        <f t="shared" si="461"/>
        <v>0</v>
      </c>
      <c r="O593" s="13">
        <f t="shared" si="462"/>
        <v>0</v>
      </c>
      <c r="P593"/>
      <c r="T593" s="9"/>
    </row>
    <row r="594" spans="2:22" x14ac:dyDescent="0.25">
      <c r="B594" s="2" t="s">
        <v>9</v>
      </c>
      <c r="C594" s="2">
        <v>2024</v>
      </c>
      <c r="D594" s="1">
        <f t="shared" si="453"/>
        <v>3470220</v>
      </c>
      <c r="E594" s="11">
        <f t="shared" si="454"/>
        <v>248351371.77000004</v>
      </c>
      <c r="F594" s="1">
        <f t="shared" si="455"/>
        <v>5192226</v>
      </c>
      <c r="G594" s="11">
        <f t="shared" si="456"/>
        <v>762765464.24000001</v>
      </c>
      <c r="H594" s="1">
        <f t="shared" si="463"/>
        <v>8662446</v>
      </c>
      <c r="I594" s="11">
        <f t="shared" si="457"/>
        <v>1011116836.01</v>
      </c>
      <c r="J594" s="1">
        <f t="shared" si="458"/>
        <v>11425531</v>
      </c>
      <c r="K594" s="11">
        <f t="shared" si="459"/>
        <v>1113523349.6600001</v>
      </c>
      <c r="L594" s="1">
        <f t="shared" si="464"/>
        <v>20087977</v>
      </c>
      <c r="M594" s="11">
        <f t="shared" si="460"/>
        <v>2124640185.6700001</v>
      </c>
      <c r="N594" s="37">
        <f t="shared" si="461"/>
        <v>0</v>
      </c>
      <c r="O594" s="13">
        <f t="shared" si="462"/>
        <v>0</v>
      </c>
      <c r="P594"/>
      <c r="T594" s="9"/>
    </row>
    <row r="595" spans="2:22" x14ac:dyDescent="0.25">
      <c r="B595" s="2" t="s">
        <v>10</v>
      </c>
      <c r="C595" s="2">
        <v>2024</v>
      </c>
      <c r="D595" s="1">
        <f t="shared" si="453"/>
        <v>3409804</v>
      </c>
      <c r="E595" s="11">
        <f t="shared" si="454"/>
        <v>244865784.63</v>
      </c>
      <c r="F595" s="1">
        <f t="shared" si="455"/>
        <v>4539420</v>
      </c>
      <c r="G595" s="11">
        <f t="shared" si="456"/>
        <v>725673297.04999995</v>
      </c>
      <c r="H595" s="1">
        <f t="shared" si="463"/>
        <v>7949224</v>
      </c>
      <c r="I595" s="11">
        <f t="shared" si="457"/>
        <v>970539081.67999995</v>
      </c>
      <c r="J595" s="1">
        <f t="shared" si="458"/>
        <v>11162360</v>
      </c>
      <c r="K595" s="11">
        <f t="shared" si="459"/>
        <v>1111380122.509989</v>
      </c>
      <c r="L595" s="1">
        <f t="shared" si="464"/>
        <v>19111584</v>
      </c>
      <c r="M595" s="11">
        <f t="shared" si="460"/>
        <v>2081919204.1899891</v>
      </c>
      <c r="N595" s="37">
        <f t="shared" si="461"/>
        <v>0</v>
      </c>
      <c r="O595" s="13">
        <f t="shared" si="462"/>
        <v>0</v>
      </c>
      <c r="P595"/>
      <c r="T595" s="9"/>
    </row>
    <row r="596" spans="2:22" x14ac:dyDescent="0.25">
      <c r="B596" s="2" t="s">
        <v>11</v>
      </c>
      <c r="C596" s="2">
        <v>2024</v>
      </c>
      <c r="D596" s="1">
        <f t="shared" si="453"/>
        <v>3510039</v>
      </c>
      <c r="E596" s="11">
        <f t="shared" si="454"/>
        <v>259448866.27000001</v>
      </c>
      <c r="F596" s="1">
        <f t="shared" si="455"/>
        <v>5177139</v>
      </c>
      <c r="G596" s="11">
        <f t="shared" si="456"/>
        <v>766493079.21000004</v>
      </c>
      <c r="H596" s="1">
        <f t="shared" si="463"/>
        <v>8687178</v>
      </c>
      <c r="I596" s="11">
        <f t="shared" si="457"/>
        <v>1025941945.48</v>
      </c>
      <c r="J596" s="1">
        <f t="shared" si="458"/>
        <v>11772663</v>
      </c>
      <c r="K596" s="11">
        <f t="shared" si="459"/>
        <v>1186102302.1499994</v>
      </c>
      <c r="L596" s="1">
        <f t="shared" si="464"/>
        <v>20459841</v>
      </c>
      <c r="M596" s="11">
        <f t="shared" si="460"/>
        <v>2212044247.6299992</v>
      </c>
      <c r="N596" s="37">
        <f t="shared" si="461"/>
        <v>0</v>
      </c>
      <c r="O596" s="13">
        <f t="shared" si="462"/>
        <v>0</v>
      </c>
      <c r="P596"/>
      <c r="T596" s="9"/>
    </row>
    <row r="597" spans="2:22" x14ac:dyDescent="0.25">
      <c r="B597" s="2" t="s">
        <v>4</v>
      </c>
      <c r="C597" s="2">
        <v>2024</v>
      </c>
      <c r="D597" s="1">
        <f t="shared" si="453"/>
        <v>3775759</v>
      </c>
      <c r="E597" s="11">
        <f t="shared" si="454"/>
        <v>273858830.18000001</v>
      </c>
      <c r="F597" s="1">
        <f t="shared" si="455"/>
        <v>5268790</v>
      </c>
      <c r="G597" s="11">
        <f t="shared" si="456"/>
        <v>781898379.69000006</v>
      </c>
      <c r="H597" s="1">
        <f t="shared" si="463"/>
        <v>9044549</v>
      </c>
      <c r="I597" s="11">
        <f t="shared" si="457"/>
        <v>1055757209.8700001</v>
      </c>
      <c r="J597" s="1">
        <f t="shared" si="458"/>
        <v>12473743</v>
      </c>
      <c r="K597" s="11">
        <f t="shared" si="459"/>
        <v>1223054718.6499996</v>
      </c>
      <c r="L597" s="1">
        <f t="shared" si="464"/>
        <v>21518292</v>
      </c>
      <c r="M597" s="11">
        <f t="shared" si="460"/>
        <v>2278811928.5199995</v>
      </c>
      <c r="N597" s="37">
        <f t="shared" si="461"/>
        <v>0</v>
      </c>
      <c r="O597" s="13">
        <f t="shared" si="462"/>
        <v>0</v>
      </c>
      <c r="P597"/>
      <c r="T597" s="9"/>
    </row>
    <row r="598" spans="2:22" x14ac:dyDescent="0.25">
      <c r="B598" s="2" t="s">
        <v>28</v>
      </c>
      <c r="C598" s="2">
        <v>2024</v>
      </c>
      <c r="D598" s="1">
        <f t="shared" si="453"/>
        <v>3552279</v>
      </c>
      <c r="E598" s="11">
        <f t="shared" si="454"/>
        <v>257450190.32999998</v>
      </c>
      <c r="F598" s="1">
        <f t="shared" si="455"/>
        <v>5019021</v>
      </c>
      <c r="G598" s="11">
        <f t="shared" si="456"/>
        <v>731477041.91000009</v>
      </c>
      <c r="H598" s="1">
        <f t="shared" si="463"/>
        <v>8571300</v>
      </c>
      <c r="I598" s="11">
        <f t="shared" si="457"/>
        <v>988927232.24000001</v>
      </c>
      <c r="J598" s="1">
        <f t="shared" si="458"/>
        <v>11698602</v>
      </c>
      <c r="K598" s="11">
        <f t="shared" si="459"/>
        <v>1155734938.7299995</v>
      </c>
      <c r="L598" s="1">
        <f t="shared" si="464"/>
        <v>20269902</v>
      </c>
      <c r="M598" s="11">
        <f t="shared" si="460"/>
        <v>2144662170.9699996</v>
      </c>
      <c r="N598" s="37">
        <f t="shared" si="461"/>
        <v>0</v>
      </c>
      <c r="O598" s="13">
        <f t="shared" si="462"/>
        <v>0</v>
      </c>
      <c r="P598"/>
      <c r="T598" s="9"/>
    </row>
    <row r="599" spans="2:22" x14ac:dyDescent="0.25">
      <c r="B599" s="2" t="s">
        <v>29</v>
      </c>
      <c r="C599" s="2">
        <v>2024</v>
      </c>
      <c r="D599" s="1">
        <f t="shared" si="453"/>
        <v>3828837</v>
      </c>
      <c r="E599" s="11">
        <f t="shared" si="454"/>
        <v>275756531.14999998</v>
      </c>
      <c r="F599" s="1">
        <f t="shared" si="455"/>
        <v>5327429</v>
      </c>
      <c r="G599" s="11">
        <f t="shared" si="456"/>
        <v>781567407.73000002</v>
      </c>
      <c r="H599" s="1">
        <f t="shared" si="463"/>
        <v>9156266</v>
      </c>
      <c r="I599" s="11">
        <f t="shared" si="457"/>
        <v>1057323938.88</v>
      </c>
      <c r="J599" s="1">
        <f t="shared" si="458"/>
        <v>12597285</v>
      </c>
      <c r="K599" s="11">
        <f t="shared" si="459"/>
        <v>1231939602.4599993</v>
      </c>
      <c r="L599" s="1">
        <f t="shared" si="464"/>
        <v>21753551</v>
      </c>
      <c r="M599" s="11">
        <f t="shared" si="460"/>
        <v>2289263541.3399992</v>
      </c>
      <c r="N599" s="37">
        <f t="shared" si="461"/>
        <v>0</v>
      </c>
      <c r="O599" s="13">
        <f t="shared" si="462"/>
        <v>0</v>
      </c>
      <c r="P599"/>
      <c r="T599" s="9"/>
    </row>
    <row r="600" spans="2:22" x14ac:dyDescent="0.25">
      <c r="B600" s="2" t="s">
        <v>30</v>
      </c>
      <c r="C600" s="2">
        <v>2024</v>
      </c>
      <c r="D600" s="1">
        <f t="shared" si="453"/>
        <v>3579360</v>
      </c>
      <c r="E600" s="11">
        <f t="shared" si="454"/>
        <v>255716435.41000003</v>
      </c>
      <c r="F600" s="1">
        <f t="shared" si="455"/>
        <v>5373826</v>
      </c>
      <c r="G600" s="11">
        <f t="shared" si="456"/>
        <v>779719939.74000001</v>
      </c>
      <c r="H600" s="1">
        <f t="shared" si="463"/>
        <v>8953186</v>
      </c>
      <c r="I600" s="11">
        <f t="shared" si="457"/>
        <v>1035436375.1500001</v>
      </c>
      <c r="J600" s="1">
        <f t="shared" si="458"/>
        <v>12113208</v>
      </c>
      <c r="K600" s="11">
        <f t="shared" si="459"/>
        <v>1202049588.0700002</v>
      </c>
      <c r="L600" s="1">
        <f t="shared" si="464"/>
        <v>21066394</v>
      </c>
      <c r="M600" s="11">
        <f t="shared" si="460"/>
        <v>2237485963.2200003</v>
      </c>
      <c r="N600" s="37">
        <f t="shared" si="461"/>
        <v>0</v>
      </c>
      <c r="O600" s="13">
        <f t="shared" si="462"/>
        <v>0</v>
      </c>
      <c r="P600"/>
      <c r="T600" s="9"/>
    </row>
    <row r="601" spans="2:22" x14ac:dyDescent="0.25">
      <c r="B601" s="2" t="s">
        <v>31</v>
      </c>
      <c r="C601" s="2">
        <v>2024</v>
      </c>
      <c r="D601" s="1">
        <f t="shared" si="453"/>
        <v>3651607</v>
      </c>
      <c r="E601" s="11">
        <f t="shared" si="454"/>
        <v>272230751.57999998</v>
      </c>
      <c r="F601" s="1">
        <f t="shared" si="455"/>
        <v>5601893</v>
      </c>
      <c r="G601" s="11">
        <f t="shared" si="456"/>
        <v>808118612.81999993</v>
      </c>
      <c r="H601" s="1">
        <f t="shared" ref="H601" si="465">+D601+F601</f>
        <v>9253500</v>
      </c>
      <c r="I601" s="11">
        <f t="shared" ref="I601" si="466">+E601+G601</f>
        <v>1080349364.3999999</v>
      </c>
      <c r="J601" s="1">
        <f t="shared" si="458"/>
        <v>11834350</v>
      </c>
      <c r="K601" s="11">
        <f t="shared" si="459"/>
        <v>1215402216.319994</v>
      </c>
      <c r="L601" s="1">
        <f t="shared" ref="L601" si="467">H601+J601</f>
        <v>21087850</v>
      </c>
      <c r="M601" s="11">
        <f t="shared" ref="M601" si="468">I601+K601</f>
        <v>2295751580.7199936</v>
      </c>
      <c r="N601" s="37">
        <f t="shared" si="461"/>
        <v>0</v>
      </c>
      <c r="O601" s="13">
        <f t="shared" si="462"/>
        <v>0</v>
      </c>
      <c r="P601"/>
      <c r="T601" s="9"/>
    </row>
    <row r="602" spans="2:22" x14ac:dyDescent="0.25">
      <c r="E602"/>
      <c r="F602"/>
      <c r="G602"/>
      <c r="I602"/>
      <c r="K602"/>
      <c r="M602"/>
      <c r="N602" s="37"/>
      <c r="O602" s="13"/>
      <c r="P602"/>
      <c r="T602" s="9"/>
    </row>
    <row r="603" spans="2:22" x14ac:dyDescent="0.25">
      <c r="B603" s="88" t="s">
        <v>12</v>
      </c>
      <c r="C603" s="88"/>
      <c r="D603" s="4">
        <f>SUM(D590:D602)</f>
        <v>41955161</v>
      </c>
      <c r="E603" s="12">
        <f>SUM(E590:E602)</f>
        <v>3007434907.5999999</v>
      </c>
      <c r="F603" s="4">
        <f t="shared" ref="F603:M603" si="469">SUM(F590:F602)</f>
        <v>60433700</v>
      </c>
      <c r="G603" s="12">
        <f t="shared" si="469"/>
        <v>8929718389.7699986</v>
      </c>
      <c r="H603" s="4">
        <f t="shared" si="469"/>
        <v>102388861</v>
      </c>
      <c r="I603" s="12">
        <f t="shared" si="469"/>
        <v>11937153297.369999</v>
      </c>
      <c r="J603" s="4">
        <f t="shared" si="469"/>
        <v>139046743</v>
      </c>
      <c r="K603" s="12">
        <f t="shared" si="469"/>
        <v>13656851079.719976</v>
      </c>
      <c r="L603" s="4">
        <f t="shared" si="469"/>
        <v>241435604</v>
      </c>
      <c r="M603" s="12">
        <f t="shared" si="469"/>
        <v>25594004377.089981</v>
      </c>
      <c r="O603"/>
      <c r="P603"/>
      <c r="T603" s="9"/>
    </row>
    <row r="604" spans="2:22" x14ac:dyDescent="0.25">
      <c r="H604" s="78"/>
      <c r="J604" s="9"/>
      <c r="P604"/>
      <c r="R604"/>
      <c r="T604" s="9"/>
      <c r="V604" s="9"/>
    </row>
    <row r="605" spans="2:22" x14ac:dyDescent="0.25">
      <c r="E605"/>
      <c r="F605" s="88" t="s">
        <v>111</v>
      </c>
      <c r="G605" s="88"/>
      <c r="H605" s="4">
        <f t="shared" ref="H605:M605" si="470">AVERAGE(H590:H601)</f>
        <v>8532405.083333334</v>
      </c>
      <c r="I605" s="12">
        <f t="shared" si="470"/>
        <v>994762774.78083324</v>
      </c>
      <c r="J605" s="4">
        <f t="shared" si="470"/>
        <v>11587228.583333334</v>
      </c>
      <c r="K605" s="12">
        <f t="shared" si="470"/>
        <v>1138070923.309998</v>
      </c>
      <c r="L605" s="4">
        <f t="shared" si="470"/>
        <v>20119633.666666668</v>
      </c>
      <c r="M605" s="12">
        <f t="shared" si="470"/>
        <v>2132833698.0908318</v>
      </c>
      <c r="O605"/>
      <c r="P605"/>
      <c r="T605" s="9"/>
    </row>
    <row r="606" spans="2:22" x14ac:dyDescent="0.25">
      <c r="E606"/>
      <c r="H606" s="9"/>
      <c r="P606"/>
      <c r="T606" s="9"/>
    </row>
    <row r="607" spans="2:22" x14ac:dyDescent="0.25">
      <c r="H607" s="9"/>
      <c r="J607" s="9"/>
      <c r="P607"/>
      <c r="R607"/>
      <c r="T607" s="9"/>
      <c r="V607" s="9"/>
    </row>
    <row r="608" spans="2:22" x14ac:dyDescent="0.25">
      <c r="H608" s="9"/>
      <c r="J608" s="9"/>
      <c r="P608"/>
      <c r="R608"/>
      <c r="T608" s="9"/>
      <c r="V608" s="9"/>
    </row>
    <row r="609" spans="8:22" x14ac:dyDescent="0.25">
      <c r="H609" s="9"/>
      <c r="J609" s="9"/>
      <c r="P609"/>
      <c r="R609"/>
      <c r="T609" s="9"/>
      <c r="V609" s="9"/>
    </row>
    <row r="610" spans="8:22" x14ac:dyDescent="0.25">
      <c r="H610" s="9"/>
      <c r="J610" s="9"/>
      <c r="P610"/>
      <c r="R610"/>
      <c r="T610" s="9"/>
      <c r="V610" s="9"/>
    </row>
  </sheetData>
  <autoFilter ref="A6:AQ601" xr:uid="{025CF1B5-CE8E-41C9-8676-B577D26C40A8}"/>
  <mergeCells count="343"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AE311:AF311"/>
    <mergeCell ref="D290:E290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G354:AH354"/>
    <mergeCell ref="AI354:AJ354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N375:O375"/>
    <mergeCell ref="P375:Q375"/>
    <mergeCell ref="R375:S375"/>
    <mergeCell ref="AK354:AL354"/>
    <mergeCell ref="AM354:AN354"/>
    <mergeCell ref="AS355:AT355"/>
    <mergeCell ref="D375:E375"/>
    <mergeCell ref="F375:G375"/>
    <mergeCell ref="H375:I375"/>
    <mergeCell ref="J375:K375"/>
    <mergeCell ref="L375:M375"/>
    <mergeCell ref="P354:Q354"/>
    <mergeCell ref="R354:S354"/>
    <mergeCell ref="T354:U354"/>
    <mergeCell ref="AA354:AB354"/>
    <mergeCell ref="AC354:AD354"/>
    <mergeCell ref="AE354:AF354"/>
    <mergeCell ref="T375:U375"/>
    <mergeCell ref="D354:E354"/>
    <mergeCell ref="F354:G354"/>
    <mergeCell ref="H354:I354"/>
    <mergeCell ref="J354:K354"/>
    <mergeCell ref="L354:M354"/>
    <mergeCell ref="N354:O354"/>
    <mergeCell ref="B434:C434"/>
    <mergeCell ref="D439:E439"/>
    <mergeCell ref="F439:G439"/>
    <mergeCell ref="H439:I439"/>
    <mergeCell ref="J439:K439"/>
    <mergeCell ref="L439:M439"/>
    <mergeCell ref="D397:E397"/>
    <mergeCell ref="F397:G397"/>
    <mergeCell ref="H397:I397"/>
    <mergeCell ref="J397:K397"/>
    <mergeCell ref="L397:M397"/>
    <mergeCell ref="B413:C413"/>
    <mergeCell ref="D418:E418"/>
    <mergeCell ref="F418:G418"/>
    <mergeCell ref="H418:I418"/>
    <mergeCell ref="J418:K418"/>
    <mergeCell ref="L418:M418"/>
    <mergeCell ref="B476:C476"/>
    <mergeCell ref="D481:E481"/>
    <mergeCell ref="F481:G481"/>
    <mergeCell ref="H481:I481"/>
    <mergeCell ref="J481:K481"/>
    <mergeCell ref="L481:M481"/>
    <mergeCell ref="B455:C455"/>
    <mergeCell ref="D460:E460"/>
    <mergeCell ref="F460:G460"/>
    <mergeCell ref="H460:I460"/>
    <mergeCell ref="J460:K460"/>
    <mergeCell ref="L460:M460"/>
    <mergeCell ref="F523:G523"/>
    <mergeCell ref="H523:I523"/>
    <mergeCell ref="J523:K523"/>
    <mergeCell ref="L523:M523"/>
    <mergeCell ref="B497:C497"/>
    <mergeCell ref="D502:E502"/>
    <mergeCell ref="F502:G502"/>
    <mergeCell ref="H502:I502"/>
    <mergeCell ref="J502:K502"/>
    <mergeCell ref="L502:M502"/>
    <mergeCell ref="AE332:AF332"/>
    <mergeCell ref="AG332:AH332"/>
    <mergeCell ref="AI332:AJ332"/>
    <mergeCell ref="AK332:AL332"/>
    <mergeCell ref="AM332:AN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D587:E587"/>
    <mergeCell ref="F587:G587"/>
    <mergeCell ref="J587:K587"/>
    <mergeCell ref="L587:M587"/>
    <mergeCell ref="B603:C603"/>
    <mergeCell ref="F605:G605"/>
    <mergeCell ref="H587:I587"/>
    <mergeCell ref="AA332:AB332"/>
    <mergeCell ref="AC332:AD332"/>
    <mergeCell ref="B581:C581"/>
    <mergeCell ref="B560:C560"/>
    <mergeCell ref="D565:E565"/>
    <mergeCell ref="F565:G565"/>
    <mergeCell ref="H565:I565"/>
    <mergeCell ref="J565:K565"/>
    <mergeCell ref="L565:M565"/>
    <mergeCell ref="B539:C539"/>
    <mergeCell ref="D544:E544"/>
    <mergeCell ref="F544:G544"/>
    <mergeCell ref="H544:I544"/>
    <mergeCell ref="J544:K544"/>
    <mergeCell ref="L544:M544"/>
    <mergeCell ref="B518:C518"/>
    <mergeCell ref="D523:E523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F5F-D312-4629-A814-8DE76EC99B4A}">
  <dimension ref="A2:BC652"/>
  <sheetViews>
    <sheetView showGridLines="0" zoomScale="55" zoomScaleNormal="55" workbookViewId="0">
      <pane ySplit="6" topLeftCell="A353" activePane="bottomLeft" state="frozen"/>
      <selection pane="bottomLeft" activeCell="R375" activeCellId="1" sqref="B375:C391 R375:S391"/>
    </sheetView>
  </sheetViews>
  <sheetFormatPr baseColWidth="10" defaultColWidth="11" defaultRowHeight="15" x14ac:dyDescent="0.25"/>
  <cols>
    <col min="1" max="1" width="15.5703125" bestFit="1" customWidth="1"/>
    <col min="2" max="2" width="18.28515625" customWidth="1"/>
    <col min="3" max="3" width="19.7109375" customWidth="1"/>
    <col min="4" max="4" width="15.7109375" bestFit="1" customWidth="1"/>
    <col min="5" max="5" width="26.85546875" style="9" customWidth="1"/>
    <col min="6" max="6" width="18.5703125" style="9" bestFit="1" customWidth="1"/>
    <col min="7" max="7" width="28" style="9" bestFit="1" customWidth="1"/>
    <col min="8" max="8" width="16.28515625" bestFit="1" customWidth="1"/>
    <col min="9" max="9" width="28" style="9" bestFit="1" customWidth="1"/>
    <col min="10" max="10" width="16.7109375" bestFit="1" customWidth="1"/>
    <col min="11" max="11" width="28" style="9" bestFit="1" customWidth="1"/>
    <col min="12" max="12" width="16.28515625" bestFit="1" customWidth="1"/>
    <col min="13" max="13" width="29" style="9" bestFit="1" customWidth="1"/>
    <col min="14" max="14" width="13.85546875" bestFit="1" customWidth="1"/>
    <col min="15" max="15" width="26.85546875" style="9" customWidth="1"/>
    <col min="16" max="16" width="15.140625" style="9" bestFit="1" customWidth="1"/>
    <col min="17" max="17" width="26.85546875" style="9" customWidth="1"/>
    <col min="18" max="18" width="17.85546875" style="9" bestFit="1" customWidth="1"/>
    <col min="19" max="19" width="26.85546875" style="9" customWidth="1"/>
    <col min="20" max="20" width="16.7109375" bestFit="1" customWidth="1"/>
    <col min="21" max="21" width="28.7109375" style="9" bestFit="1" customWidth="1"/>
    <col min="22" max="22" width="18.85546875" customWidth="1"/>
    <col min="23" max="23" width="26.85546875" customWidth="1"/>
    <col min="24" max="24" width="17.42578125" customWidth="1"/>
    <col min="25" max="25" width="28" bestFit="1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87</v>
      </c>
      <c r="S5" s="93"/>
      <c r="T5" s="89" t="s">
        <v>12</v>
      </c>
      <c r="U5" s="93"/>
      <c r="AA5" s="89" t="s">
        <v>69</v>
      </c>
      <c r="AB5" s="90"/>
      <c r="AC5" s="89" t="s">
        <v>17</v>
      </c>
      <c r="AD5" s="93"/>
      <c r="AE5" s="89" t="s">
        <v>18</v>
      </c>
      <c r="AF5" s="93"/>
      <c r="AG5" s="89" t="s">
        <v>13</v>
      </c>
      <c r="AH5" s="93"/>
      <c r="AI5" s="89" t="s">
        <v>34</v>
      </c>
      <c r="AJ5" s="93"/>
      <c r="AK5" s="89" t="s">
        <v>87</v>
      </c>
      <c r="AL5" s="93"/>
      <c r="AM5" s="89" t="s">
        <v>12</v>
      </c>
      <c r="AN5" s="93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2025</v>
      </c>
      <c r="D8" s="1">
        <v>439986</v>
      </c>
      <c r="E8" s="11">
        <v>25129380.259999998</v>
      </c>
      <c r="F8" s="1">
        <v>287136</v>
      </c>
      <c r="G8" s="11">
        <v>16107589.549999999</v>
      </c>
      <c r="H8" s="1">
        <v>6139</v>
      </c>
      <c r="I8" s="11">
        <v>357570.20999999985</v>
      </c>
      <c r="J8" s="1">
        <v>2188129</v>
      </c>
      <c r="K8" s="11">
        <v>123865844.21999943</v>
      </c>
      <c r="L8" s="1">
        <v>12209</v>
      </c>
      <c r="M8" s="11">
        <v>711317.47999999986</v>
      </c>
      <c r="N8" s="1">
        <v>16856</v>
      </c>
      <c r="O8" s="11">
        <v>877472.66</v>
      </c>
      <c r="P8" s="1">
        <v>25</v>
      </c>
      <c r="Q8" s="11">
        <v>729.41000000000042</v>
      </c>
      <c r="R8" s="1">
        <v>11617</v>
      </c>
      <c r="S8" s="11">
        <v>682646.95000000019</v>
      </c>
      <c r="T8" s="53">
        <f t="shared" ref="T8:T19" si="0">N8+L8+J8+H8+D8+P8+F8+R8</f>
        <v>2962097</v>
      </c>
      <c r="U8" s="54">
        <f t="shared" ref="U8:U19" si="1">O8+M8+K8+I8+E8+Q8+G8+S8</f>
        <v>167732550.73999941</v>
      </c>
      <c r="V8" s="2" t="s">
        <v>56</v>
      </c>
      <c r="Y8" s="2" t="s">
        <v>5</v>
      </c>
      <c r="Z8" s="2">
        <v>2025</v>
      </c>
      <c r="AA8" s="1">
        <f t="shared" ref="AA8:AA19" si="2">D8+H8+F8</f>
        <v>733261</v>
      </c>
      <c r="AB8" s="11">
        <f t="shared" ref="AB8:AB19" si="3">E8+I8+G8</f>
        <v>41594540.019999996</v>
      </c>
      <c r="AC8" s="1">
        <f t="shared" ref="AC8:AL19" si="4">+J8</f>
        <v>2188129</v>
      </c>
      <c r="AD8" s="11">
        <f t="shared" si="4"/>
        <v>123865844.21999943</v>
      </c>
      <c r="AE8" s="8">
        <f t="shared" si="4"/>
        <v>12209</v>
      </c>
      <c r="AF8" s="11">
        <f t="shared" si="4"/>
        <v>711317.47999999986</v>
      </c>
      <c r="AG8" s="8">
        <f t="shared" si="4"/>
        <v>16856</v>
      </c>
      <c r="AH8" s="11">
        <f t="shared" si="4"/>
        <v>877472.66</v>
      </c>
      <c r="AI8" s="8">
        <f t="shared" si="4"/>
        <v>25</v>
      </c>
      <c r="AJ8" s="11">
        <f t="shared" si="4"/>
        <v>729.41000000000042</v>
      </c>
      <c r="AK8" s="11">
        <f t="shared" si="4"/>
        <v>11617</v>
      </c>
      <c r="AL8" s="11">
        <f t="shared" si="4"/>
        <v>682646.95000000019</v>
      </c>
      <c r="AM8" s="8">
        <f>AI8+AG8+AE8+AC8+AA8+AK8</f>
        <v>2962097</v>
      </c>
      <c r="AN8" s="11">
        <f t="shared" ref="AN8:AN19" si="5">AJ8+AH8+AF8+AD8+AB8+AL8</f>
        <v>167732550.73999941</v>
      </c>
      <c r="AO8" s="2" t="str">
        <f t="shared" ref="AO8:AO19" si="6">+V8</f>
        <v>AUNORTE</v>
      </c>
      <c r="AP8" s="37">
        <f t="shared" ref="AP8:AQ19" si="7">+AM8-T8</f>
        <v>0</v>
      </c>
      <c r="AQ8" s="37">
        <f t="shared" si="7"/>
        <v>0</v>
      </c>
    </row>
    <row r="9" spans="1:43" x14ac:dyDescent="0.25">
      <c r="B9" s="2" t="s">
        <v>6</v>
      </c>
      <c r="C9" s="2">
        <v>2025</v>
      </c>
      <c r="D9" s="1">
        <v>424104</v>
      </c>
      <c r="E9" s="11">
        <v>26305044.279999997</v>
      </c>
      <c r="F9" s="1">
        <v>295824</v>
      </c>
      <c r="G9" s="11">
        <v>18021050.719999999</v>
      </c>
      <c r="H9" s="1">
        <v>6048</v>
      </c>
      <c r="I9" s="11">
        <v>382291</v>
      </c>
      <c r="J9" s="1">
        <v>2134740</v>
      </c>
      <c r="K9" s="11">
        <v>131371348.88999785</v>
      </c>
      <c r="L9" s="1">
        <v>12097</v>
      </c>
      <c r="M9" s="11">
        <v>754904.6100000001</v>
      </c>
      <c r="N9" s="1">
        <v>16454</v>
      </c>
      <c r="O9" s="11">
        <v>928476.71000000008</v>
      </c>
      <c r="P9" s="1">
        <v>24</v>
      </c>
      <c r="Q9" s="11">
        <v>519.20000000000005</v>
      </c>
      <c r="R9" s="1">
        <v>12427</v>
      </c>
      <c r="S9" s="11">
        <v>777942.92999999982</v>
      </c>
      <c r="T9" s="53">
        <f t="shared" si="0"/>
        <v>2901718</v>
      </c>
      <c r="U9" s="54">
        <f t="shared" si="1"/>
        <v>178541578.33999786</v>
      </c>
      <c r="V9" s="2" t="s">
        <v>56</v>
      </c>
      <c r="Y9" s="2" t="s">
        <v>6</v>
      </c>
      <c r="Z9" s="2">
        <v>2025</v>
      </c>
      <c r="AA9" s="1">
        <f t="shared" si="2"/>
        <v>725976</v>
      </c>
      <c r="AB9" s="11">
        <f t="shared" si="3"/>
        <v>44708386</v>
      </c>
      <c r="AC9" s="1">
        <f t="shared" si="4"/>
        <v>2134740</v>
      </c>
      <c r="AD9" s="11">
        <f t="shared" si="4"/>
        <v>131371348.88999785</v>
      </c>
      <c r="AE9" s="8">
        <f t="shared" si="4"/>
        <v>12097</v>
      </c>
      <c r="AF9" s="11">
        <f t="shared" si="4"/>
        <v>754904.6100000001</v>
      </c>
      <c r="AG9" s="8">
        <f t="shared" si="4"/>
        <v>16454</v>
      </c>
      <c r="AH9" s="11">
        <f t="shared" si="4"/>
        <v>928476.71000000008</v>
      </c>
      <c r="AI9" s="8">
        <f t="shared" si="4"/>
        <v>24</v>
      </c>
      <c r="AJ9" s="11">
        <f t="shared" si="4"/>
        <v>519.20000000000005</v>
      </c>
      <c r="AK9" s="11">
        <f t="shared" si="4"/>
        <v>12427</v>
      </c>
      <c r="AL9" s="11">
        <f t="shared" si="4"/>
        <v>777942.92999999982</v>
      </c>
      <c r="AM9" s="8">
        <f t="shared" ref="AM9:AM19" si="8">AI9+AG9+AE9+AC9+AA9+AK9</f>
        <v>2901718</v>
      </c>
      <c r="AN9" s="11">
        <f t="shared" si="5"/>
        <v>178541578.33999786</v>
      </c>
      <c r="AO9" s="2" t="str">
        <f t="shared" si="6"/>
        <v>AUNORTE</v>
      </c>
      <c r="AP9" s="37">
        <f t="shared" si="7"/>
        <v>0</v>
      </c>
      <c r="AQ9" s="37">
        <f t="shared" si="7"/>
        <v>0</v>
      </c>
    </row>
    <row r="10" spans="1:43" x14ac:dyDescent="0.25">
      <c r="B10" s="2" t="s">
        <v>7</v>
      </c>
      <c r="C10" s="2">
        <v>2025</v>
      </c>
      <c r="D10" s="1">
        <v>460712</v>
      </c>
      <c r="E10" s="11">
        <v>28669876.659999989</v>
      </c>
      <c r="F10" s="1">
        <v>311459</v>
      </c>
      <c r="G10" s="11">
        <v>19017423.899999999</v>
      </c>
      <c r="H10" s="1">
        <v>16712</v>
      </c>
      <c r="I10" s="11">
        <v>1045685.7700000003</v>
      </c>
      <c r="J10" s="1">
        <v>2301464</v>
      </c>
      <c r="K10" s="11">
        <v>142050453.00999999</v>
      </c>
      <c r="L10" s="1">
        <v>12944</v>
      </c>
      <c r="M10" s="11">
        <v>819855.10000000009</v>
      </c>
      <c r="N10" s="1">
        <v>17764</v>
      </c>
      <c r="O10" s="11">
        <v>1011238.5499999999</v>
      </c>
      <c r="P10" s="1">
        <v>32</v>
      </c>
      <c r="Q10" s="11">
        <v>633.21</v>
      </c>
      <c r="R10" s="1">
        <v>14191</v>
      </c>
      <c r="S10" s="11">
        <v>899554.59999999974</v>
      </c>
      <c r="T10" s="53">
        <f t="shared" si="0"/>
        <v>3135278</v>
      </c>
      <c r="U10" s="54">
        <f t="shared" si="1"/>
        <v>193514720.80000001</v>
      </c>
      <c r="V10" s="2" t="s">
        <v>56</v>
      </c>
      <c r="Y10" s="2" t="s">
        <v>7</v>
      </c>
      <c r="Z10" s="2">
        <v>2025</v>
      </c>
      <c r="AA10" s="1">
        <f t="shared" si="2"/>
        <v>788883</v>
      </c>
      <c r="AB10" s="11">
        <f t="shared" si="3"/>
        <v>48732986.329999983</v>
      </c>
      <c r="AC10" s="1">
        <f t="shared" si="4"/>
        <v>2301464</v>
      </c>
      <c r="AD10" s="11">
        <f t="shared" si="4"/>
        <v>142050453.00999999</v>
      </c>
      <c r="AE10" s="8">
        <f t="shared" si="4"/>
        <v>12944</v>
      </c>
      <c r="AF10" s="11">
        <f t="shared" si="4"/>
        <v>819855.10000000009</v>
      </c>
      <c r="AG10" s="8">
        <f t="shared" si="4"/>
        <v>17764</v>
      </c>
      <c r="AH10" s="11">
        <f t="shared" si="4"/>
        <v>1011238.5499999999</v>
      </c>
      <c r="AI10" s="8">
        <f t="shared" si="4"/>
        <v>32</v>
      </c>
      <c r="AJ10" s="11">
        <f t="shared" si="4"/>
        <v>633.21</v>
      </c>
      <c r="AK10" s="11">
        <f t="shared" si="4"/>
        <v>14191</v>
      </c>
      <c r="AL10" s="11">
        <f t="shared" si="4"/>
        <v>899554.59999999974</v>
      </c>
      <c r="AM10" s="8">
        <f t="shared" si="8"/>
        <v>3135278</v>
      </c>
      <c r="AN10" s="11">
        <f t="shared" si="5"/>
        <v>193514720.79999998</v>
      </c>
      <c r="AO10" s="2" t="str">
        <f t="shared" si="6"/>
        <v>AUNORTE</v>
      </c>
      <c r="AP10" s="37">
        <f t="shared" si="7"/>
        <v>0</v>
      </c>
      <c r="AQ10" s="37">
        <f t="shared" si="7"/>
        <v>0</v>
      </c>
    </row>
    <row r="11" spans="1:43" x14ac:dyDescent="0.25">
      <c r="B11" s="2" t="s">
        <v>8</v>
      </c>
      <c r="C11" s="2">
        <v>2025</v>
      </c>
      <c r="D11" s="1">
        <v>425969</v>
      </c>
      <c r="E11" s="11">
        <v>26572426.43</v>
      </c>
      <c r="F11" s="1">
        <v>283777</v>
      </c>
      <c r="G11" s="11">
        <v>17258972.799999997</v>
      </c>
      <c r="H11" s="1">
        <v>14354</v>
      </c>
      <c r="I11" s="11">
        <v>905700.23999999987</v>
      </c>
      <c r="J11" s="1">
        <v>2086028</v>
      </c>
      <c r="K11" s="11">
        <v>129127368.49999999</v>
      </c>
      <c r="L11" s="1">
        <v>11744</v>
      </c>
      <c r="M11" s="11">
        <v>743898.10999999987</v>
      </c>
      <c r="N11" s="1">
        <v>15932</v>
      </c>
      <c r="O11" s="11">
        <v>911281.17999999993</v>
      </c>
      <c r="P11" s="1">
        <v>26</v>
      </c>
      <c r="Q11" s="11">
        <v>568.31999999999994</v>
      </c>
      <c r="R11" s="1">
        <v>13290</v>
      </c>
      <c r="S11" s="11">
        <v>842800.37000000023</v>
      </c>
      <c r="T11" s="53">
        <f t="shared" si="0"/>
        <v>2851120</v>
      </c>
      <c r="U11" s="54">
        <f t="shared" si="1"/>
        <v>176363015.94999999</v>
      </c>
      <c r="V11" s="2" t="s">
        <v>56</v>
      </c>
      <c r="Y11" s="2" t="s">
        <v>8</v>
      </c>
      <c r="Z11" s="2">
        <v>2025</v>
      </c>
      <c r="AA11" s="1">
        <f t="shared" si="2"/>
        <v>724100</v>
      </c>
      <c r="AB11" s="11">
        <f t="shared" si="3"/>
        <v>44737099.469999999</v>
      </c>
      <c r="AC11" s="1">
        <f t="shared" si="4"/>
        <v>2086028</v>
      </c>
      <c r="AD11" s="11">
        <f t="shared" si="4"/>
        <v>129127368.49999999</v>
      </c>
      <c r="AE11" s="8">
        <f t="shared" si="4"/>
        <v>11744</v>
      </c>
      <c r="AF11" s="11">
        <f t="shared" si="4"/>
        <v>743898.10999999987</v>
      </c>
      <c r="AG11" s="8">
        <f t="shared" si="4"/>
        <v>15932</v>
      </c>
      <c r="AH11" s="11">
        <f t="shared" si="4"/>
        <v>911281.17999999993</v>
      </c>
      <c r="AI11" s="8">
        <f t="shared" si="4"/>
        <v>26</v>
      </c>
      <c r="AJ11" s="11">
        <f t="shared" si="4"/>
        <v>568.31999999999994</v>
      </c>
      <c r="AK11" s="11">
        <f t="shared" si="4"/>
        <v>13290</v>
      </c>
      <c r="AL11" s="11">
        <f t="shared" si="4"/>
        <v>842800.37000000023</v>
      </c>
      <c r="AM11" s="8">
        <f t="shared" si="8"/>
        <v>2851120</v>
      </c>
      <c r="AN11" s="11">
        <f t="shared" si="5"/>
        <v>176363015.94999999</v>
      </c>
      <c r="AO11" s="2" t="str">
        <f t="shared" si="6"/>
        <v>AUNORTE</v>
      </c>
      <c r="AP11" s="37">
        <f t="shared" si="7"/>
        <v>0</v>
      </c>
      <c r="AQ11" s="37">
        <f t="shared" si="7"/>
        <v>0</v>
      </c>
    </row>
    <row r="12" spans="1:43" x14ac:dyDescent="0.25">
      <c r="B12" s="2" t="s">
        <v>9</v>
      </c>
      <c r="C12" s="2">
        <v>2025</v>
      </c>
      <c r="D12" s="1">
        <v>482828</v>
      </c>
      <c r="E12" s="11">
        <v>30281157.770000014</v>
      </c>
      <c r="F12" s="1">
        <v>312645</v>
      </c>
      <c r="G12" s="11">
        <v>19069797.809999999</v>
      </c>
      <c r="H12" s="1">
        <v>19409</v>
      </c>
      <c r="I12" s="11">
        <v>1220915.4499999997</v>
      </c>
      <c r="J12" s="1">
        <v>2382539</v>
      </c>
      <c r="K12" s="11">
        <v>147902824.17999998</v>
      </c>
      <c r="L12" s="1">
        <v>13621</v>
      </c>
      <c r="M12" s="11">
        <v>854971.28</v>
      </c>
      <c r="N12" s="1">
        <v>17632</v>
      </c>
      <c r="O12" s="11">
        <v>1003524.9899999998</v>
      </c>
      <c r="P12" s="8">
        <v>45</v>
      </c>
      <c r="Q12" s="11">
        <v>1635.3400000000001</v>
      </c>
      <c r="R12" s="1">
        <v>15912</v>
      </c>
      <c r="S12" s="11">
        <v>1018832.2699999999</v>
      </c>
      <c r="T12" s="53">
        <f t="shared" si="0"/>
        <v>3244631</v>
      </c>
      <c r="U12" s="54">
        <f t="shared" si="1"/>
        <v>201353659.09</v>
      </c>
      <c r="V12" s="2" t="s">
        <v>56</v>
      </c>
      <c r="Y12" s="2" t="s">
        <v>9</v>
      </c>
      <c r="Z12" s="2">
        <v>2025</v>
      </c>
      <c r="AA12" s="1">
        <f t="shared" si="2"/>
        <v>814882</v>
      </c>
      <c r="AB12" s="11">
        <f t="shared" si="3"/>
        <v>50571871.030000016</v>
      </c>
      <c r="AC12" s="1">
        <f t="shared" si="4"/>
        <v>2382539</v>
      </c>
      <c r="AD12" s="11">
        <f t="shared" si="4"/>
        <v>147902824.17999998</v>
      </c>
      <c r="AE12" s="8">
        <f t="shared" si="4"/>
        <v>13621</v>
      </c>
      <c r="AF12" s="11">
        <f t="shared" si="4"/>
        <v>854971.28</v>
      </c>
      <c r="AG12" s="8">
        <f t="shared" si="4"/>
        <v>17632</v>
      </c>
      <c r="AH12" s="11">
        <f t="shared" si="4"/>
        <v>1003524.9899999998</v>
      </c>
      <c r="AI12" s="8">
        <f t="shared" si="4"/>
        <v>45</v>
      </c>
      <c r="AJ12" s="11">
        <f t="shared" si="4"/>
        <v>1635.3400000000001</v>
      </c>
      <c r="AK12" s="11">
        <f t="shared" si="4"/>
        <v>15912</v>
      </c>
      <c r="AL12" s="11">
        <f t="shared" si="4"/>
        <v>1018832.2699999999</v>
      </c>
      <c r="AM12" s="8">
        <f t="shared" si="8"/>
        <v>3244631</v>
      </c>
      <c r="AN12" s="11">
        <f t="shared" si="5"/>
        <v>201353659.09</v>
      </c>
      <c r="AO12" s="2" t="str">
        <f t="shared" si="6"/>
        <v>AUNORTE</v>
      </c>
      <c r="AP12" s="37">
        <f t="shared" si="7"/>
        <v>0</v>
      </c>
      <c r="AQ12" s="37">
        <f t="shared" si="7"/>
        <v>0</v>
      </c>
    </row>
    <row r="13" spans="1:43" x14ac:dyDescent="0.25">
      <c r="B13" s="2" t="s">
        <v>10</v>
      </c>
      <c r="C13" s="2">
        <v>2025</v>
      </c>
      <c r="D13" s="1">
        <v>468991</v>
      </c>
      <c r="E13" s="11">
        <v>29102220.159999989</v>
      </c>
      <c r="F13" s="1">
        <v>299964</v>
      </c>
      <c r="G13" s="11">
        <v>18185763.579999998</v>
      </c>
      <c r="H13" s="1">
        <v>23100</v>
      </c>
      <c r="I13" s="11">
        <v>1456834.0000000005</v>
      </c>
      <c r="J13" s="1">
        <v>2302497</v>
      </c>
      <c r="K13" s="11">
        <v>141653087.81</v>
      </c>
      <c r="L13" s="1">
        <v>12812</v>
      </c>
      <c r="M13" s="11">
        <v>795401.33</v>
      </c>
      <c r="N13" s="1">
        <v>17253</v>
      </c>
      <c r="O13" s="11">
        <v>981535.74999999988</v>
      </c>
      <c r="P13" s="1">
        <v>39</v>
      </c>
      <c r="Q13" s="11">
        <v>1683.6399999999999</v>
      </c>
      <c r="R13" s="1">
        <v>15078</v>
      </c>
      <c r="S13" s="11">
        <v>958394.95</v>
      </c>
      <c r="T13" s="53">
        <f t="shared" si="0"/>
        <v>3139734</v>
      </c>
      <c r="U13" s="54">
        <f t="shared" si="1"/>
        <v>193134921.21999997</v>
      </c>
      <c r="V13" s="2" t="s">
        <v>56</v>
      </c>
      <c r="Y13" s="2" t="s">
        <v>10</v>
      </c>
      <c r="Z13" s="2">
        <v>2025</v>
      </c>
      <c r="AA13" s="1">
        <f t="shared" si="2"/>
        <v>792055</v>
      </c>
      <c r="AB13" s="11">
        <f t="shared" si="3"/>
        <v>48744817.739999987</v>
      </c>
      <c r="AC13" s="1">
        <f t="shared" si="4"/>
        <v>2302497</v>
      </c>
      <c r="AD13" s="11">
        <f t="shared" si="4"/>
        <v>141653087.81</v>
      </c>
      <c r="AE13" s="8">
        <f t="shared" si="4"/>
        <v>12812</v>
      </c>
      <c r="AF13" s="11">
        <f t="shared" si="4"/>
        <v>795401.33</v>
      </c>
      <c r="AG13" s="8">
        <f t="shared" si="4"/>
        <v>17253</v>
      </c>
      <c r="AH13" s="11">
        <f t="shared" si="4"/>
        <v>981535.74999999988</v>
      </c>
      <c r="AI13" s="8">
        <f t="shared" si="4"/>
        <v>39</v>
      </c>
      <c r="AJ13" s="11">
        <f t="shared" si="4"/>
        <v>1683.6399999999999</v>
      </c>
      <c r="AK13" s="11">
        <f t="shared" si="4"/>
        <v>15078</v>
      </c>
      <c r="AL13" s="11">
        <f t="shared" si="4"/>
        <v>958394.95</v>
      </c>
      <c r="AM13" s="8">
        <f t="shared" si="8"/>
        <v>3139734</v>
      </c>
      <c r="AN13" s="11">
        <f t="shared" si="5"/>
        <v>193134921.21999997</v>
      </c>
      <c r="AO13" s="2" t="str">
        <f t="shared" si="6"/>
        <v>AUNORTE</v>
      </c>
      <c r="AP13" s="37">
        <f t="shared" si="7"/>
        <v>0</v>
      </c>
      <c r="AQ13" s="37">
        <f t="shared" si="7"/>
        <v>0</v>
      </c>
    </row>
    <row r="14" spans="1:43" x14ac:dyDescent="0.25">
      <c r="B14" s="2" t="s">
        <v>11</v>
      </c>
      <c r="C14" s="2">
        <v>2025</v>
      </c>
      <c r="D14" s="1">
        <v>487615</v>
      </c>
      <c r="E14" s="11">
        <v>30159525.310000006</v>
      </c>
      <c r="F14" s="1">
        <v>313914</v>
      </c>
      <c r="G14" s="11">
        <v>19089132.609999996</v>
      </c>
      <c r="H14" s="1">
        <v>15864</v>
      </c>
      <c r="I14" s="11">
        <v>999535.6599999998</v>
      </c>
      <c r="J14" s="1">
        <v>2403904</v>
      </c>
      <c r="K14" s="11">
        <v>148440609.82000002</v>
      </c>
      <c r="L14" s="1">
        <v>13096</v>
      </c>
      <c r="M14" s="11">
        <v>839093.41999999993</v>
      </c>
      <c r="N14" s="1">
        <v>17049</v>
      </c>
      <c r="O14" s="11">
        <v>997021.61999999988</v>
      </c>
      <c r="P14" s="1">
        <v>39</v>
      </c>
      <c r="Q14" s="11">
        <v>1599.37</v>
      </c>
      <c r="R14" s="1">
        <v>16604</v>
      </c>
      <c r="S14" s="11">
        <v>1066410.8499999996</v>
      </c>
      <c r="T14" s="53">
        <f t="shared" si="0"/>
        <v>3268085</v>
      </c>
      <c r="U14" s="54">
        <f t="shared" si="1"/>
        <v>201592928.66</v>
      </c>
      <c r="V14" s="2" t="s">
        <v>56</v>
      </c>
      <c r="Y14" s="2" t="s">
        <v>11</v>
      </c>
      <c r="Z14" s="2">
        <v>2025</v>
      </c>
      <c r="AA14" s="1">
        <f t="shared" si="2"/>
        <v>817393</v>
      </c>
      <c r="AB14" s="11">
        <f t="shared" si="3"/>
        <v>50248193.579999998</v>
      </c>
      <c r="AC14" s="1">
        <f t="shared" si="4"/>
        <v>2403904</v>
      </c>
      <c r="AD14" s="11">
        <f t="shared" si="4"/>
        <v>148440609.82000002</v>
      </c>
      <c r="AE14" s="8">
        <f t="shared" si="4"/>
        <v>13096</v>
      </c>
      <c r="AF14" s="11">
        <f t="shared" si="4"/>
        <v>839093.41999999993</v>
      </c>
      <c r="AG14" s="8">
        <f t="shared" si="4"/>
        <v>17049</v>
      </c>
      <c r="AH14" s="11">
        <f t="shared" si="4"/>
        <v>997021.61999999988</v>
      </c>
      <c r="AI14" s="8">
        <f t="shared" si="4"/>
        <v>39</v>
      </c>
      <c r="AJ14" s="11">
        <f t="shared" si="4"/>
        <v>1599.37</v>
      </c>
      <c r="AK14" s="11">
        <f t="shared" si="4"/>
        <v>16604</v>
      </c>
      <c r="AL14" s="11">
        <f t="shared" si="4"/>
        <v>1066410.8499999996</v>
      </c>
      <c r="AM14" s="8">
        <f t="shared" si="8"/>
        <v>3268085</v>
      </c>
      <c r="AN14" s="11">
        <f t="shared" si="5"/>
        <v>201592928.66</v>
      </c>
      <c r="AO14" s="2" t="str">
        <f t="shared" si="6"/>
        <v>AUNORTE</v>
      </c>
      <c r="AP14" s="37">
        <f t="shared" si="7"/>
        <v>0</v>
      </c>
      <c r="AQ14" s="37">
        <f t="shared" si="7"/>
        <v>0</v>
      </c>
    </row>
    <row r="15" spans="1:43" x14ac:dyDescent="0.25">
      <c r="B15" s="2" t="s">
        <v>4</v>
      </c>
      <c r="C15" s="2">
        <v>2025</v>
      </c>
      <c r="D15" s="1">
        <v>493358</v>
      </c>
      <c r="E15" s="11">
        <v>30836541.550000001</v>
      </c>
      <c r="F15" s="1">
        <v>328996</v>
      </c>
      <c r="G15" s="11">
        <v>20071876.359999996</v>
      </c>
      <c r="H15" s="1">
        <v>15683</v>
      </c>
      <c r="I15" s="11">
        <v>974811.89999999991</v>
      </c>
      <c r="J15" s="1">
        <v>2455940</v>
      </c>
      <c r="K15" s="11">
        <v>152437874.22999999</v>
      </c>
      <c r="L15" s="1">
        <v>13423</v>
      </c>
      <c r="M15" s="11">
        <v>864469.67</v>
      </c>
      <c r="N15" s="1">
        <v>17491</v>
      </c>
      <c r="O15" s="11">
        <v>1005853.0899999999</v>
      </c>
      <c r="P15" s="1">
        <v>37</v>
      </c>
      <c r="Q15" s="11">
        <v>1200.0999999999995</v>
      </c>
      <c r="R15" s="1">
        <v>16687</v>
      </c>
      <c r="S15" s="11">
        <v>1078614.4299999997</v>
      </c>
      <c r="T15" s="53">
        <f t="shared" si="0"/>
        <v>3341615</v>
      </c>
      <c r="U15" s="54">
        <f t="shared" si="1"/>
        <v>207271241.32999998</v>
      </c>
      <c r="V15" s="2" t="s">
        <v>56</v>
      </c>
      <c r="Y15" s="2" t="s">
        <v>4</v>
      </c>
      <c r="Z15" s="2">
        <v>2025</v>
      </c>
      <c r="AA15" s="1">
        <f t="shared" si="2"/>
        <v>838037</v>
      </c>
      <c r="AB15" s="11">
        <f t="shared" si="3"/>
        <v>51883229.809999995</v>
      </c>
      <c r="AC15" s="1">
        <f t="shared" si="4"/>
        <v>2455940</v>
      </c>
      <c r="AD15" s="11">
        <f t="shared" si="4"/>
        <v>152437874.22999999</v>
      </c>
      <c r="AE15" s="8">
        <f t="shared" si="4"/>
        <v>13423</v>
      </c>
      <c r="AF15" s="11">
        <f t="shared" si="4"/>
        <v>864469.67</v>
      </c>
      <c r="AG15" s="8">
        <f t="shared" si="4"/>
        <v>17491</v>
      </c>
      <c r="AH15" s="11">
        <f t="shared" si="4"/>
        <v>1005853.0899999999</v>
      </c>
      <c r="AI15" s="8">
        <f t="shared" si="4"/>
        <v>37</v>
      </c>
      <c r="AJ15" s="11">
        <f t="shared" si="4"/>
        <v>1200.0999999999995</v>
      </c>
      <c r="AK15" s="11">
        <f t="shared" si="4"/>
        <v>16687</v>
      </c>
      <c r="AL15" s="11">
        <f t="shared" si="4"/>
        <v>1078614.4299999997</v>
      </c>
      <c r="AM15" s="27">
        <f t="shared" si="8"/>
        <v>3341615</v>
      </c>
      <c r="AN15" s="14">
        <f t="shared" si="5"/>
        <v>207271241.33000001</v>
      </c>
      <c r="AO15" s="2" t="str">
        <f t="shared" si="6"/>
        <v>AUNORTE</v>
      </c>
      <c r="AP15" s="37">
        <f t="shared" si="7"/>
        <v>0</v>
      </c>
      <c r="AQ15" s="37">
        <f t="shared" si="7"/>
        <v>0</v>
      </c>
    </row>
    <row r="16" spans="1:43" x14ac:dyDescent="0.25">
      <c r="B16" s="2" t="s">
        <v>28</v>
      </c>
      <c r="C16" s="2">
        <v>2025</v>
      </c>
      <c r="D16" s="1">
        <v>462383</v>
      </c>
      <c r="E16" s="11">
        <v>28520671.729999997</v>
      </c>
      <c r="F16" s="1">
        <v>301825</v>
      </c>
      <c r="G16" s="11">
        <v>18215698.640000001</v>
      </c>
      <c r="H16" s="1">
        <v>15645</v>
      </c>
      <c r="I16" s="11">
        <v>966220.93000000028</v>
      </c>
      <c r="J16" s="1">
        <v>2346173</v>
      </c>
      <c r="K16" s="11">
        <v>143965573.28000003</v>
      </c>
      <c r="L16" s="1">
        <v>11567</v>
      </c>
      <c r="M16" s="11">
        <v>743208.21999999986</v>
      </c>
      <c r="N16" s="1">
        <v>17383</v>
      </c>
      <c r="O16" s="11">
        <v>987868.81999999983</v>
      </c>
      <c r="P16" s="1">
        <v>50</v>
      </c>
      <c r="Q16" s="11">
        <v>2195.92</v>
      </c>
      <c r="R16" s="1">
        <v>16076</v>
      </c>
      <c r="S16" s="11">
        <v>1021611.1699999998</v>
      </c>
      <c r="T16" s="53">
        <f t="shared" si="0"/>
        <v>3171102</v>
      </c>
      <c r="U16" s="54">
        <f t="shared" si="1"/>
        <v>194423048.71000001</v>
      </c>
      <c r="V16" s="2" t="s">
        <v>56</v>
      </c>
      <c r="Y16" s="2" t="s">
        <v>28</v>
      </c>
      <c r="Z16" s="2">
        <v>2025</v>
      </c>
      <c r="AA16" s="1">
        <f t="shared" si="2"/>
        <v>779853</v>
      </c>
      <c r="AB16" s="11">
        <f t="shared" si="3"/>
        <v>47702591.299999997</v>
      </c>
      <c r="AC16" s="1">
        <f t="shared" si="4"/>
        <v>2346173</v>
      </c>
      <c r="AD16" s="11">
        <f t="shared" si="4"/>
        <v>143965573.28000003</v>
      </c>
      <c r="AE16" s="8">
        <f t="shared" si="4"/>
        <v>11567</v>
      </c>
      <c r="AF16" s="11">
        <f t="shared" si="4"/>
        <v>743208.21999999986</v>
      </c>
      <c r="AG16" s="8">
        <f t="shared" si="4"/>
        <v>17383</v>
      </c>
      <c r="AH16" s="11">
        <f t="shared" si="4"/>
        <v>987868.81999999983</v>
      </c>
      <c r="AI16" s="8">
        <f t="shared" si="4"/>
        <v>50</v>
      </c>
      <c r="AJ16" s="11">
        <f t="shared" si="4"/>
        <v>2195.92</v>
      </c>
      <c r="AK16" s="11">
        <f t="shared" si="4"/>
        <v>16076</v>
      </c>
      <c r="AL16" s="11">
        <f t="shared" si="4"/>
        <v>1021611.1699999998</v>
      </c>
      <c r="AM16" s="8">
        <f t="shared" si="8"/>
        <v>3171102</v>
      </c>
      <c r="AN16" s="11">
        <f t="shared" si="5"/>
        <v>194423048.71000001</v>
      </c>
      <c r="AO16" s="2" t="str">
        <f t="shared" si="6"/>
        <v>AUNORTE</v>
      </c>
      <c r="AP16" s="37">
        <f t="shared" si="7"/>
        <v>0</v>
      </c>
      <c r="AQ16" s="37">
        <f t="shared" si="7"/>
        <v>0</v>
      </c>
    </row>
    <row r="17" spans="1:43" x14ac:dyDescent="0.25">
      <c r="B17" s="2" t="s">
        <v>29</v>
      </c>
      <c r="C17" s="2">
        <v>2025</v>
      </c>
      <c r="D17" s="1">
        <v>497916</v>
      </c>
      <c r="E17" s="11">
        <v>30553797.290000003</v>
      </c>
      <c r="F17" s="1">
        <v>333416</v>
      </c>
      <c r="G17" s="11">
        <v>20012020.199999999</v>
      </c>
      <c r="H17" s="1">
        <v>17213</v>
      </c>
      <c r="I17" s="11">
        <v>1049480.0200000003</v>
      </c>
      <c r="J17" s="1">
        <v>2480345</v>
      </c>
      <c r="K17" s="11">
        <v>151874371.53</v>
      </c>
      <c r="L17" s="1">
        <v>12136</v>
      </c>
      <c r="M17" s="11">
        <v>781483.15</v>
      </c>
      <c r="N17" s="1">
        <v>18565</v>
      </c>
      <c r="O17" s="11">
        <v>1050737.8899999999</v>
      </c>
      <c r="P17" s="1">
        <v>105</v>
      </c>
      <c r="Q17" s="11">
        <v>4241.2300000000014</v>
      </c>
      <c r="R17" s="1">
        <v>17518</v>
      </c>
      <c r="S17" s="11">
        <v>1110934.8500000001</v>
      </c>
      <c r="T17" s="53">
        <f t="shared" si="0"/>
        <v>3377214</v>
      </c>
      <c r="U17" s="54">
        <f t="shared" si="1"/>
        <v>206437066.15999997</v>
      </c>
      <c r="V17" s="2" t="s">
        <v>56</v>
      </c>
      <c r="Y17" s="2" t="s">
        <v>29</v>
      </c>
      <c r="Z17" s="2">
        <v>2025</v>
      </c>
      <c r="AA17" s="1">
        <f t="shared" si="2"/>
        <v>848545</v>
      </c>
      <c r="AB17" s="11">
        <f t="shared" si="3"/>
        <v>51615297.510000005</v>
      </c>
      <c r="AC17" s="1">
        <f t="shared" si="4"/>
        <v>2480345</v>
      </c>
      <c r="AD17" s="11">
        <f t="shared" si="4"/>
        <v>151874371.53</v>
      </c>
      <c r="AE17" s="8">
        <f t="shared" si="4"/>
        <v>12136</v>
      </c>
      <c r="AF17" s="11">
        <f t="shared" si="4"/>
        <v>781483.15</v>
      </c>
      <c r="AG17" s="8">
        <f t="shared" si="4"/>
        <v>18565</v>
      </c>
      <c r="AH17" s="11">
        <f t="shared" si="4"/>
        <v>1050737.8899999999</v>
      </c>
      <c r="AI17" s="8">
        <f t="shared" si="4"/>
        <v>105</v>
      </c>
      <c r="AJ17" s="11">
        <f t="shared" si="4"/>
        <v>4241.2300000000014</v>
      </c>
      <c r="AK17" s="11">
        <f t="shared" si="4"/>
        <v>17518</v>
      </c>
      <c r="AL17" s="11">
        <f t="shared" si="4"/>
        <v>1110934.8500000001</v>
      </c>
      <c r="AM17" s="8">
        <f t="shared" si="8"/>
        <v>3377214</v>
      </c>
      <c r="AN17" s="11">
        <f t="shared" si="5"/>
        <v>206437066.16</v>
      </c>
      <c r="AO17" s="2" t="str">
        <f t="shared" si="6"/>
        <v>AUNORTE</v>
      </c>
      <c r="AP17" s="37">
        <f t="shared" si="7"/>
        <v>0</v>
      </c>
      <c r="AQ17" s="37">
        <f t="shared" si="7"/>
        <v>0</v>
      </c>
    </row>
    <row r="18" spans="1:43" x14ac:dyDescent="0.25">
      <c r="B18" s="2" t="s">
        <v>30</v>
      </c>
      <c r="C18" s="2">
        <v>2025</v>
      </c>
      <c r="D18" s="1">
        <v>486198</v>
      </c>
      <c r="E18" s="11">
        <v>29825506.420000006</v>
      </c>
      <c r="F18" s="1">
        <v>320426</v>
      </c>
      <c r="G18" s="11">
        <v>19269102.77</v>
      </c>
      <c r="H18" s="1">
        <v>16737</v>
      </c>
      <c r="I18" s="11">
        <v>1019664.4100000001</v>
      </c>
      <c r="J18" s="1">
        <v>2571831</v>
      </c>
      <c r="K18" s="11">
        <v>157268150.64000002</v>
      </c>
      <c r="L18" s="1">
        <v>13077</v>
      </c>
      <c r="M18" s="11">
        <v>846036.68</v>
      </c>
      <c r="N18" s="1">
        <v>19136</v>
      </c>
      <c r="O18" s="11">
        <v>1084047.3999999999</v>
      </c>
      <c r="P18" s="1">
        <v>99</v>
      </c>
      <c r="Q18" s="11">
        <v>4508.3599999999997</v>
      </c>
      <c r="R18" s="1">
        <v>19121</v>
      </c>
      <c r="S18" s="11">
        <v>1209723.0400000003</v>
      </c>
      <c r="T18" s="53">
        <f t="shared" si="0"/>
        <v>3446625</v>
      </c>
      <c r="U18" s="54">
        <f t="shared" si="1"/>
        <v>210526739.72000006</v>
      </c>
      <c r="V18" s="2" t="s">
        <v>56</v>
      </c>
      <c r="Y18" s="2" t="s">
        <v>30</v>
      </c>
      <c r="Z18" s="2">
        <v>2025</v>
      </c>
      <c r="AA18" s="1">
        <f t="shared" si="2"/>
        <v>823361</v>
      </c>
      <c r="AB18" s="11">
        <f t="shared" si="3"/>
        <v>50114273.600000009</v>
      </c>
      <c r="AC18" s="1">
        <f t="shared" si="4"/>
        <v>2571831</v>
      </c>
      <c r="AD18" s="11">
        <f t="shared" si="4"/>
        <v>157268150.64000002</v>
      </c>
      <c r="AE18" s="8">
        <f t="shared" si="4"/>
        <v>13077</v>
      </c>
      <c r="AF18" s="11">
        <f t="shared" si="4"/>
        <v>846036.68</v>
      </c>
      <c r="AG18" s="8">
        <f t="shared" si="4"/>
        <v>19136</v>
      </c>
      <c r="AH18" s="11">
        <f t="shared" si="4"/>
        <v>1084047.3999999999</v>
      </c>
      <c r="AI18" s="8">
        <f t="shared" si="4"/>
        <v>99</v>
      </c>
      <c r="AJ18" s="11">
        <f t="shared" si="4"/>
        <v>4508.3599999999997</v>
      </c>
      <c r="AK18" s="11">
        <f t="shared" si="4"/>
        <v>19121</v>
      </c>
      <c r="AL18" s="11">
        <f t="shared" si="4"/>
        <v>1209723.0400000003</v>
      </c>
      <c r="AM18" s="79">
        <f t="shared" si="8"/>
        <v>3446625</v>
      </c>
      <c r="AN18" s="80">
        <f t="shared" si="5"/>
        <v>210526739.72</v>
      </c>
      <c r="AO18" s="2" t="str">
        <f t="shared" si="6"/>
        <v>AUNORTE</v>
      </c>
      <c r="AP18" s="37">
        <f t="shared" si="7"/>
        <v>0</v>
      </c>
      <c r="AQ18" s="37">
        <f t="shared" si="7"/>
        <v>0</v>
      </c>
    </row>
    <row r="19" spans="1:43" x14ac:dyDescent="0.25">
      <c r="B19" s="2" t="s">
        <v>31</v>
      </c>
      <c r="C19" s="2">
        <v>2025</v>
      </c>
      <c r="D19" s="1">
        <v>458624</v>
      </c>
      <c r="E19" s="11">
        <v>28446451.389999997</v>
      </c>
      <c r="F19" s="1">
        <v>305319</v>
      </c>
      <c r="G19" s="11">
        <v>18485680.219999999</v>
      </c>
      <c r="H19" s="1">
        <v>18512</v>
      </c>
      <c r="I19" s="11">
        <v>1144412.5199999998</v>
      </c>
      <c r="J19" s="1">
        <v>2359062</v>
      </c>
      <c r="K19" s="11">
        <v>145901880.67000002</v>
      </c>
      <c r="L19" s="8">
        <v>11756</v>
      </c>
      <c r="M19" s="11">
        <v>761780.87000000011</v>
      </c>
      <c r="N19" s="8">
        <v>16999</v>
      </c>
      <c r="O19" s="11">
        <v>979342.30000000016</v>
      </c>
      <c r="P19" s="8">
        <v>120</v>
      </c>
      <c r="Q19" s="11">
        <v>6403.3599999999988</v>
      </c>
      <c r="R19" s="8">
        <v>18619</v>
      </c>
      <c r="S19" s="11">
        <v>1198495.1000000001</v>
      </c>
      <c r="T19" s="53">
        <f t="shared" si="0"/>
        <v>3189011</v>
      </c>
      <c r="U19" s="54">
        <f t="shared" si="1"/>
        <v>196924446.43000001</v>
      </c>
      <c r="V19" s="2" t="s">
        <v>56</v>
      </c>
      <c r="W19" s="13"/>
      <c r="Y19" s="2" t="s">
        <v>31</v>
      </c>
      <c r="Z19" s="2">
        <v>2025</v>
      </c>
      <c r="AA19" s="1">
        <f t="shared" si="2"/>
        <v>782455</v>
      </c>
      <c r="AB19" s="11">
        <f t="shared" si="3"/>
        <v>48076544.129999995</v>
      </c>
      <c r="AC19" s="1">
        <f t="shared" si="4"/>
        <v>2359062</v>
      </c>
      <c r="AD19" s="11">
        <f t="shared" si="4"/>
        <v>145901880.67000002</v>
      </c>
      <c r="AE19" s="8">
        <f t="shared" si="4"/>
        <v>11756</v>
      </c>
      <c r="AF19" s="11">
        <f t="shared" si="4"/>
        <v>761780.87000000011</v>
      </c>
      <c r="AG19" s="8">
        <f t="shared" si="4"/>
        <v>16999</v>
      </c>
      <c r="AH19" s="11">
        <f t="shared" si="4"/>
        <v>979342.30000000016</v>
      </c>
      <c r="AI19" s="8">
        <f t="shared" si="4"/>
        <v>120</v>
      </c>
      <c r="AJ19" s="11">
        <f t="shared" si="4"/>
        <v>6403.3599999999988</v>
      </c>
      <c r="AK19" s="11">
        <f t="shared" si="4"/>
        <v>18619</v>
      </c>
      <c r="AL19" s="11">
        <f t="shared" si="4"/>
        <v>1198495.1000000001</v>
      </c>
      <c r="AM19" s="8">
        <f t="shared" si="8"/>
        <v>3189011</v>
      </c>
      <c r="AN19" s="11">
        <f t="shared" si="5"/>
        <v>196924446.43000001</v>
      </c>
      <c r="AO19" s="2" t="str">
        <f t="shared" si="6"/>
        <v>AUNORTE</v>
      </c>
      <c r="AP19" s="37">
        <f t="shared" si="7"/>
        <v>0</v>
      </c>
      <c r="AQ19" s="37">
        <f t="shared" si="7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9">SUM(D8:D20)</f>
        <v>5588684</v>
      </c>
      <c r="E21" s="12">
        <f t="shared" si="9"/>
        <v>344402599.25</v>
      </c>
      <c r="F21" s="4">
        <f t="shared" si="9"/>
        <v>3694701</v>
      </c>
      <c r="G21" s="12">
        <f t="shared" si="9"/>
        <v>222804109.15999997</v>
      </c>
      <c r="H21" s="4">
        <f t="shared" si="9"/>
        <v>185416</v>
      </c>
      <c r="I21" s="12">
        <f t="shared" si="9"/>
        <v>11523122.110000001</v>
      </c>
      <c r="J21" s="4">
        <f t="shared" si="9"/>
        <v>28012652</v>
      </c>
      <c r="K21" s="12">
        <f t="shared" si="9"/>
        <v>1715859386.7799973</v>
      </c>
      <c r="L21" s="4">
        <f t="shared" si="9"/>
        <v>150482</v>
      </c>
      <c r="M21" s="12">
        <f t="shared" si="9"/>
        <v>9516419.9200000018</v>
      </c>
      <c r="N21" s="4">
        <f t="shared" si="9"/>
        <v>208514</v>
      </c>
      <c r="O21" s="12">
        <f t="shared" si="9"/>
        <v>11818400.960000001</v>
      </c>
      <c r="P21" s="4">
        <f>SUM(P8:P20)</f>
        <v>641</v>
      </c>
      <c r="Q21" s="12">
        <f>SUM(Q8:Q20)</f>
        <v>25917.46</v>
      </c>
      <c r="R21" s="4">
        <f>SUM(R8:R20)</f>
        <v>187140</v>
      </c>
      <c r="S21" s="12">
        <f>SUM(S8:S20)</f>
        <v>11865961.51</v>
      </c>
      <c r="T21" s="4">
        <f t="shared" si="9"/>
        <v>38028230</v>
      </c>
      <c r="U21" s="12">
        <f t="shared" si="9"/>
        <v>2327815917.1499972</v>
      </c>
      <c r="Y21" s="3" t="s">
        <v>12</v>
      </c>
      <c r="Z21" s="3"/>
      <c r="AA21" s="4">
        <f t="shared" ref="AA21:AN21" si="10">SUM(AA8:AA20)</f>
        <v>9468801</v>
      </c>
      <c r="AB21" s="12">
        <f t="shared" si="10"/>
        <v>578729830.51999998</v>
      </c>
      <c r="AC21" s="4">
        <f t="shared" si="10"/>
        <v>28012652</v>
      </c>
      <c r="AD21" s="12">
        <f t="shared" si="10"/>
        <v>1715859386.7799973</v>
      </c>
      <c r="AE21" s="4">
        <f t="shared" si="10"/>
        <v>150482</v>
      </c>
      <c r="AF21" s="12">
        <f t="shared" si="10"/>
        <v>9516419.9200000018</v>
      </c>
      <c r="AG21" s="4">
        <f t="shared" si="10"/>
        <v>208514</v>
      </c>
      <c r="AH21" s="12">
        <f t="shared" si="10"/>
        <v>11818400.960000001</v>
      </c>
      <c r="AI21" s="4">
        <f t="shared" si="10"/>
        <v>641</v>
      </c>
      <c r="AJ21" s="12">
        <f t="shared" si="10"/>
        <v>25917.46</v>
      </c>
      <c r="AK21" s="4">
        <f t="shared" si="10"/>
        <v>187140</v>
      </c>
      <c r="AL21" s="12">
        <f t="shared" si="10"/>
        <v>11865961.51</v>
      </c>
      <c r="AM21" s="4">
        <f t="shared" si="10"/>
        <v>38028230</v>
      </c>
      <c r="AN21" s="12">
        <f t="shared" si="10"/>
        <v>2327815917.1499972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12153</v>
      </c>
      <c r="M22" s="60">
        <f>AVERAGE(M8:M9)</f>
        <v>733111.04499999993</v>
      </c>
      <c r="T22" s="15">
        <f>AVERAGE(T8:T9)</f>
        <v>2931907.5</v>
      </c>
      <c r="U22" s="61">
        <f>AVERAGE(U8:U9)</f>
        <v>173137064.53999865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8.1500308484669659E-2</v>
      </c>
      <c r="M23" s="36">
        <f>+M22/$M$371</f>
        <v>2.8210490130820023E-2</v>
      </c>
      <c r="N23" s="18"/>
      <c r="O23" s="19"/>
      <c r="P23" s="19"/>
      <c r="Q23" s="19"/>
      <c r="R23" s="19"/>
      <c r="S23" s="19"/>
      <c r="T23" s="26">
        <f>+L22/T22</f>
        <v>4.1450830218893332E-3</v>
      </c>
      <c r="U23" s="36">
        <f>+M22/U22</f>
        <v>4.2342813593829551E-3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87</v>
      </c>
      <c r="S26" s="93"/>
      <c r="T26" s="89" t="s">
        <v>12</v>
      </c>
      <c r="U26" s="93"/>
      <c r="AA26" s="89" t="s">
        <v>69</v>
      </c>
      <c r="AB26" s="90"/>
      <c r="AC26" s="89" t="s">
        <v>17</v>
      </c>
      <c r="AD26" s="93"/>
      <c r="AE26" s="89" t="s">
        <v>18</v>
      </c>
      <c r="AF26" s="93"/>
      <c r="AG26" s="89" t="s">
        <v>13</v>
      </c>
      <c r="AH26" s="93"/>
      <c r="AI26" s="89" t="s">
        <v>34</v>
      </c>
      <c r="AJ26" s="93"/>
      <c r="AK26" s="89" t="s">
        <v>87</v>
      </c>
      <c r="AL26" s="93"/>
      <c r="AM26" s="89" t="s">
        <v>12</v>
      </c>
      <c r="AN26" s="93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2025</v>
      </c>
      <c r="D29" s="1">
        <v>533998</v>
      </c>
      <c r="E29" s="11">
        <v>26934895.500000004</v>
      </c>
      <c r="F29" s="1">
        <v>261351</v>
      </c>
      <c r="G29" s="11">
        <v>12095580.370000001</v>
      </c>
      <c r="H29" s="1">
        <v>5614</v>
      </c>
      <c r="I29" s="11">
        <v>304430.81000000011</v>
      </c>
      <c r="J29" s="1">
        <v>1965997</v>
      </c>
      <c r="K29" s="11">
        <v>89799506.109999999</v>
      </c>
      <c r="L29" s="8">
        <v>9759</v>
      </c>
      <c r="M29" s="11">
        <v>461135.50999999995</v>
      </c>
      <c r="N29" s="8">
        <v>12470</v>
      </c>
      <c r="O29" s="11">
        <v>585399.11999999988</v>
      </c>
      <c r="P29" s="8">
        <v>70</v>
      </c>
      <c r="Q29" s="11">
        <v>4931.2000000000007</v>
      </c>
      <c r="R29" s="8">
        <v>9966</v>
      </c>
      <c r="S29" s="11">
        <v>503538.94999999984</v>
      </c>
      <c r="T29" s="53">
        <f t="shared" ref="T29:T40" si="11">N29+L29+J29+H29+D29+P29+F29+R29</f>
        <v>2799225</v>
      </c>
      <c r="U29" s="54">
        <f t="shared" ref="U29:U40" si="12">O29+M29+K29+I29+E29+Q29+G29+S29</f>
        <v>130689417.57000001</v>
      </c>
      <c r="V29" s="2" t="s">
        <v>57</v>
      </c>
      <c r="Y29" s="2" t="s">
        <v>5</v>
      </c>
      <c r="Z29" s="2">
        <v>2025</v>
      </c>
      <c r="AA29" s="1">
        <f t="shared" ref="AA29:AA40" si="13">D29+H29+F29</f>
        <v>800963</v>
      </c>
      <c r="AB29" s="11">
        <f t="shared" ref="AB29:AB40" si="14">E29+I29+G29</f>
        <v>39334906.680000007</v>
      </c>
      <c r="AC29" s="1">
        <f t="shared" ref="AC29:AL40" si="15">+J29</f>
        <v>1965997</v>
      </c>
      <c r="AD29" s="11">
        <f t="shared" si="15"/>
        <v>89799506.109999999</v>
      </c>
      <c r="AE29" s="8">
        <f t="shared" si="15"/>
        <v>9759</v>
      </c>
      <c r="AF29" s="11">
        <f t="shared" si="15"/>
        <v>461135.50999999995</v>
      </c>
      <c r="AG29" s="8">
        <f t="shared" si="15"/>
        <v>12470</v>
      </c>
      <c r="AH29" s="11">
        <f t="shared" si="15"/>
        <v>585399.11999999988</v>
      </c>
      <c r="AI29" s="8">
        <f t="shared" si="15"/>
        <v>70</v>
      </c>
      <c r="AJ29" s="11">
        <f t="shared" si="15"/>
        <v>4931.2000000000007</v>
      </c>
      <c r="AK29" s="11">
        <f t="shared" si="15"/>
        <v>9966</v>
      </c>
      <c r="AL29" s="11">
        <f t="shared" si="15"/>
        <v>503538.94999999984</v>
      </c>
      <c r="AM29" s="8">
        <f>AI29+AG29+AE29+AC29+AA29+AK29</f>
        <v>2799225</v>
      </c>
      <c r="AN29" s="11">
        <f t="shared" ref="AN29:AN40" si="16">AJ29+AH29+AF29+AD29+AB29+AL29</f>
        <v>130689417.57000001</v>
      </c>
      <c r="AO29" s="2" t="str">
        <f t="shared" ref="AO29:AO40" si="17">+V29</f>
        <v>VIADUCTO</v>
      </c>
      <c r="AP29" s="37">
        <f t="shared" ref="AP29:AQ40" si="18">+AM29-T29</f>
        <v>0</v>
      </c>
      <c r="AQ29" s="37">
        <f t="shared" si="18"/>
        <v>0</v>
      </c>
    </row>
    <row r="30" spans="1:43" x14ac:dyDescent="0.25">
      <c r="B30" s="2" t="s">
        <v>6</v>
      </c>
      <c r="C30" s="2">
        <v>2025</v>
      </c>
      <c r="D30" s="1">
        <v>505702</v>
      </c>
      <c r="E30" s="11">
        <v>26520411.900000002</v>
      </c>
      <c r="F30" s="1">
        <v>261383</v>
      </c>
      <c r="G30" s="11">
        <v>12654486.799999999</v>
      </c>
      <c r="H30" s="1">
        <v>5569</v>
      </c>
      <c r="I30" s="11">
        <v>312524.59000000003</v>
      </c>
      <c r="J30" s="1">
        <v>1889683</v>
      </c>
      <c r="K30" s="11">
        <v>90358955.579999879</v>
      </c>
      <c r="L30" s="8">
        <v>9584</v>
      </c>
      <c r="M30" s="11">
        <v>474495.56999999995</v>
      </c>
      <c r="N30" s="8">
        <v>11728</v>
      </c>
      <c r="O30" s="11">
        <v>571971.27000000014</v>
      </c>
      <c r="P30" s="8">
        <v>74</v>
      </c>
      <c r="Q30" s="11">
        <v>6233.5700000000006</v>
      </c>
      <c r="R30" s="8">
        <v>10278</v>
      </c>
      <c r="S30" s="11">
        <v>561024.55999999994</v>
      </c>
      <c r="T30" s="53">
        <f t="shared" si="11"/>
        <v>2694001</v>
      </c>
      <c r="U30" s="54">
        <f t="shared" si="12"/>
        <v>131460103.83999988</v>
      </c>
      <c r="V30" s="2" t="s">
        <v>57</v>
      </c>
      <c r="Y30" s="2" t="s">
        <v>6</v>
      </c>
      <c r="Z30" s="2">
        <v>2025</v>
      </c>
      <c r="AA30" s="1">
        <f t="shared" si="13"/>
        <v>772654</v>
      </c>
      <c r="AB30" s="11">
        <f t="shared" si="14"/>
        <v>39487423.289999999</v>
      </c>
      <c r="AC30" s="1">
        <f t="shared" si="15"/>
        <v>1889683</v>
      </c>
      <c r="AD30" s="11">
        <f t="shared" si="15"/>
        <v>90358955.579999879</v>
      </c>
      <c r="AE30" s="8">
        <f t="shared" si="15"/>
        <v>9584</v>
      </c>
      <c r="AF30" s="11">
        <f t="shared" si="15"/>
        <v>474495.56999999995</v>
      </c>
      <c r="AG30" s="8">
        <f t="shared" si="15"/>
        <v>11728</v>
      </c>
      <c r="AH30" s="11">
        <f t="shared" si="15"/>
        <v>571971.27000000014</v>
      </c>
      <c r="AI30" s="8">
        <f t="shared" si="15"/>
        <v>74</v>
      </c>
      <c r="AJ30" s="11">
        <f t="shared" si="15"/>
        <v>6233.5700000000006</v>
      </c>
      <c r="AK30" s="11">
        <f t="shared" si="15"/>
        <v>10278</v>
      </c>
      <c r="AL30" s="11">
        <f t="shared" si="15"/>
        <v>561024.55999999994</v>
      </c>
      <c r="AM30" s="8">
        <f t="shared" ref="AM30:AM40" si="19">AI30+AG30+AE30+AC30+AA30+AK30</f>
        <v>2694001</v>
      </c>
      <c r="AN30" s="11">
        <f t="shared" si="16"/>
        <v>131460103.83999988</v>
      </c>
      <c r="AO30" s="2" t="str">
        <f t="shared" si="17"/>
        <v>VIADUCTO</v>
      </c>
      <c r="AP30" s="37">
        <f t="shared" si="18"/>
        <v>0</v>
      </c>
      <c r="AQ30" s="37">
        <f t="shared" si="18"/>
        <v>0</v>
      </c>
    </row>
    <row r="31" spans="1:43" x14ac:dyDescent="0.25">
      <c r="B31" s="2" t="s">
        <v>7</v>
      </c>
      <c r="C31" s="2">
        <v>2025</v>
      </c>
      <c r="D31" s="1">
        <v>551757</v>
      </c>
      <c r="E31" s="11">
        <v>29115759.56000001</v>
      </c>
      <c r="F31" s="1">
        <v>284568</v>
      </c>
      <c r="G31" s="11">
        <v>13806796.359999999</v>
      </c>
      <c r="H31" s="1">
        <v>16760</v>
      </c>
      <c r="I31" s="11">
        <v>933185.00000000012</v>
      </c>
      <c r="J31" s="1">
        <v>2076630</v>
      </c>
      <c r="K31" s="11">
        <v>100192366.35000002</v>
      </c>
      <c r="L31" s="8">
        <v>10715</v>
      </c>
      <c r="M31" s="11">
        <v>539992.5</v>
      </c>
      <c r="N31" s="8">
        <v>13323</v>
      </c>
      <c r="O31" s="11">
        <v>652905.31999999983</v>
      </c>
      <c r="P31" s="8">
        <v>79</v>
      </c>
      <c r="Q31" s="11">
        <v>6174.99</v>
      </c>
      <c r="R31" s="8">
        <v>11456</v>
      </c>
      <c r="S31" s="11">
        <v>624845.01</v>
      </c>
      <c r="T31" s="53">
        <f t="shared" si="11"/>
        <v>2965288</v>
      </c>
      <c r="U31" s="54">
        <f t="shared" si="12"/>
        <v>145872025.09</v>
      </c>
      <c r="V31" s="2" t="s">
        <v>57</v>
      </c>
      <c r="Y31" s="2" t="s">
        <v>7</v>
      </c>
      <c r="Z31" s="2">
        <v>2025</v>
      </c>
      <c r="AA31" s="1">
        <f t="shared" si="13"/>
        <v>853085</v>
      </c>
      <c r="AB31" s="11">
        <f t="shared" si="14"/>
        <v>43855740.920000009</v>
      </c>
      <c r="AC31" s="1">
        <f t="shared" si="15"/>
        <v>2076630</v>
      </c>
      <c r="AD31" s="11">
        <f t="shared" si="15"/>
        <v>100192366.35000002</v>
      </c>
      <c r="AE31" s="8">
        <f t="shared" si="15"/>
        <v>10715</v>
      </c>
      <c r="AF31" s="11">
        <f t="shared" si="15"/>
        <v>539992.5</v>
      </c>
      <c r="AG31" s="8">
        <f t="shared" si="15"/>
        <v>13323</v>
      </c>
      <c r="AH31" s="11">
        <f t="shared" si="15"/>
        <v>652905.31999999983</v>
      </c>
      <c r="AI31" s="8">
        <f t="shared" si="15"/>
        <v>79</v>
      </c>
      <c r="AJ31" s="11">
        <f t="shared" si="15"/>
        <v>6174.99</v>
      </c>
      <c r="AK31" s="11">
        <f t="shared" si="15"/>
        <v>11456</v>
      </c>
      <c r="AL31" s="11">
        <f t="shared" si="15"/>
        <v>624845.01</v>
      </c>
      <c r="AM31" s="8">
        <f t="shared" si="19"/>
        <v>2965288</v>
      </c>
      <c r="AN31" s="11">
        <f t="shared" si="16"/>
        <v>145872025.09000003</v>
      </c>
      <c r="AO31" s="2" t="str">
        <f t="shared" si="17"/>
        <v>VIADUCTO</v>
      </c>
      <c r="AP31" s="37">
        <f t="shared" si="18"/>
        <v>0</v>
      </c>
      <c r="AQ31" s="37">
        <f t="shared" si="18"/>
        <v>0</v>
      </c>
    </row>
    <row r="32" spans="1:43" x14ac:dyDescent="0.25">
      <c r="B32" s="2" t="s">
        <v>8</v>
      </c>
      <c r="C32" s="2">
        <v>2025</v>
      </c>
      <c r="D32" s="1">
        <v>516169</v>
      </c>
      <c r="E32" s="11">
        <v>27253646.910000011</v>
      </c>
      <c r="F32" s="1">
        <v>260572</v>
      </c>
      <c r="G32" s="11">
        <v>12668568</v>
      </c>
      <c r="H32" s="1">
        <v>18679</v>
      </c>
      <c r="I32" s="11">
        <v>1028976.88</v>
      </c>
      <c r="J32" s="1">
        <v>1907989</v>
      </c>
      <c r="K32" s="11">
        <v>92444399.019999996</v>
      </c>
      <c r="L32" s="8">
        <v>10060</v>
      </c>
      <c r="M32" s="11">
        <v>511366.10000000003</v>
      </c>
      <c r="N32" s="8">
        <v>12078</v>
      </c>
      <c r="O32" s="11">
        <v>603221.88</v>
      </c>
      <c r="P32" s="8">
        <v>59</v>
      </c>
      <c r="Q32" s="11">
        <v>4380.68</v>
      </c>
      <c r="R32" s="8">
        <v>10831</v>
      </c>
      <c r="S32" s="11">
        <v>603312.77000000014</v>
      </c>
      <c r="T32" s="53">
        <f t="shared" si="11"/>
        <v>2736437</v>
      </c>
      <c r="U32" s="54">
        <f t="shared" si="12"/>
        <v>135117872.24000004</v>
      </c>
      <c r="V32" s="2" t="s">
        <v>57</v>
      </c>
      <c r="Y32" s="2" t="s">
        <v>8</v>
      </c>
      <c r="Z32" s="2">
        <v>2025</v>
      </c>
      <c r="AA32" s="1">
        <f t="shared" si="13"/>
        <v>795420</v>
      </c>
      <c r="AB32" s="11">
        <f t="shared" si="14"/>
        <v>40951191.790000007</v>
      </c>
      <c r="AC32" s="1">
        <f t="shared" si="15"/>
        <v>1907989</v>
      </c>
      <c r="AD32" s="11">
        <f t="shared" si="15"/>
        <v>92444399.019999996</v>
      </c>
      <c r="AE32" s="8">
        <f t="shared" si="15"/>
        <v>10060</v>
      </c>
      <c r="AF32" s="11">
        <f t="shared" si="15"/>
        <v>511366.10000000003</v>
      </c>
      <c r="AG32" s="8">
        <f t="shared" si="15"/>
        <v>12078</v>
      </c>
      <c r="AH32" s="11">
        <f t="shared" si="15"/>
        <v>603221.88</v>
      </c>
      <c r="AI32" s="8">
        <f t="shared" si="15"/>
        <v>59</v>
      </c>
      <c r="AJ32" s="11">
        <f t="shared" si="15"/>
        <v>4380.68</v>
      </c>
      <c r="AK32" s="11">
        <f t="shared" si="15"/>
        <v>10831</v>
      </c>
      <c r="AL32" s="11">
        <f t="shared" si="15"/>
        <v>603312.77000000014</v>
      </c>
      <c r="AM32" s="8">
        <f t="shared" si="19"/>
        <v>2736437</v>
      </c>
      <c r="AN32" s="11">
        <f t="shared" si="16"/>
        <v>135117872.24000001</v>
      </c>
      <c r="AO32" s="2" t="str">
        <f t="shared" si="17"/>
        <v>VIADUCTO</v>
      </c>
      <c r="AP32" s="37">
        <f t="shared" si="18"/>
        <v>0</v>
      </c>
      <c r="AQ32" s="37">
        <f t="shared" si="18"/>
        <v>0</v>
      </c>
    </row>
    <row r="33" spans="1:43" x14ac:dyDescent="0.25">
      <c r="B33" s="2" t="s">
        <v>9</v>
      </c>
      <c r="C33" s="2">
        <v>2025</v>
      </c>
      <c r="D33" s="1">
        <v>573280</v>
      </c>
      <c r="E33" s="11">
        <v>30160773.829999998</v>
      </c>
      <c r="F33" s="1">
        <v>278572</v>
      </c>
      <c r="G33" s="11">
        <v>13481044.060000001</v>
      </c>
      <c r="H33" s="1">
        <v>18082</v>
      </c>
      <c r="I33" s="11">
        <v>984256.91</v>
      </c>
      <c r="J33" s="1">
        <v>2099076</v>
      </c>
      <c r="K33" s="11">
        <v>101434495.98000002</v>
      </c>
      <c r="L33" s="8">
        <v>11107</v>
      </c>
      <c r="M33" s="11">
        <v>559470.12</v>
      </c>
      <c r="N33" s="8">
        <v>12834</v>
      </c>
      <c r="O33" s="11">
        <v>632033.26000000013</v>
      </c>
      <c r="P33" s="8">
        <v>87</v>
      </c>
      <c r="Q33" s="11">
        <v>7178.4100000000017</v>
      </c>
      <c r="R33" s="8">
        <v>12108</v>
      </c>
      <c r="S33" s="11">
        <v>665738.90999999992</v>
      </c>
      <c r="T33" s="53">
        <f t="shared" si="11"/>
        <v>3005146</v>
      </c>
      <c r="U33" s="54">
        <f t="shared" si="12"/>
        <v>147924991.47999999</v>
      </c>
      <c r="V33" s="2" t="s">
        <v>57</v>
      </c>
      <c r="Y33" s="2" t="s">
        <v>9</v>
      </c>
      <c r="Z33" s="2">
        <v>2025</v>
      </c>
      <c r="AA33" s="1">
        <f t="shared" si="13"/>
        <v>869934</v>
      </c>
      <c r="AB33" s="11">
        <f t="shared" si="14"/>
        <v>44626074.799999997</v>
      </c>
      <c r="AC33" s="1">
        <f t="shared" si="15"/>
        <v>2099076</v>
      </c>
      <c r="AD33" s="11">
        <f t="shared" si="15"/>
        <v>101434495.98000002</v>
      </c>
      <c r="AE33" s="8">
        <f t="shared" si="15"/>
        <v>11107</v>
      </c>
      <c r="AF33" s="11">
        <f t="shared" si="15"/>
        <v>559470.12</v>
      </c>
      <c r="AG33" s="8">
        <f t="shared" si="15"/>
        <v>12834</v>
      </c>
      <c r="AH33" s="11">
        <f t="shared" si="15"/>
        <v>632033.26000000013</v>
      </c>
      <c r="AI33" s="8">
        <f t="shared" si="15"/>
        <v>87</v>
      </c>
      <c r="AJ33" s="11">
        <f t="shared" si="15"/>
        <v>7178.4100000000017</v>
      </c>
      <c r="AK33" s="11">
        <f t="shared" si="15"/>
        <v>12108</v>
      </c>
      <c r="AL33" s="11">
        <f t="shared" si="15"/>
        <v>665738.90999999992</v>
      </c>
      <c r="AM33" s="8">
        <f t="shared" si="19"/>
        <v>3005146</v>
      </c>
      <c r="AN33" s="11">
        <f t="shared" si="16"/>
        <v>147924991.48000002</v>
      </c>
      <c r="AO33" s="2" t="str">
        <f t="shared" si="17"/>
        <v>VIADUCTO</v>
      </c>
      <c r="AP33" s="37">
        <f t="shared" si="18"/>
        <v>0</v>
      </c>
      <c r="AQ33" s="37">
        <f t="shared" si="18"/>
        <v>0</v>
      </c>
    </row>
    <row r="34" spans="1:43" x14ac:dyDescent="0.25">
      <c r="B34" s="2" t="s">
        <v>10</v>
      </c>
      <c r="C34" s="2">
        <v>2025</v>
      </c>
      <c r="D34" s="1">
        <v>562391</v>
      </c>
      <c r="E34" s="11">
        <v>29335033.009999998</v>
      </c>
      <c r="F34" s="1">
        <v>268990</v>
      </c>
      <c r="G34" s="11">
        <v>12880120.060000001</v>
      </c>
      <c r="H34" s="1">
        <v>20359</v>
      </c>
      <c r="I34" s="11">
        <v>1101384.22</v>
      </c>
      <c r="J34" s="1">
        <v>2062437</v>
      </c>
      <c r="K34" s="11">
        <v>99004360.079999998</v>
      </c>
      <c r="L34" s="8">
        <v>10976</v>
      </c>
      <c r="M34" s="11">
        <v>553815.60999999987</v>
      </c>
      <c r="N34" s="8">
        <v>12975</v>
      </c>
      <c r="O34" s="11">
        <v>634450.12</v>
      </c>
      <c r="P34" s="8">
        <v>71</v>
      </c>
      <c r="Q34" s="11">
        <v>5799.9000000000005</v>
      </c>
      <c r="R34" s="8">
        <v>11951</v>
      </c>
      <c r="S34" s="11">
        <v>644189.43999999983</v>
      </c>
      <c r="T34" s="53">
        <f t="shared" si="11"/>
        <v>2950150</v>
      </c>
      <c r="U34" s="54">
        <f t="shared" si="12"/>
        <v>144159152.44</v>
      </c>
      <c r="V34" s="2" t="s">
        <v>57</v>
      </c>
      <c r="Y34" s="2" t="s">
        <v>10</v>
      </c>
      <c r="Z34" s="2">
        <v>2025</v>
      </c>
      <c r="AA34" s="1">
        <f t="shared" si="13"/>
        <v>851740</v>
      </c>
      <c r="AB34" s="11">
        <f t="shared" si="14"/>
        <v>43316537.289999999</v>
      </c>
      <c r="AC34" s="1">
        <f t="shared" si="15"/>
        <v>2062437</v>
      </c>
      <c r="AD34" s="11">
        <f t="shared" si="15"/>
        <v>99004360.079999998</v>
      </c>
      <c r="AE34" s="8">
        <f t="shared" si="15"/>
        <v>10976</v>
      </c>
      <c r="AF34" s="11">
        <f t="shared" si="15"/>
        <v>553815.60999999987</v>
      </c>
      <c r="AG34" s="8">
        <f t="shared" si="15"/>
        <v>12975</v>
      </c>
      <c r="AH34" s="11">
        <f t="shared" si="15"/>
        <v>634450.12</v>
      </c>
      <c r="AI34" s="8">
        <f t="shared" si="15"/>
        <v>71</v>
      </c>
      <c r="AJ34" s="11">
        <f t="shared" si="15"/>
        <v>5799.9000000000005</v>
      </c>
      <c r="AK34" s="11">
        <f t="shared" si="15"/>
        <v>11951</v>
      </c>
      <c r="AL34" s="11">
        <f t="shared" si="15"/>
        <v>644189.43999999983</v>
      </c>
      <c r="AM34" s="8">
        <f t="shared" si="19"/>
        <v>2950150</v>
      </c>
      <c r="AN34" s="11">
        <f t="shared" si="16"/>
        <v>144159152.44</v>
      </c>
      <c r="AO34" s="2" t="str">
        <f t="shared" si="17"/>
        <v>VIADUCTO</v>
      </c>
      <c r="AP34" s="37">
        <f t="shared" si="18"/>
        <v>0</v>
      </c>
      <c r="AQ34" s="37">
        <f t="shared" si="18"/>
        <v>0</v>
      </c>
    </row>
    <row r="35" spans="1:43" x14ac:dyDescent="0.25">
      <c r="B35" s="2" t="s">
        <v>11</v>
      </c>
      <c r="C35" s="2">
        <v>2025</v>
      </c>
      <c r="D35" s="1">
        <v>603006</v>
      </c>
      <c r="E35" s="11">
        <v>31638241.900000002</v>
      </c>
      <c r="F35" s="1">
        <v>302708</v>
      </c>
      <c r="G35" s="11">
        <v>14592459.360000003</v>
      </c>
      <c r="H35" s="1">
        <v>17082</v>
      </c>
      <c r="I35" s="11">
        <v>921091.80999999994</v>
      </c>
      <c r="J35" s="1">
        <v>2264079</v>
      </c>
      <c r="K35" s="11">
        <v>109518020.40000002</v>
      </c>
      <c r="L35" s="8">
        <v>11717</v>
      </c>
      <c r="M35" s="11">
        <v>586492.5</v>
      </c>
      <c r="N35" s="8">
        <v>13649</v>
      </c>
      <c r="O35" s="11">
        <v>672109.15000000014</v>
      </c>
      <c r="P35" s="8">
        <v>93</v>
      </c>
      <c r="Q35" s="11">
        <v>6661.57</v>
      </c>
      <c r="R35" s="8">
        <v>13400</v>
      </c>
      <c r="S35" s="11">
        <v>735932.41</v>
      </c>
      <c r="T35" s="53">
        <f t="shared" si="11"/>
        <v>3225734</v>
      </c>
      <c r="U35" s="54">
        <f t="shared" si="12"/>
        <v>158671009.10000002</v>
      </c>
      <c r="V35" s="2" t="s">
        <v>57</v>
      </c>
      <c r="Y35" s="2" t="s">
        <v>11</v>
      </c>
      <c r="Z35" s="2">
        <v>2025</v>
      </c>
      <c r="AA35" s="1">
        <f t="shared" si="13"/>
        <v>922796</v>
      </c>
      <c r="AB35" s="11">
        <f t="shared" si="14"/>
        <v>47151793.070000008</v>
      </c>
      <c r="AC35" s="1">
        <f t="shared" si="15"/>
        <v>2264079</v>
      </c>
      <c r="AD35" s="11">
        <f t="shared" si="15"/>
        <v>109518020.40000002</v>
      </c>
      <c r="AE35" s="8">
        <f t="shared" si="15"/>
        <v>11717</v>
      </c>
      <c r="AF35" s="11">
        <f t="shared" si="15"/>
        <v>586492.5</v>
      </c>
      <c r="AG35" s="8">
        <f t="shared" si="15"/>
        <v>13649</v>
      </c>
      <c r="AH35" s="11">
        <f t="shared" si="15"/>
        <v>672109.15000000014</v>
      </c>
      <c r="AI35" s="8">
        <f t="shared" si="15"/>
        <v>93</v>
      </c>
      <c r="AJ35" s="11">
        <f t="shared" si="15"/>
        <v>6661.57</v>
      </c>
      <c r="AK35" s="11">
        <f t="shared" si="15"/>
        <v>13400</v>
      </c>
      <c r="AL35" s="11">
        <f t="shared" si="15"/>
        <v>735932.41</v>
      </c>
      <c r="AM35" s="8">
        <f t="shared" si="19"/>
        <v>3225734</v>
      </c>
      <c r="AN35" s="11">
        <f t="shared" si="16"/>
        <v>158671009.10000002</v>
      </c>
      <c r="AO35" s="2" t="str">
        <f t="shared" si="17"/>
        <v>VIADUCTO</v>
      </c>
      <c r="AP35" s="37">
        <f t="shared" si="18"/>
        <v>0</v>
      </c>
      <c r="AQ35" s="37">
        <f t="shared" si="18"/>
        <v>0</v>
      </c>
    </row>
    <row r="36" spans="1:43" x14ac:dyDescent="0.25">
      <c r="B36" s="2" t="s">
        <v>4</v>
      </c>
      <c r="C36" s="2">
        <v>2025</v>
      </c>
      <c r="D36" s="1">
        <v>613821</v>
      </c>
      <c r="E36" s="11">
        <v>32345528.789999999</v>
      </c>
      <c r="F36" s="1">
        <v>311455</v>
      </c>
      <c r="G36" s="11">
        <v>15018492.919999996</v>
      </c>
      <c r="H36" s="1">
        <v>17093</v>
      </c>
      <c r="I36" s="11">
        <v>935434.84000000008</v>
      </c>
      <c r="J36" s="1">
        <v>2313014</v>
      </c>
      <c r="K36" s="11">
        <v>112708343.65000001</v>
      </c>
      <c r="L36" s="8">
        <v>12129</v>
      </c>
      <c r="M36" s="11">
        <v>612424.86</v>
      </c>
      <c r="N36" s="8">
        <v>14249</v>
      </c>
      <c r="O36" s="11">
        <v>717285.45000000007</v>
      </c>
      <c r="P36" s="8">
        <v>86</v>
      </c>
      <c r="Q36" s="11">
        <v>6778.53</v>
      </c>
      <c r="R36" s="8">
        <v>13936</v>
      </c>
      <c r="S36" s="11">
        <v>766556.77</v>
      </c>
      <c r="T36" s="53">
        <f t="shared" si="11"/>
        <v>3295783</v>
      </c>
      <c r="U36" s="54">
        <f t="shared" si="12"/>
        <v>163110845.81</v>
      </c>
      <c r="V36" s="2" t="s">
        <v>57</v>
      </c>
      <c r="Y36" s="2" t="s">
        <v>4</v>
      </c>
      <c r="Z36" s="2">
        <v>2025</v>
      </c>
      <c r="AA36" s="1">
        <f t="shared" si="13"/>
        <v>942369</v>
      </c>
      <c r="AB36" s="11">
        <f t="shared" si="14"/>
        <v>48299456.549999997</v>
      </c>
      <c r="AC36" s="1">
        <f t="shared" si="15"/>
        <v>2313014</v>
      </c>
      <c r="AD36" s="11">
        <f t="shared" si="15"/>
        <v>112708343.65000001</v>
      </c>
      <c r="AE36" s="8">
        <f t="shared" si="15"/>
        <v>12129</v>
      </c>
      <c r="AF36" s="11">
        <f t="shared" si="15"/>
        <v>612424.86</v>
      </c>
      <c r="AG36" s="8">
        <f t="shared" si="15"/>
        <v>14249</v>
      </c>
      <c r="AH36" s="11">
        <f t="shared" si="15"/>
        <v>717285.45000000007</v>
      </c>
      <c r="AI36" s="8">
        <f t="shared" si="15"/>
        <v>86</v>
      </c>
      <c r="AJ36" s="11">
        <f t="shared" si="15"/>
        <v>6778.53</v>
      </c>
      <c r="AK36" s="11">
        <f t="shared" si="15"/>
        <v>13936</v>
      </c>
      <c r="AL36" s="11">
        <f t="shared" si="15"/>
        <v>766556.77</v>
      </c>
      <c r="AM36" s="27">
        <f t="shared" si="19"/>
        <v>3295783</v>
      </c>
      <c r="AN36" s="14">
        <f t="shared" si="16"/>
        <v>163110845.81000003</v>
      </c>
      <c r="AO36" s="2" t="str">
        <f t="shared" si="17"/>
        <v>VIADUCTO</v>
      </c>
      <c r="AP36" s="37">
        <f t="shared" si="18"/>
        <v>0</v>
      </c>
      <c r="AQ36" s="37">
        <f t="shared" si="18"/>
        <v>0</v>
      </c>
    </row>
    <row r="37" spans="1:43" x14ac:dyDescent="0.25">
      <c r="B37" s="2" t="s">
        <v>28</v>
      </c>
      <c r="C37" s="2">
        <v>2025</v>
      </c>
      <c r="D37" s="1">
        <v>565872</v>
      </c>
      <c r="E37" s="11">
        <v>29237225.290000007</v>
      </c>
      <c r="F37" s="1">
        <v>283717</v>
      </c>
      <c r="G37" s="11">
        <v>13454899.289999999</v>
      </c>
      <c r="H37" s="1">
        <v>16447</v>
      </c>
      <c r="I37" s="11">
        <v>884101.7300000001</v>
      </c>
      <c r="J37" s="1">
        <v>2171353</v>
      </c>
      <c r="K37" s="11">
        <v>103282634.44999999</v>
      </c>
      <c r="L37" s="8">
        <v>10674</v>
      </c>
      <c r="M37" s="11">
        <v>532629.67000000004</v>
      </c>
      <c r="N37" s="8">
        <v>13017</v>
      </c>
      <c r="O37" s="11">
        <v>643703.43000000017</v>
      </c>
      <c r="P37" s="8">
        <v>72</v>
      </c>
      <c r="Q37" s="11">
        <v>5418.4800000000005</v>
      </c>
      <c r="R37" s="8">
        <v>12978</v>
      </c>
      <c r="S37" s="11">
        <v>687384.87</v>
      </c>
      <c r="T37" s="53">
        <f t="shared" si="11"/>
        <v>3074130</v>
      </c>
      <c r="U37" s="54">
        <f t="shared" si="12"/>
        <v>148727997.20999998</v>
      </c>
      <c r="V37" s="2" t="s">
        <v>57</v>
      </c>
      <c r="Y37" s="2" t="s">
        <v>28</v>
      </c>
      <c r="Z37" s="2">
        <v>2025</v>
      </c>
      <c r="AA37" s="1">
        <f t="shared" si="13"/>
        <v>866036</v>
      </c>
      <c r="AB37" s="11">
        <f t="shared" si="14"/>
        <v>43576226.310000002</v>
      </c>
      <c r="AC37" s="1">
        <f t="shared" si="15"/>
        <v>2171353</v>
      </c>
      <c r="AD37" s="11">
        <f t="shared" si="15"/>
        <v>103282634.44999999</v>
      </c>
      <c r="AE37" s="8">
        <f t="shared" si="15"/>
        <v>10674</v>
      </c>
      <c r="AF37" s="11">
        <f t="shared" si="15"/>
        <v>532629.67000000004</v>
      </c>
      <c r="AG37" s="8">
        <f t="shared" si="15"/>
        <v>13017</v>
      </c>
      <c r="AH37" s="11">
        <f t="shared" si="15"/>
        <v>643703.43000000017</v>
      </c>
      <c r="AI37" s="8">
        <f t="shared" si="15"/>
        <v>72</v>
      </c>
      <c r="AJ37" s="11">
        <f t="shared" si="15"/>
        <v>5418.4800000000005</v>
      </c>
      <c r="AK37" s="11">
        <f t="shared" si="15"/>
        <v>12978</v>
      </c>
      <c r="AL37" s="11">
        <f t="shared" si="15"/>
        <v>687384.87</v>
      </c>
      <c r="AM37" s="8">
        <f t="shared" si="19"/>
        <v>3074130</v>
      </c>
      <c r="AN37" s="11">
        <f t="shared" si="16"/>
        <v>148727997.20999998</v>
      </c>
      <c r="AO37" s="2" t="str">
        <f t="shared" si="17"/>
        <v>VIADUCTO</v>
      </c>
      <c r="AP37" s="37">
        <f t="shared" si="18"/>
        <v>0</v>
      </c>
      <c r="AQ37" s="37">
        <f t="shared" si="18"/>
        <v>0</v>
      </c>
    </row>
    <row r="38" spans="1:43" x14ac:dyDescent="0.25">
      <c r="B38" s="2" t="s">
        <v>29</v>
      </c>
      <c r="C38" s="2">
        <v>2025</v>
      </c>
      <c r="D38" s="1">
        <v>607113</v>
      </c>
      <c r="E38" s="11">
        <v>31503938.590000004</v>
      </c>
      <c r="F38" s="1">
        <v>302722</v>
      </c>
      <c r="G38" s="11">
        <v>14470933.030000001</v>
      </c>
      <c r="H38" s="1">
        <v>17472</v>
      </c>
      <c r="I38" s="11">
        <v>941120.4700000002</v>
      </c>
      <c r="J38" s="1">
        <v>2318180</v>
      </c>
      <c r="K38" s="11">
        <v>110829206.83</v>
      </c>
      <c r="L38" s="8">
        <v>11341</v>
      </c>
      <c r="M38" s="11">
        <v>573160.13000000012</v>
      </c>
      <c r="N38" s="8">
        <v>13901</v>
      </c>
      <c r="O38" s="11">
        <v>675898.07000000007</v>
      </c>
      <c r="P38" s="8">
        <v>85</v>
      </c>
      <c r="Q38" s="11">
        <v>6101.39</v>
      </c>
      <c r="R38" s="8">
        <v>13799</v>
      </c>
      <c r="S38" s="11">
        <v>732945.26</v>
      </c>
      <c r="T38" s="53">
        <f t="shared" si="11"/>
        <v>3284613</v>
      </c>
      <c r="U38" s="54">
        <f t="shared" si="12"/>
        <v>159733303.76999998</v>
      </c>
      <c r="V38" s="2" t="s">
        <v>57</v>
      </c>
      <c r="Y38" s="2" t="s">
        <v>29</v>
      </c>
      <c r="Z38" s="2">
        <v>2025</v>
      </c>
      <c r="AA38" s="1">
        <f t="shared" si="13"/>
        <v>927307</v>
      </c>
      <c r="AB38" s="11">
        <f t="shared" si="14"/>
        <v>46915992.090000004</v>
      </c>
      <c r="AC38" s="1">
        <f t="shared" si="15"/>
        <v>2318180</v>
      </c>
      <c r="AD38" s="11">
        <f t="shared" si="15"/>
        <v>110829206.83</v>
      </c>
      <c r="AE38" s="8">
        <f t="shared" si="15"/>
        <v>11341</v>
      </c>
      <c r="AF38" s="11">
        <f t="shared" si="15"/>
        <v>573160.13000000012</v>
      </c>
      <c r="AG38" s="8">
        <f t="shared" si="15"/>
        <v>13901</v>
      </c>
      <c r="AH38" s="11">
        <f t="shared" si="15"/>
        <v>675898.07000000007</v>
      </c>
      <c r="AI38" s="8">
        <f t="shared" si="15"/>
        <v>85</v>
      </c>
      <c r="AJ38" s="11">
        <f t="shared" si="15"/>
        <v>6101.39</v>
      </c>
      <c r="AK38" s="11">
        <f t="shared" si="15"/>
        <v>13799</v>
      </c>
      <c r="AL38" s="11">
        <f t="shared" si="15"/>
        <v>732945.26</v>
      </c>
      <c r="AM38" s="8">
        <f t="shared" si="19"/>
        <v>3284613</v>
      </c>
      <c r="AN38" s="11">
        <f t="shared" si="16"/>
        <v>159733303.76999998</v>
      </c>
      <c r="AO38" s="2" t="str">
        <f t="shared" si="17"/>
        <v>VIADUCTO</v>
      </c>
      <c r="AP38" s="37">
        <f t="shared" si="18"/>
        <v>0</v>
      </c>
      <c r="AQ38" s="37">
        <f t="shared" si="18"/>
        <v>0</v>
      </c>
    </row>
    <row r="39" spans="1:43" x14ac:dyDescent="0.25">
      <c r="B39" s="2" t="s">
        <v>30</v>
      </c>
      <c r="C39" s="2">
        <v>2025</v>
      </c>
      <c r="D39" s="1">
        <v>567713</v>
      </c>
      <c r="E39" s="11">
        <v>29003930</v>
      </c>
      <c r="F39" s="1">
        <v>290229</v>
      </c>
      <c r="G39" s="11">
        <v>13719001.800000001</v>
      </c>
      <c r="H39" s="1">
        <v>17297</v>
      </c>
      <c r="I39" s="11">
        <v>909333.34999999986</v>
      </c>
      <c r="J39" s="1">
        <v>2340547</v>
      </c>
      <c r="K39" s="11">
        <v>110652142.28</v>
      </c>
      <c r="L39" s="8">
        <v>11553</v>
      </c>
      <c r="M39" s="11">
        <v>589577.09</v>
      </c>
      <c r="N39" s="8">
        <v>14244</v>
      </c>
      <c r="O39" s="11">
        <v>678540.86</v>
      </c>
      <c r="P39" s="8">
        <v>84</v>
      </c>
      <c r="Q39" s="11">
        <v>7092.48</v>
      </c>
      <c r="R39" s="8">
        <v>15322</v>
      </c>
      <c r="S39" s="11">
        <v>803031.7799999998</v>
      </c>
      <c r="T39" s="53">
        <f t="shared" si="11"/>
        <v>3256989</v>
      </c>
      <c r="U39" s="54">
        <f t="shared" si="12"/>
        <v>156362649.63999999</v>
      </c>
      <c r="V39" s="2" t="s">
        <v>57</v>
      </c>
      <c r="Y39" s="2" t="s">
        <v>30</v>
      </c>
      <c r="Z39" s="2">
        <v>2025</v>
      </c>
      <c r="AA39" s="1">
        <f t="shared" si="13"/>
        <v>875239</v>
      </c>
      <c r="AB39" s="11">
        <f t="shared" si="14"/>
        <v>43632265.150000006</v>
      </c>
      <c r="AC39" s="1">
        <f t="shared" si="15"/>
        <v>2340547</v>
      </c>
      <c r="AD39" s="11">
        <f t="shared" si="15"/>
        <v>110652142.28</v>
      </c>
      <c r="AE39" s="8">
        <f t="shared" si="15"/>
        <v>11553</v>
      </c>
      <c r="AF39" s="11">
        <f t="shared" si="15"/>
        <v>589577.09</v>
      </c>
      <c r="AG39" s="8">
        <f t="shared" si="15"/>
        <v>14244</v>
      </c>
      <c r="AH39" s="11">
        <f t="shared" si="15"/>
        <v>678540.86</v>
      </c>
      <c r="AI39" s="8">
        <f t="shared" si="15"/>
        <v>84</v>
      </c>
      <c r="AJ39" s="11">
        <f t="shared" si="15"/>
        <v>7092.48</v>
      </c>
      <c r="AK39" s="11">
        <f t="shared" si="15"/>
        <v>15322</v>
      </c>
      <c r="AL39" s="11">
        <f t="shared" si="15"/>
        <v>803031.7799999998</v>
      </c>
      <c r="AM39" s="79">
        <f t="shared" si="19"/>
        <v>3256989</v>
      </c>
      <c r="AN39" s="80">
        <f t="shared" si="16"/>
        <v>156362649.64000002</v>
      </c>
      <c r="AO39" s="2" t="str">
        <f t="shared" si="17"/>
        <v>VIADUCTO</v>
      </c>
      <c r="AP39" s="37">
        <f t="shared" si="18"/>
        <v>0</v>
      </c>
      <c r="AQ39" s="37">
        <f t="shared" si="18"/>
        <v>0</v>
      </c>
    </row>
    <row r="40" spans="1:43" x14ac:dyDescent="0.25">
      <c r="B40" s="2" t="s">
        <v>31</v>
      </c>
      <c r="C40" s="2">
        <v>2025</v>
      </c>
      <c r="D40" s="1">
        <v>559935</v>
      </c>
      <c r="E40" s="11">
        <v>29187911.5</v>
      </c>
      <c r="F40" s="1">
        <v>305432</v>
      </c>
      <c r="G40" s="11">
        <v>14694402.219999997</v>
      </c>
      <c r="H40" s="1">
        <v>20953</v>
      </c>
      <c r="I40" s="11">
        <v>1126224.8200000003</v>
      </c>
      <c r="J40" s="1">
        <v>2229965</v>
      </c>
      <c r="K40" s="11">
        <v>107730636.02999997</v>
      </c>
      <c r="L40" s="8">
        <v>11207</v>
      </c>
      <c r="M40" s="11">
        <v>582595.56000000017</v>
      </c>
      <c r="N40" s="8">
        <v>13373</v>
      </c>
      <c r="O40" s="11">
        <v>657257.44999999984</v>
      </c>
      <c r="P40" s="8">
        <v>96</v>
      </c>
      <c r="Q40" s="11">
        <v>7658.62</v>
      </c>
      <c r="R40" s="8">
        <v>15527</v>
      </c>
      <c r="S40" s="11">
        <v>829292.53</v>
      </c>
      <c r="T40" s="53">
        <f t="shared" si="11"/>
        <v>3156488</v>
      </c>
      <c r="U40" s="54">
        <f t="shared" si="12"/>
        <v>154815978.72999999</v>
      </c>
      <c r="V40" s="2" t="s">
        <v>57</v>
      </c>
      <c r="W40" s="13"/>
      <c r="Y40" s="2" t="s">
        <v>31</v>
      </c>
      <c r="Z40" s="2">
        <v>2025</v>
      </c>
      <c r="AA40" s="1">
        <f t="shared" si="13"/>
        <v>886320</v>
      </c>
      <c r="AB40" s="11">
        <f t="shared" si="14"/>
        <v>45008538.539999999</v>
      </c>
      <c r="AC40" s="1">
        <f t="shared" si="15"/>
        <v>2229965</v>
      </c>
      <c r="AD40" s="11">
        <f t="shared" si="15"/>
        <v>107730636.02999997</v>
      </c>
      <c r="AE40" s="8">
        <f t="shared" si="15"/>
        <v>11207</v>
      </c>
      <c r="AF40" s="11">
        <f t="shared" si="15"/>
        <v>582595.56000000017</v>
      </c>
      <c r="AG40" s="8">
        <f t="shared" si="15"/>
        <v>13373</v>
      </c>
      <c r="AH40" s="11">
        <f t="shared" si="15"/>
        <v>657257.44999999984</v>
      </c>
      <c r="AI40" s="8">
        <f t="shared" si="15"/>
        <v>96</v>
      </c>
      <c r="AJ40" s="11">
        <f t="shared" si="15"/>
        <v>7658.62</v>
      </c>
      <c r="AK40" s="11">
        <f t="shared" si="15"/>
        <v>15527</v>
      </c>
      <c r="AL40" s="11">
        <f t="shared" si="15"/>
        <v>829292.53</v>
      </c>
      <c r="AM40" s="8">
        <f t="shared" si="19"/>
        <v>3156488</v>
      </c>
      <c r="AN40" s="11">
        <f t="shared" si="16"/>
        <v>154815978.72999996</v>
      </c>
      <c r="AO40" s="2" t="str">
        <f t="shared" si="17"/>
        <v>VIADUCTO</v>
      </c>
      <c r="AP40" s="37">
        <f t="shared" si="18"/>
        <v>0</v>
      </c>
      <c r="AQ40" s="37">
        <f t="shared" si="18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20">SUM(D29:D41)</f>
        <v>6760757</v>
      </c>
      <c r="E42" s="12">
        <f t="shared" si="20"/>
        <v>352237296.77999997</v>
      </c>
      <c r="F42" s="4">
        <f t="shared" si="20"/>
        <v>3411699</v>
      </c>
      <c r="G42" s="12">
        <f t="shared" si="20"/>
        <v>163536784.27000001</v>
      </c>
      <c r="H42" s="4">
        <f t="shared" si="20"/>
        <v>191407</v>
      </c>
      <c r="I42" s="12">
        <f t="shared" si="20"/>
        <v>10382065.43</v>
      </c>
      <c r="J42" s="4">
        <f t="shared" si="20"/>
        <v>25638950</v>
      </c>
      <c r="K42" s="12">
        <f t="shared" si="20"/>
        <v>1227955066.76</v>
      </c>
      <c r="L42" s="4">
        <f t="shared" si="20"/>
        <v>130822</v>
      </c>
      <c r="M42" s="12">
        <f t="shared" si="20"/>
        <v>6577155.2199999997</v>
      </c>
      <c r="N42" s="4">
        <f t="shared" si="20"/>
        <v>157841</v>
      </c>
      <c r="O42" s="12">
        <f t="shared" si="20"/>
        <v>7724775.3800000008</v>
      </c>
      <c r="P42" s="4">
        <f>SUM(P29:P41)</f>
        <v>956</v>
      </c>
      <c r="Q42" s="12">
        <f>SUM(Q29:Q41)</f>
        <v>74409.820000000007</v>
      </c>
      <c r="R42" s="4">
        <f>SUM(R29:R41)</f>
        <v>151552</v>
      </c>
      <c r="S42" s="12">
        <f>SUM(S29:S41)</f>
        <v>8157793.2600000007</v>
      </c>
      <c r="T42" s="4">
        <f t="shared" si="20"/>
        <v>36443984</v>
      </c>
      <c r="U42" s="12">
        <f t="shared" si="20"/>
        <v>1776645346.9200001</v>
      </c>
      <c r="Y42" s="3" t="s">
        <v>12</v>
      </c>
      <c r="Z42" s="3"/>
      <c r="AA42" s="4">
        <f t="shared" ref="AA42:AN42" si="21">SUM(AA29:AA41)</f>
        <v>10363863</v>
      </c>
      <c r="AB42" s="12">
        <f t="shared" si="21"/>
        <v>526156146.48000008</v>
      </c>
      <c r="AC42" s="4">
        <f t="shared" si="21"/>
        <v>25638950</v>
      </c>
      <c r="AD42" s="12">
        <f t="shared" si="21"/>
        <v>1227955066.76</v>
      </c>
      <c r="AE42" s="4">
        <f t="shared" si="21"/>
        <v>130822</v>
      </c>
      <c r="AF42" s="12">
        <f t="shared" si="21"/>
        <v>6577155.2199999997</v>
      </c>
      <c r="AG42" s="4">
        <f t="shared" si="21"/>
        <v>157841</v>
      </c>
      <c r="AH42" s="12">
        <f t="shared" si="21"/>
        <v>7724775.3800000008</v>
      </c>
      <c r="AI42" s="4">
        <f t="shared" si="21"/>
        <v>956</v>
      </c>
      <c r="AJ42" s="12">
        <f t="shared" si="21"/>
        <v>74409.820000000007</v>
      </c>
      <c r="AK42" s="4">
        <f t="shared" si="21"/>
        <v>151552</v>
      </c>
      <c r="AL42" s="12">
        <f t="shared" si="21"/>
        <v>8157793.2600000007</v>
      </c>
      <c r="AM42" s="4">
        <f t="shared" si="21"/>
        <v>36443984</v>
      </c>
      <c r="AN42" s="12">
        <f t="shared" si="21"/>
        <v>1776645346.9200003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9671.5</v>
      </c>
      <c r="M43" s="60">
        <f>AVERAGE(M29:M30)</f>
        <v>467815.53999999992</v>
      </c>
      <c r="T43" s="15">
        <f>AVERAGE(T29:T30)</f>
        <v>2746613</v>
      </c>
      <c r="U43" s="28">
        <f>AVERAGE(U29:U30)</f>
        <v>131074760.70499995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6.485890179457604E-2</v>
      </c>
      <c r="M44" s="36">
        <f>+M43/$M$371</f>
        <v>1.8001782627915856E-2</v>
      </c>
      <c r="N44" s="18"/>
      <c r="O44" s="19"/>
      <c r="P44" s="19"/>
      <c r="Q44" s="19"/>
      <c r="R44" s="19"/>
      <c r="S44" s="19"/>
      <c r="T44" s="36">
        <f>+L43/T43</f>
        <v>3.5212459855101536E-3</v>
      </c>
      <c r="U44" s="62">
        <f>+M43/U43</f>
        <v>3.5690741488582762E-3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87</v>
      </c>
      <c r="S47" s="93"/>
      <c r="T47" s="89" t="s">
        <v>12</v>
      </c>
      <c r="U47" s="93"/>
      <c r="W47" s="10" t="s">
        <v>135</v>
      </c>
      <c r="AA47" s="89" t="s">
        <v>69</v>
      </c>
      <c r="AB47" s="90"/>
      <c r="AC47" s="89" t="s">
        <v>17</v>
      </c>
      <c r="AD47" s="93"/>
      <c r="AE47" s="89" t="s">
        <v>18</v>
      </c>
      <c r="AF47" s="93"/>
      <c r="AG47" s="89" t="s">
        <v>13</v>
      </c>
      <c r="AH47" s="93"/>
      <c r="AI47" s="89" t="s">
        <v>34</v>
      </c>
      <c r="AJ47" s="93"/>
      <c r="AK47" s="89" t="s">
        <v>87</v>
      </c>
      <c r="AL47" s="93"/>
      <c r="AM47" s="89" t="s">
        <v>12</v>
      </c>
      <c r="AN47" s="93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W48" s="7" t="s">
        <v>2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2025</v>
      </c>
      <c r="D50" s="1">
        <v>246035</v>
      </c>
      <c r="E50" s="11">
        <v>12014915</v>
      </c>
      <c r="F50" s="1">
        <v>225676</v>
      </c>
      <c r="G50" s="11">
        <v>11151868</v>
      </c>
      <c r="H50" s="1">
        <v>17185</v>
      </c>
      <c r="I50" s="11">
        <v>911600</v>
      </c>
      <c r="J50" s="1">
        <v>1932648</v>
      </c>
      <c r="K50" s="11">
        <v>93421424</v>
      </c>
      <c r="L50" s="8">
        <v>9932</v>
      </c>
      <c r="M50" s="11">
        <v>473791</v>
      </c>
      <c r="N50" s="8">
        <v>30220</v>
      </c>
      <c r="O50" s="11">
        <v>1450695</v>
      </c>
      <c r="P50" s="8">
        <v>0</v>
      </c>
      <c r="Q50" s="11">
        <v>0</v>
      </c>
      <c r="R50" s="8">
        <v>17510</v>
      </c>
      <c r="S50" s="11">
        <v>847580</v>
      </c>
      <c r="T50" s="53">
        <f t="shared" ref="T50:T61" si="22">N50+L50+J50+H50+D50+P50+F50+R50</f>
        <v>2479206</v>
      </c>
      <c r="U50" s="54">
        <f t="shared" ref="U50:U61" si="23">O50+M50+K50+I50+E50+Q50+G50+S50</f>
        <v>120271873</v>
      </c>
      <c r="V50" s="2" t="s">
        <v>58</v>
      </c>
      <c r="W50" s="8">
        <v>1616296</v>
      </c>
      <c r="Y50" s="2" t="s">
        <v>5</v>
      </c>
      <c r="Z50" s="2">
        <v>2025</v>
      </c>
      <c r="AA50" s="1">
        <f t="shared" ref="AA50:AA61" si="24">D50+H50+F50</f>
        <v>488896</v>
      </c>
      <c r="AB50" s="11">
        <f t="shared" ref="AB50:AB61" si="25">E50+I50+G50</f>
        <v>24078383</v>
      </c>
      <c r="AC50" s="1">
        <f t="shared" ref="AC50:AL61" si="26">+J50</f>
        <v>1932648</v>
      </c>
      <c r="AD50" s="11">
        <f t="shared" si="26"/>
        <v>93421424</v>
      </c>
      <c r="AE50" s="8">
        <f t="shared" si="26"/>
        <v>9932</v>
      </c>
      <c r="AF50" s="11">
        <f t="shared" si="26"/>
        <v>473791</v>
      </c>
      <c r="AG50" s="8">
        <f t="shared" si="26"/>
        <v>30220</v>
      </c>
      <c r="AH50" s="11">
        <f t="shared" si="26"/>
        <v>1450695</v>
      </c>
      <c r="AI50" s="8">
        <f t="shared" si="26"/>
        <v>0</v>
      </c>
      <c r="AJ50" s="11">
        <f t="shared" si="26"/>
        <v>0</v>
      </c>
      <c r="AK50" s="11">
        <f t="shared" si="26"/>
        <v>17510</v>
      </c>
      <c r="AL50" s="11">
        <f t="shared" si="26"/>
        <v>847580</v>
      </c>
      <c r="AM50" s="8">
        <f>AI50+AG50+AE50+AC50+AA50+AK50</f>
        <v>2479206</v>
      </c>
      <c r="AN50" s="11">
        <f t="shared" ref="AN50:AN61" si="27">AJ50+AH50+AF50+AD50+AB50+AL50</f>
        <v>120271873</v>
      </c>
      <c r="AO50" s="2" t="str">
        <f t="shared" ref="AO50:AO61" si="28">+V50</f>
        <v>SUPERVIA</v>
      </c>
      <c r="AP50" s="37">
        <f t="shared" ref="AP50:AQ61" si="29">+AM50-T50</f>
        <v>0</v>
      </c>
      <c r="AQ50" s="37">
        <f t="shared" si="29"/>
        <v>0</v>
      </c>
    </row>
    <row r="51" spans="2:43" x14ac:dyDescent="0.25">
      <c r="B51" s="2" t="s">
        <v>6</v>
      </c>
      <c r="C51" s="2">
        <v>2025</v>
      </c>
      <c r="D51" s="1">
        <v>221022</v>
      </c>
      <c r="E51" s="11">
        <v>11294589</v>
      </c>
      <c r="F51" s="1">
        <v>206584</v>
      </c>
      <c r="G51" s="11">
        <v>10680425</v>
      </c>
      <c r="H51" s="1">
        <v>66891</v>
      </c>
      <c r="I51" s="11">
        <v>3483649</v>
      </c>
      <c r="J51" s="1">
        <v>1921605</v>
      </c>
      <c r="K51" s="11">
        <v>96924092</v>
      </c>
      <c r="L51" s="8">
        <v>9641</v>
      </c>
      <c r="M51" s="11">
        <v>480590</v>
      </c>
      <c r="N51" s="8">
        <v>29065</v>
      </c>
      <c r="O51" s="11">
        <v>1453520</v>
      </c>
      <c r="P51" s="8">
        <v>0</v>
      </c>
      <c r="Q51" s="11">
        <v>0</v>
      </c>
      <c r="R51" s="8">
        <v>18868</v>
      </c>
      <c r="S51" s="11">
        <v>957474</v>
      </c>
      <c r="T51" s="53">
        <f t="shared" si="22"/>
        <v>2473676</v>
      </c>
      <c r="U51" s="54">
        <f t="shared" si="23"/>
        <v>125274339</v>
      </c>
      <c r="V51" s="2" t="s">
        <v>58</v>
      </c>
      <c r="W51" s="8">
        <v>1611113</v>
      </c>
      <c r="Y51" s="2" t="s">
        <v>6</v>
      </c>
      <c r="Z51" s="2">
        <v>2025</v>
      </c>
      <c r="AA51" s="1">
        <f t="shared" si="24"/>
        <v>494497</v>
      </c>
      <c r="AB51" s="11">
        <f t="shared" si="25"/>
        <v>25458663</v>
      </c>
      <c r="AC51" s="1">
        <f t="shared" si="26"/>
        <v>1921605</v>
      </c>
      <c r="AD51" s="11">
        <f t="shared" si="26"/>
        <v>96924092</v>
      </c>
      <c r="AE51" s="8">
        <f t="shared" si="26"/>
        <v>9641</v>
      </c>
      <c r="AF51" s="11">
        <f t="shared" si="26"/>
        <v>480590</v>
      </c>
      <c r="AG51" s="8">
        <f t="shared" si="26"/>
        <v>29065</v>
      </c>
      <c r="AH51" s="11">
        <f t="shared" si="26"/>
        <v>1453520</v>
      </c>
      <c r="AI51" s="8">
        <f t="shared" si="26"/>
        <v>0</v>
      </c>
      <c r="AJ51" s="11">
        <f t="shared" si="26"/>
        <v>0</v>
      </c>
      <c r="AK51" s="11">
        <f t="shared" si="26"/>
        <v>18868</v>
      </c>
      <c r="AL51" s="11">
        <f t="shared" si="26"/>
        <v>957474</v>
      </c>
      <c r="AM51" s="8">
        <f t="shared" ref="AM51:AM61" si="30">AI51+AG51+AE51+AC51+AA51+AK51</f>
        <v>2473676</v>
      </c>
      <c r="AN51" s="11">
        <f t="shared" si="27"/>
        <v>125274339</v>
      </c>
      <c r="AO51" s="2" t="str">
        <f t="shared" si="28"/>
        <v>SUPERVIA</v>
      </c>
      <c r="AP51" s="37">
        <f t="shared" si="29"/>
        <v>0</v>
      </c>
      <c r="AQ51" s="37">
        <f t="shared" si="29"/>
        <v>0</v>
      </c>
    </row>
    <row r="52" spans="2:43" x14ac:dyDescent="0.25">
      <c r="B52" s="2" t="s">
        <v>7</v>
      </c>
      <c r="C52" s="2">
        <v>2025</v>
      </c>
      <c r="D52" s="1">
        <v>280797</v>
      </c>
      <c r="E52" s="11">
        <v>14329349</v>
      </c>
      <c r="F52" s="1">
        <v>249933</v>
      </c>
      <c r="G52" s="11">
        <v>12926869</v>
      </c>
      <c r="H52" s="1">
        <v>18963</v>
      </c>
      <c r="I52" s="11">
        <v>1042968</v>
      </c>
      <c r="J52" s="1">
        <v>2137494</v>
      </c>
      <c r="K52" s="11">
        <v>107829558</v>
      </c>
      <c r="L52" s="8">
        <v>11160</v>
      </c>
      <c r="M52" s="11">
        <v>556128</v>
      </c>
      <c r="N52" s="8">
        <v>32588</v>
      </c>
      <c r="O52" s="11">
        <v>1627191</v>
      </c>
      <c r="P52" s="8">
        <v>2</v>
      </c>
      <c r="Q52" s="11">
        <v>95</v>
      </c>
      <c r="R52" s="8">
        <v>22049</v>
      </c>
      <c r="S52" s="11">
        <v>1125711</v>
      </c>
      <c r="T52" s="53">
        <f t="shared" si="22"/>
        <v>2752986</v>
      </c>
      <c r="U52" s="54">
        <f t="shared" si="23"/>
        <v>139437869</v>
      </c>
      <c r="V52" s="2" t="s">
        <v>58</v>
      </c>
      <c r="W52" s="8">
        <v>1797679</v>
      </c>
      <c r="Y52" s="2" t="s">
        <v>7</v>
      </c>
      <c r="Z52" s="2">
        <v>2025</v>
      </c>
      <c r="AA52" s="1">
        <f t="shared" si="24"/>
        <v>549693</v>
      </c>
      <c r="AB52" s="11">
        <f t="shared" si="25"/>
        <v>28299186</v>
      </c>
      <c r="AC52" s="1">
        <f t="shared" si="26"/>
        <v>2137494</v>
      </c>
      <c r="AD52" s="11">
        <f t="shared" si="26"/>
        <v>107829558</v>
      </c>
      <c r="AE52" s="8">
        <f t="shared" si="26"/>
        <v>11160</v>
      </c>
      <c r="AF52" s="11">
        <f t="shared" si="26"/>
        <v>556128</v>
      </c>
      <c r="AG52" s="8">
        <f t="shared" si="26"/>
        <v>32588</v>
      </c>
      <c r="AH52" s="11">
        <f t="shared" si="26"/>
        <v>1627191</v>
      </c>
      <c r="AI52" s="8">
        <f t="shared" si="26"/>
        <v>2</v>
      </c>
      <c r="AJ52" s="11">
        <f t="shared" si="26"/>
        <v>95</v>
      </c>
      <c r="AK52" s="11">
        <f t="shared" si="26"/>
        <v>22049</v>
      </c>
      <c r="AL52" s="11">
        <f t="shared" si="26"/>
        <v>1125711</v>
      </c>
      <c r="AM52" s="8">
        <f t="shared" si="30"/>
        <v>2752986</v>
      </c>
      <c r="AN52" s="11">
        <f t="shared" si="27"/>
        <v>139437869</v>
      </c>
      <c r="AO52" s="2" t="str">
        <f t="shared" si="28"/>
        <v>SUPERVIA</v>
      </c>
      <c r="AP52" s="37">
        <f t="shared" si="29"/>
        <v>0</v>
      </c>
      <c r="AQ52" s="37">
        <f t="shared" si="29"/>
        <v>0</v>
      </c>
    </row>
    <row r="53" spans="2:43" x14ac:dyDescent="0.25">
      <c r="B53" s="2" t="s">
        <v>8</v>
      </c>
      <c r="C53" s="2">
        <v>2025</v>
      </c>
      <c r="D53" s="1">
        <v>253342</v>
      </c>
      <c r="E53" s="11">
        <v>12919349</v>
      </c>
      <c r="F53" s="1">
        <v>223991</v>
      </c>
      <c r="G53" s="11">
        <v>11590286</v>
      </c>
      <c r="H53" s="1">
        <v>18803</v>
      </c>
      <c r="I53" s="11">
        <v>1032122</v>
      </c>
      <c r="J53" s="1">
        <v>1865912</v>
      </c>
      <c r="K53" s="11">
        <v>93969106</v>
      </c>
      <c r="L53" s="8">
        <v>9599</v>
      </c>
      <c r="M53" s="11">
        <v>480581</v>
      </c>
      <c r="N53" s="8">
        <v>29130</v>
      </c>
      <c r="O53" s="11">
        <v>1455059</v>
      </c>
      <c r="P53" s="8">
        <v>5</v>
      </c>
      <c r="Q53" s="11">
        <v>214</v>
      </c>
      <c r="R53" s="8">
        <v>20224</v>
      </c>
      <c r="S53" s="11">
        <v>1028524</v>
      </c>
      <c r="T53" s="53">
        <f t="shared" si="22"/>
        <v>2421006</v>
      </c>
      <c r="U53" s="54">
        <f t="shared" si="23"/>
        <v>122475241</v>
      </c>
      <c r="V53" s="2" t="s">
        <v>58</v>
      </c>
      <c r="W53" s="8">
        <v>1571011</v>
      </c>
      <c r="Y53" s="2" t="s">
        <v>8</v>
      </c>
      <c r="Z53" s="2">
        <v>2025</v>
      </c>
      <c r="AA53" s="1">
        <f t="shared" si="24"/>
        <v>496136</v>
      </c>
      <c r="AB53" s="11">
        <f t="shared" si="25"/>
        <v>25541757</v>
      </c>
      <c r="AC53" s="1">
        <f t="shared" si="26"/>
        <v>1865912</v>
      </c>
      <c r="AD53" s="11">
        <f t="shared" si="26"/>
        <v>93969106</v>
      </c>
      <c r="AE53" s="8">
        <f t="shared" si="26"/>
        <v>9599</v>
      </c>
      <c r="AF53" s="11">
        <f t="shared" si="26"/>
        <v>480581</v>
      </c>
      <c r="AG53" s="8">
        <f t="shared" si="26"/>
        <v>29130</v>
      </c>
      <c r="AH53" s="11">
        <f t="shared" si="26"/>
        <v>1455059</v>
      </c>
      <c r="AI53" s="8">
        <f t="shared" si="26"/>
        <v>5</v>
      </c>
      <c r="AJ53" s="11">
        <f t="shared" si="26"/>
        <v>214</v>
      </c>
      <c r="AK53" s="11">
        <f t="shared" si="26"/>
        <v>20224</v>
      </c>
      <c r="AL53" s="11">
        <f t="shared" si="26"/>
        <v>1028524</v>
      </c>
      <c r="AM53" s="8">
        <f t="shared" si="30"/>
        <v>2421006</v>
      </c>
      <c r="AN53" s="11">
        <f t="shared" si="27"/>
        <v>122475241</v>
      </c>
      <c r="AO53" s="2" t="str">
        <f t="shared" si="28"/>
        <v>SUPERVIA</v>
      </c>
      <c r="AP53" s="37">
        <f t="shared" si="29"/>
        <v>0</v>
      </c>
      <c r="AQ53" s="37">
        <f t="shared" si="29"/>
        <v>0</v>
      </c>
    </row>
    <row r="54" spans="2:43" x14ac:dyDescent="0.25">
      <c r="B54" s="2" t="s">
        <v>9</v>
      </c>
      <c r="C54" s="2">
        <v>2025</v>
      </c>
      <c r="D54" s="1">
        <v>283694</v>
      </c>
      <c r="E54" s="11">
        <v>14421443</v>
      </c>
      <c r="F54" s="1">
        <v>244930</v>
      </c>
      <c r="G54" s="11">
        <v>12659787</v>
      </c>
      <c r="H54" s="1">
        <v>19299</v>
      </c>
      <c r="I54" s="11">
        <v>1060222</v>
      </c>
      <c r="J54" s="1">
        <v>2067741</v>
      </c>
      <c r="K54" s="11">
        <v>104262580</v>
      </c>
      <c r="L54" s="8">
        <v>10173</v>
      </c>
      <c r="M54" s="11">
        <v>506988</v>
      </c>
      <c r="N54" s="8">
        <v>31936</v>
      </c>
      <c r="O54" s="11">
        <v>1603229</v>
      </c>
      <c r="P54" s="8">
        <v>0</v>
      </c>
      <c r="Q54" s="11">
        <v>0</v>
      </c>
      <c r="R54" s="8">
        <v>23812</v>
      </c>
      <c r="S54" s="11">
        <v>1213150</v>
      </c>
      <c r="T54" s="53">
        <f t="shared" si="22"/>
        <v>2681585</v>
      </c>
      <c r="U54" s="54">
        <f t="shared" si="23"/>
        <v>135727399</v>
      </c>
      <c r="V54" s="2" t="s">
        <v>58</v>
      </c>
      <c r="W54" s="8">
        <v>1756839</v>
      </c>
      <c r="Y54" s="2" t="s">
        <v>9</v>
      </c>
      <c r="Z54" s="2">
        <v>2025</v>
      </c>
      <c r="AA54" s="1">
        <f t="shared" si="24"/>
        <v>547923</v>
      </c>
      <c r="AB54" s="11">
        <f t="shared" si="25"/>
        <v>28141452</v>
      </c>
      <c r="AC54" s="1">
        <f t="shared" si="26"/>
        <v>2067741</v>
      </c>
      <c r="AD54" s="11">
        <f t="shared" si="26"/>
        <v>104262580</v>
      </c>
      <c r="AE54" s="8">
        <f t="shared" si="26"/>
        <v>10173</v>
      </c>
      <c r="AF54" s="11">
        <f t="shared" si="26"/>
        <v>506988</v>
      </c>
      <c r="AG54" s="8">
        <f t="shared" si="26"/>
        <v>31936</v>
      </c>
      <c r="AH54" s="11">
        <f t="shared" si="26"/>
        <v>1603229</v>
      </c>
      <c r="AI54" s="8">
        <f t="shared" si="26"/>
        <v>0</v>
      </c>
      <c r="AJ54" s="11">
        <f t="shared" si="26"/>
        <v>0</v>
      </c>
      <c r="AK54" s="11">
        <f t="shared" si="26"/>
        <v>23812</v>
      </c>
      <c r="AL54" s="11">
        <f t="shared" si="26"/>
        <v>1213150</v>
      </c>
      <c r="AM54" s="8">
        <f t="shared" si="30"/>
        <v>2681585</v>
      </c>
      <c r="AN54" s="11">
        <f t="shared" si="27"/>
        <v>135727399</v>
      </c>
      <c r="AO54" s="2" t="str">
        <f t="shared" si="28"/>
        <v>SUPERVIA</v>
      </c>
      <c r="AP54" s="37">
        <f t="shared" si="29"/>
        <v>0</v>
      </c>
      <c r="AQ54" s="37">
        <f t="shared" si="29"/>
        <v>0</v>
      </c>
    </row>
    <row r="55" spans="2:43" x14ac:dyDescent="0.25">
      <c r="B55" s="2" t="s">
        <v>10</v>
      </c>
      <c r="C55" s="2">
        <v>2025</v>
      </c>
      <c r="D55" s="1">
        <v>272313</v>
      </c>
      <c r="E55" s="11">
        <v>13884310</v>
      </c>
      <c r="F55" s="1">
        <v>235276</v>
      </c>
      <c r="G55" s="11">
        <v>12170532</v>
      </c>
      <c r="H55" s="1">
        <v>20243</v>
      </c>
      <c r="I55" s="11">
        <v>1099121</v>
      </c>
      <c r="J55" s="1">
        <v>1984137</v>
      </c>
      <c r="K55" s="11">
        <v>100102266</v>
      </c>
      <c r="L55" s="8">
        <v>9269</v>
      </c>
      <c r="M55" s="11">
        <v>463492</v>
      </c>
      <c r="N55" s="8">
        <v>31016</v>
      </c>
      <c r="O55" s="11">
        <v>1551486</v>
      </c>
      <c r="P55" s="8">
        <v>0</v>
      </c>
      <c r="Q55" s="11">
        <v>0</v>
      </c>
      <c r="R55" s="8">
        <v>22639</v>
      </c>
      <c r="S55" s="11">
        <v>1150657</v>
      </c>
      <c r="T55" s="53">
        <f t="shared" si="22"/>
        <v>2574893</v>
      </c>
      <c r="U55" s="54">
        <f t="shared" si="23"/>
        <v>130421864</v>
      </c>
      <c r="V55" s="2" t="s">
        <v>58</v>
      </c>
      <c r="W55" s="8">
        <v>1626033</v>
      </c>
      <c r="Y55" s="2" t="s">
        <v>10</v>
      </c>
      <c r="Z55" s="2">
        <v>2025</v>
      </c>
      <c r="AA55" s="1">
        <f t="shared" si="24"/>
        <v>527832</v>
      </c>
      <c r="AB55" s="11">
        <f t="shared" si="25"/>
        <v>27153963</v>
      </c>
      <c r="AC55" s="1">
        <f t="shared" si="26"/>
        <v>1984137</v>
      </c>
      <c r="AD55" s="11">
        <f t="shared" si="26"/>
        <v>100102266</v>
      </c>
      <c r="AE55" s="8">
        <f t="shared" si="26"/>
        <v>9269</v>
      </c>
      <c r="AF55" s="11">
        <f t="shared" si="26"/>
        <v>463492</v>
      </c>
      <c r="AG55" s="8">
        <f t="shared" si="26"/>
        <v>31016</v>
      </c>
      <c r="AH55" s="11">
        <f t="shared" si="26"/>
        <v>1551486</v>
      </c>
      <c r="AI55" s="8">
        <f t="shared" si="26"/>
        <v>0</v>
      </c>
      <c r="AJ55" s="11">
        <f t="shared" si="26"/>
        <v>0</v>
      </c>
      <c r="AK55" s="11">
        <f t="shared" si="26"/>
        <v>22639</v>
      </c>
      <c r="AL55" s="11">
        <f t="shared" si="26"/>
        <v>1150657</v>
      </c>
      <c r="AM55" s="8">
        <f t="shared" si="30"/>
        <v>2574893</v>
      </c>
      <c r="AN55" s="11">
        <f t="shared" si="27"/>
        <v>130421864</v>
      </c>
      <c r="AO55" s="2" t="str">
        <f t="shared" si="28"/>
        <v>SUPERVIA</v>
      </c>
      <c r="AP55" s="37">
        <f t="shared" si="29"/>
        <v>0</v>
      </c>
      <c r="AQ55" s="37">
        <f t="shared" si="29"/>
        <v>0</v>
      </c>
    </row>
    <row r="56" spans="2:43" x14ac:dyDescent="0.25">
      <c r="B56" s="2" t="s">
        <v>11</v>
      </c>
      <c r="C56" s="2">
        <v>2025</v>
      </c>
      <c r="D56" s="1">
        <v>255043</v>
      </c>
      <c r="E56" s="11">
        <v>12993504</v>
      </c>
      <c r="F56" s="1">
        <v>218253</v>
      </c>
      <c r="G56" s="11">
        <v>11264659</v>
      </c>
      <c r="H56" s="1">
        <v>17061</v>
      </c>
      <c r="I56" s="11">
        <v>951855</v>
      </c>
      <c r="J56" s="1">
        <v>1865998</v>
      </c>
      <c r="K56" s="11">
        <v>93928449</v>
      </c>
      <c r="L56" s="8">
        <v>8804</v>
      </c>
      <c r="M56" s="11">
        <v>439766</v>
      </c>
      <c r="N56" s="8">
        <v>30867</v>
      </c>
      <c r="O56" s="11">
        <v>1538033</v>
      </c>
      <c r="P56" s="8">
        <v>0</v>
      </c>
      <c r="Q56" s="11">
        <v>0</v>
      </c>
      <c r="R56" s="8">
        <v>22386</v>
      </c>
      <c r="S56" s="11">
        <v>1134716</v>
      </c>
      <c r="T56" s="53">
        <f t="shared" si="22"/>
        <v>2418412</v>
      </c>
      <c r="U56" s="54">
        <f t="shared" si="23"/>
        <v>122250982</v>
      </c>
      <c r="V56" s="2" t="s">
        <v>58</v>
      </c>
      <c r="W56" s="8">
        <v>1563983</v>
      </c>
      <c r="Y56" s="2" t="s">
        <v>11</v>
      </c>
      <c r="Z56" s="2">
        <v>2025</v>
      </c>
      <c r="AA56" s="1">
        <f t="shared" si="24"/>
        <v>490357</v>
      </c>
      <c r="AB56" s="11">
        <f t="shared" si="25"/>
        <v>25210018</v>
      </c>
      <c r="AC56" s="1">
        <f t="shared" si="26"/>
        <v>1865998</v>
      </c>
      <c r="AD56" s="11">
        <f t="shared" si="26"/>
        <v>93928449</v>
      </c>
      <c r="AE56" s="8">
        <f t="shared" si="26"/>
        <v>8804</v>
      </c>
      <c r="AF56" s="11">
        <f t="shared" si="26"/>
        <v>439766</v>
      </c>
      <c r="AG56" s="8">
        <f t="shared" si="26"/>
        <v>30867</v>
      </c>
      <c r="AH56" s="11">
        <f t="shared" si="26"/>
        <v>1538033</v>
      </c>
      <c r="AI56" s="8">
        <f t="shared" si="26"/>
        <v>0</v>
      </c>
      <c r="AJ56" s="11">
        <f t="shared" si="26"/>
        <v>0</v>
      </c>
      <c r="AK56" s="11">
        <f t="shared" si="26"/>
        <v>22386</v>
      </c>
      <c r="AL56" s="11">
        <f t="shared" si="26"/>
        <v>1134716</v>
      </c>
      <c r="AM56" s="8">
        <f t="shared" si="30"/>
        <v>2418412</v>
      </c>
      <c r="AN56" s="11">
        <f t="shared" si="27"/>
        <v>122250982</v>
      </c>
      <c r="AO56" s="2" t="str">
        <f t="shared" si="28"/>
        <v>SUPERVIA</v>
      </c>
      <c r="AP56" s="37">
        <f t="shared" si="29"/>
        <v>0</v>
      </c>
      <c r="AQ56" s="37">
        <f t="shared" si="29"/>
        <v>0</v>
      </c>
    </row>
    <row r="57" spans="2:43" x14ac:dyDescent="0.25">
      <c r="B57" s="2" t="s">
        <v>4</v>
      </c>
      <c r="C57" s="2">
        <v>2025</v>
      </c>
      <c r="D57" s="1">
        <v>277197</v>
      </c>
      <c r="E57" s="11">
        <v>14134081</v>
      </c>
      <c r="F57" s="1">
        <v>246261</v>
      </c>
      <c r="G57" s="11">
        <v>12744065</v>
      </c>
      <c r="H57" s="1">
        <v>18251</v>
      </c>
      <c r="I57" s="11">
        <v>1013792</v>
      </c>
      <c r="J57" s="1">
        <v>2081134</v>
      </c>
      <c r="K57" s="11">
        <v>105101619</v>
      </c>
      <c r="L57" s="8">
        <v>10223</v>
      </c>
      <c r="M57" s="11">
        <v>511335</v>
      </c>
      <c r="N57" s="8">
        <v>33671</v>
      </c>
      <c r="O57" s="11">
        <v>1688871</v>
      </c>
      <c r="P57" s="8">
        <v>4</v>
      </c>
      <c r="Q57" s="11">
        <v>190</v>
      </c>
      <c r="R57" s="8">
        <v>24602</v>
      </c>
      <c r="S57" s="11">
        <v>1253001</v>
      </c>
      <c r="T57" s="53">
        <f t="shared" si="22"/>
        <v>2691343</v>
      </c>
      <c r="U57" s="54">
        <f t="shared" si="23"/>
        <v>136446954</v>
      </c>
      <c r="V57" s="2" t="s">
        <v>58</v>
      </c>
      <c r="W57" s="8">
        <v>1741960</v>
      </c>
      <c r="Y57" s="2" t="s">
        <v>4</v>
      </c>
      <c r="Z57" s="2">
        <v>2025</v>
      </c>
      <c r="AA57" s="1">
        <f t="shared" si="24"/>
        <v>541709</v>
      </c>
      <c r="AB57" s="11">
        <f t="shared" si="25"/>
        <v>27891938</v>
      </c>
      <c r="AC57" s="1">
        <f t="shared" si="26"/>
        <v>2081134</v>
      </c>
      <c r="AD57" s="11">
        <f t="shared" si="26"/>
        <v>105101619</v>
      </c>
      <c r="AE57" s="8">
        <f t="shared" si="26"/>
        <v>10223</v>
      </c>
      <c r="AF57" s="11">
        <f t="shared" si="26"/>
        <v>511335</v>
      </c>
      <c r="AG57" s="8">
        <f t="shared" si="26"/>
        <v>33671</v>
      </c>
      <c r="AH57" s="11">
        <f t="shared" si="26"/>
        <v>1688871</v>
      </c>
      <c r="AI57" s="8">
        <f t="shared" si="26"/>
        <v>4</v>
      </c>
      <c r="AJ57" s="11">
        <f t="shared" si="26"/>
        <v>190</v>
      </c>
      <c r="AK57" s="11">
        <f t="shared" si="26"/>
        <v>24602</v>
      </c>
      <c r="AL57" s="11">
        <f t="shared" si="26"/>
        <v>1253001</v>
      </c>
      <c r="AM57" s="27">
        <f t="shared" si="30"/>
        <v>2691343</v>
      </c>
      <c r="AN57" s="14">
        <f t="shared" si="27"/>
        <v>136446954</v>
      </c>
      <c r="AO57" s="2" t="str">
        <f t="shared" si="28"/>
        <v>SUPERVIA</v>
      </c>
      <c r="AP57" s="37">
        <f t="shared" si="29"/>
        <v>0</v>
      </c>
      <c r="AQ57" s="37">
        <f t="shared" si="29"/>
        <v>0</v>
      </c>
    </row>
    <row r="58" spans="2:43" x14ac:dyDescent="0.25">
      <c r="B58" s="2" t="s">
        <v>28</v>
      </c>
      <c r="C58" s="2">
        <v>2025</v>
      </c>
      <c r="D58" s="1">
        <v>273377</v>
      </c>
      <c r="E58" s="11">
        <v>13937635</v>
      </c>
      <c r="F58" s="1">
        <v>240928</v>
      </c>
      <c r="G58" s="11">
        <v>12473734</v>
      </c>
      <c r="H58" s="1">
        <v>13908</v>
      </c>
      <c r="I58" s="11">
        <v>728107</v>
      </c>
      <c r="J58" s="1">
        <v>2092006</v>
      </c>
      <c r="K58" s="11">
        <v>105841694</v>
      </c>
      <c r="L58" s="8">
        <v>9518</v>
      </c>
      <c r="M58" s="11">
        <v>475621</v>
      </c>
      <c r="N58" s="8">
        <v>31788</v>
      </c>
      <c r="O58" s="11">
        <v>1598967</v>
      </c>
      <c r="P58" s="8">
        <v>0</v>
      </c>
      <c r="Q58" s="11">
        <v>0</v>
      </c>
      <c r="R58" s="8">
        <v>24491</v>
      </c>
      <c r="S58" s="11">
        <v>1248336</v>
      </c>
      <c r="T58" s="53">
        <f t="shared" si="22"/>
        <v>2686016</v>
      </c>
      <c r="U58" s="54">
        <f t="shared" si="23"/>
        <v>136304094</v>
      </c>
      <c r="V58" s="2" t="s">
        <v>58</v>
      </c>
      <c r="W58" s="8">
        <v>1711963</v>
      </c>
      <c r="Y58" s="2" t="s">
        <v>28</v>
      </c>
      <c r="Z58" s="2">
        <v>2025</v>
      </c>
      <c r="AA58" s="1">
        <f t="shared" si="24"/>
        <v>528213</v>
      </c>
      <c r="AB58" s="11">
        <f t="shared" si="25"/>
        <v>27139476</v>
      </c>
      <c r="AC58" s="1">
        <f t="shared" si="26"/>
        <v>2092006</v>
      </c>
      <c r="AD58" s="11">
        <f t="shared" si="26"/>
        <v>105841694</v>
      </c>
      <c r="AE58" s="8">
        <f t="shared" si="26"/>
        <v>9518</v>
      </c>
      <c r="AF58" s="11">
        <f t="shared" si="26"/>
        <v>475621</v>
      </c>
      <c r="AG58" s="8">
        <f t="shared" si="26"/>
        <v>31788</v>
      </c>
      <c r="AH58" s="11">
        <f t="shared" si="26"/>
        <v>1598967</v>
      </c>
      <c r="AI58" s="8">
        <f t="shared" si="26"/>
        <v>0</v>
      </c>
      <c r="AJ58" s="11">
        <f t="shared" si="26"/>
        <v>0</v>
      </c>
      <c r="AK58" s="11">
        <f t="shared" si="26"/>
        <v>24491</v>
      </c>
      <c r="AL58" s="11">
        <f t="shared" si="26"/>
        <v>1248336</v>
      </c>
      <c r="AM58" s="8">
        <f t="shared" si="30"/>
        <v>2686016</v>
      </c>
      <c r="AN58" s="11">
        <f t="shared" si="27"/>
        <v>136304094</v>
      </c>
      <c r="AO58" s="2" t="str">
        <f t="shared" si="28"/>
        <v>SUPERVIA</v>
      </c>
      <c r="AP58" s="37">
        <f t="shared" si="29"/>
        <v>0</v>
      </c>
      <c r="AQ58" s="37">
        <f t="shared" si="29"/>
        <v>0</v>
      </c>
    </row>
    <row r="59" spans="2:43" x14ac:dyDescent="0.25">
      <c r="B59" s="2" t="s">
        <v>29</v>
      </c>
      <c r="C59" s="2">
        <v>2025</v>
      </c>
      <c r="D59" s="1">
        <v>293903</v>
      </c>
      <c r="E59" s="11">
        <v>14945285</v>
      </c>
      <c r="F59" s="1">
        <v>265550</v>
      </c>
      <c r="G59" s="11">
        <v>13727156</v>
      </c>
      <c r="H59" s="1">
        <v>22256</v>
      </c>
      <c r="I59" s="11">
        <v>1230861</v>
      </c>
      <c r="J59" s="1">
        <v>2274562</v>
      </c>
      <c r="K59" s="11">
        <v>114803145</v>
      </c>
      <c r="L59" s="8">
        <v>9946</v>
      </c>
      <c r="M59" s="11">
        <v>497625</v>
      </c>
      <c r="N59" s="8">
        <v>34794</v>
      </c>
      <c r="O59" s="11">
        <v>1746085</v>
      </c>
      <c r="P59" s="8">
        <v>2</v>
      </c>
      <c r="Q59" s="11">
        <v>95</v>
      </c>
      <c r="R59" s="8">
        <v>27403</v>
      </c>
      <c r="S59" s="11">
        <v>1400689</v>
      </c>
      <c r="T59" s="53">
        <f t="shared" si="22"/>
        <v>2928416</v>
      </c>
      <c r="U59" s="54">
        <f t="shared" si="23"/>
        <v>148350941</v>
      </c>
      <c r="V59" s="2" t="s">
        <v>58</v>
      </c>
      <c r="W59" s="8"/>
      <c r="Y59" s="2" t="s">
        <v>29</v>
      </c>
      <c r="Z59" s="2">
        <v>2025</v>
      </c>
      <c r="AA59" s="1">
        <f t="shared" si="24"/>
        <v>581709</v>
      </c>
      <c r="AB59" s="11">
        <f t="shared" si="25"/>
        <v>29903302</v>
      </c>
      <c r="AC59" s="1">
        <f t="shared" si="26"/>
        <v>2274562</v>
      </c>
      <c r="AD59" s="11">
        <f t="shared" si="26"/>
        <v>114803145</v>
      </c>
      <c r="AE59" s="8">
        <f t="shared" si="26"/>
        <v>9946</v>
      </c>
      <c r="AF59" s="11">
        <f t="shared" si="26"/>
        <v>497625</v>
      </c>
      <c r="AG59" s="8">
        <f t="shared" si="26"/>
        <v>34794</v>
      </c>
      <c r="AH59" s="11">
        <f t="shared" si="26"/>
        <v>1746085</v>
      </c>
      <c r="AI59" s="8">
        <f t="shared" si="26"/>
        <v>2</v>
      </c>
      <c r="AJ59" s="11">
        <f t="shared" si="26"/>
        <v>95</v>
      </c>
      <c r="AK59" s="11">
        <f t="shared" si="26"/>
        <v>27403</v>
      </c>
      <c r="AL59" s="11">
        <f t="shared" si="26"/>
        <v>1400689</v>
      </c>
      <c r="AM59" s="8">
        <f t="shared" si="30"/>
        <v>2928416</v>
      </c>
      <c r="AN59" s="11">
        <f t="shared" si="27"/>
        <v>148350941</v>
      </c>
      <c r="AO59" s="2" t="str">
        <f t="shared" si="28"/>
        <v>SUPERVIA</v>
      </c>
      <c r="AP59" s="37">
        <f t="shared" si="29"/>
        <v>0</v>
      </c>
      <c r="AQ59" s="37">
        <f t="shared" si="29"/>
        <v>0</v>
      </c>
    </row>
    <row r="60" spans="2:43" x14ac:dyDescent="0.25">
      <c r="B60" s="2" t="s">
        <v>30</v>
      </c>
      <c r="C60" s="2">
        <v>2025</v>
      </c>
      <c r="D60" s="1">
        <v>274415</v>
      </c>
      <c r="E60" s="11">
        <v>13969048</v>
      </c>
      <c r="F60" s="1">
        <v>341585</v>
      </c>
      <c r="G60" s="11">
        <v>17614685</v>
      </c>
      <c r="H60" s="1">
        <v>15938</v>
      </c>
      <c r="I60" s="11">
        <v>834061</v>
      </c>
      <c r="J60" s="1">
        <v>2143997</v>
      </c>
      <c r="K60" s="11">
        <v>108289156</v>
      </c>
      <c r="L60" s="8">
        <v>9213</v>
      </c>
      <c r="M60" s="11">
        <v>461342</v>
      </c>
      <c r="N60" s="8">
        <v>33843</v>
      </c>
      <c r="O60" s="11">
        <v>1691182</v>
      </c>
      <c r="P60" s="8">
        <v>9</v>
      </c>
      <c r="Q60" s="11">
        <v>441</v>
      </c>
      <c r="R60" s="8">
        <v>26477</v>
      </c>
      <c r="S60" s="11">
        <v>1353051</v>
      </c>
      <c r="T60" s="53">
        <f t="shared" si="22"/>
        <v>2845477</v>
      </c>
      <c r="U60" s="54">
        <f t="shared" si="23"/>
        <v>144212966</v>
      </c>
      <c r="V60" s="2" t="s">
        <v>58</v>
      </c>
      <c r="W60" s="8"/>
      <c r="Y60" s="2" t="s">
        <v>30</v>
      </c>
      <c r="Z60" s="2">
        <v>2025</v>
      </c>
      <c r="AA60" s="1">
        <f t="shared" si="24"/>
        <v>631938</v>
      </c>
      <c r="AB60" s="11">
        <f t="shared" si="25"/>
        <v>32417794</v>
      </c>
      <c r="AC60" s="1">
        <f t="shared" si="26"/>
        <v>2143997</v>
      </c>
      <c r="AD60" s="11">
        <f t="shared" si="26"/>
        <v>108289156</v>
      </c>
      <c r="AE60" s="8">
        <f t="shared" si="26"/>
        <v>9213</v>
      </c>
      <c r="AF60" s="11">
        <f t="shared" si="26"/>
        <v>461342</v>
      </c>
      <c r="AG60" s="8">
        <f t="shared" si="26"/>
        <v>33843</v>
      </c>
      <c r="AH60" s="11">
        <f t="shared" si="26"/>
        <v>1691182</v>
      </c>
      <c r="AI60" s="8">
        <f t="shared" si="26"/>
        <v>9</v>
      </c>
      <c r="AJ60" s="11">
        <f t="shared" si="26"/>
        <v>441</v>
      </c>
      <c r="AK60" s="11">
        <f t="shared" si="26"/>
        <v>26477</v>
      </c>
      <c r="AL60" s="11">
        <f t="shared" si="26"/>
        <v>1353051</v>
      </c>
      <c r="AM60" s="79">
        <f t="shared" si="30"/>
        <v>2845477</v>
      </c>
      <c r="AN60" s="80">
        <f t="shared" si="27"/>
        <v>144212966</v>
      </c>
      <c r="AO60" s="2" t="str">
        <f t="shared" si="28"/>
        <v>SUPERVIA</v>
      </c>
      <c r="AP60" s="37">
        <f t="shared" si="29"/>
        <v>0</v>
      </c>
      <c r="AQ60" s="37">
        <f t="shared" si="29"/>
        <v>0</v>
      </c>
    </row>
    <row r="61" spans="2:43" x14ac:dyDescent="0.25">
      <c r="B61" s="2" t="s">
        <v>31</v>
      </c>
      <c r="C61" s="2">
        <v>2025</v>
      </c>
      <c r="D61" s="1">
        <v>261489</v>
      </c>
      <c r="E61" s="11">
        <v>13266178</v>
      </c>
      <c r="F61" s="1">
        <v>233821</v>
      </c>
      <c r="G61" s="11">
        <v>12085691</v>
      </c>
      <c r="H61" s="1">
        <v>14208</v>
      </c>
      <c r="I61" s="11">
        <v>731305</v>
      </c>
      <c r="J61" s="1">
        <v>1984399</v>
      </c>
      <c r="K61" s="11">
        <v>100026201</v>
      </c>
      <c r="L61" s="8">
        <v>7994</v>
      </c>
      <c r="M61" s="11">
        <v>399390</v>
      </c>
      <c r="N61" s="8">
        <v>33174</v>
      </c>
      <c r="O61" s="11">
        <v>1654724</v>
      </c>
      <c r="P61" s="8">
        <v>16</v>
      </c>
      <c r="Q61" s="11">
        <v>797</v>
      </c>
      <c r="R61" s="8">
        <v>25656</v>
      </c>
      <c r="S61" s="11">
        <v>1304611</v>
      </c>
      <c r="T61" s="53">
        <f t="shared" si="22"/>
        <v>2560757</v>
      </c>
      <c r="U61" s="54">
        <f t="shared" si="23"/>
        <v>129468897</v>
      </c>
      <c r="V61" s="2" t="s">
        <v>58</v>
      </c>
      <c r="W61" s="8"/>
      <c r="Y61" s="2" t="s">
        <v>31</v>
      </c>
      <c r="Z61" s="2">
        <v>2025</v>
      </c>
      <c r="AA61" s="1">
        <f t="shared" si="24"/>
        <v>509518</v>
      </c>
      <c r="AB61" s="11">
        <f t="shared" si="25"/>
        <v>26083174</v>
      </c>
      <c r="AC61" s="1">
        <f t="shared" si="26"/>
        <v>1984399</v>
      </c>
      <c r="AD61" s="11">
        <f t="shared" si="26"/>
        <v>100026201</v>
      </c>
      <c r="AE61" s="8">
        <f t="shared" si="26"/>
        <v>7994</v>
      </c>
      <c r="AF61" s="11">
        <f t="shared" si="26"/>
        <v>399390</v>
      </c>
      <c r="AG61" s="8">
        <f t="shared" si="26"/>
        <v>33174</v>
      </c>
      <c r="AH61" s="11">
        <f t="shared" si="26"/>
        <v>1654724</v>
      </c>
      <c r="AI61" s="8">
        <f t="shared" si="26"/>
        <v>16</v>
      </c>
      <c r="AJ61" s="11">
        <f t="shared" si="26"/>
        <v>797</v>
      </c>
      <c r="AK61" s="11">
        <f t="shared" si="26"/>
        <v>25656</v>
      </c>
      <c r="AL61" s="11">
        <f t="shared" si="26"/>
        <v>1304611</v>
      </c>
      <c r="AM61" s="8">
        <f t="shared" si="30"/>
        <v>2560757</v>
      </c>
      <c r="AN61" s="11">
        <f t="shared" si="27"/>
        <v>129468897</v>
      </c>
      <c r="AO61" s="2" t="str">
        <f t="shared" si="28"/>
        <v>SUPERVIA</v>
      </c>
      <c r="AP61" s="37">
        <f t="shared" si="29"/>
        <v>0</v>
      </c>
      <c r="AQ61" s="37">
        <f t="shared" si="29"/>
        <v>0</v>
      </c>
    </row>
    <row r="62" spans="2:43" x14ac:dyDescent="0.25">
      <c r="W62" s="9"/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31">SUM(D50:D62)</f>
        <v>3192627</v>
      </c>
      <c r="E63" s="12">
        <f t="shared" si="31"/>
        <v>162109686</v>
      </c>
      <c r="F63" s="4">
        <f t="shared" si="31"/>
        <v>2932788</v>
      </c>
      <c r="G63" s="12">
        <f t="shared" si="31"/>
        <v>151089757</v>
      </c>
      <c r="H63" s="4">
        <f t="shared" si="31"/>
        <v>263006</v>
      </c>
      <c r="I63" s="12">
        <f t="shared" si="31"/>
        <v>14119663</v>
      </c>
      <c r="J63" s="4">
        <f t="shared" si="31"/>
        <v>24351633</v>
      </c>
      <c r="K63" s="12">
        <f t="shared" si="31"/>
        <v>1224499290</v>
      </c>
      <c r="L63" s="4">
        <f t="shared" si="31"/>
        <v>115472</v>
      </c>
      <c r="M63" s="12">
        <f>SUM(M50:M62)</f>
        <v>5746649</v>
      </c>
      <c r="N63" s="4">
        <f t="shared" si="31"/>
        <v>382092</v>
      </c>
      <c r="O63" s="12">
        <f t="shared" si="31"/>
        <v>19059042</v>
      </c>
      <c r="P63" s="4">
        <f>SUM(P50:P62)</f>
        <v>38</v>
      </c>
      <c r="Q63" s="12">
        <f>SUM(Q50:Q62)</f>
        <v>1832</v>
      </c>
      <c r="R63" s="4">
        <f>SUM(R50:R62)</f>
        <v>276117</v>
      </c>
      <c r="S63" s="12">
        <f>SUM(S50:S62)</f>
        <v>14017500</v>
      </c>
      <c r="T63" s="4">
        <f t="shared" ref="T63:U63" si="32">SUM(T50:T62)</f>
        <v>31513773</v>
      </c>
      <c r="U63" s="12">
        <f t="shared" si="32"/>
        <v>1590643419</v>
      </c>
      <c r="W63" s="4">
        <f>AVERAGE(W50:W61)</f>
        <v>1666319.6666666667</v>
      </c>
      <c r="Y63" s="3" t="s">
        <v>12</v>
      </c>
      <c r="Z63" s="3"/>
      <c r="AA63" s="4">
        <f t="shared" ref="AA63:AN63" si="33">SUM(AA50:AA62)</f>
        <v>6388421</v>
      </c>
      <c r="AB63" s="12">
        <f t="shared" si="33"/>
        <v>327319106</v>
      </c>
      <c r="AC63" s="4">
        <f t="shared" si="33"/>
        <v>24351633</v>
      </c>
      <c r="AD63" s="12">
        <f t="shared" si="33"/>
        <v>1224499290</v>
      </c>
      <c r="AE63" s="4">
        <f t="shared" si="33"/>
        <v>115472</v>
      </c>
      <c r="AF63" s="12">
        <f t="shared" si="33"/>
        <v>5746649</v>
      </c>
      <c r="AG63" s="4">
        <f t="shared" si="33"/>
        <v>382092</v>
      </c>
      <c r="AH63" s="12">
        <f t="shared" si="33"/>
        <v>19059042</v>
      </c>
      <c r="AI63" s="4">
        <f t="shared" si="33"/>
        <v>38</v>
      </c>
      <c r="AJ63" s="12">
        <f t="shared" si="33"/>
        <v>1832</v>
      </c>
      <c r="AK63" s="4">
        <f t="shared" si="33"/>
        <v>276117</v>
      </c>
      <c r="AL63" s="12">
        <f t="shared" si="33"/>
        <v>14017500</v>
      </c>
      <c r="AM63" s="4">
        <f t="shared" si="33"/>
        <v>31513773</v>
      </c>
      <c r="AN63" s="12">
        <f t="shared" si="33"/>
        <v>1590643419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9786.5</v>
      </c>
      <c r="M64" s="60">
        <f>AVERAGE(M50:M51)</f>
        <v>477190.5</v>
      </c>
      <c r="T64" s="15">
        <f>AVERAGE(T50:T51)</f>
        <v>2476441</v>
      </c>
      <c r="U64" s="28">
        <f>AVERAGE(U50:U51)</f>
        <v>122773106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6.5630113468708923E-2</v>
      </c>
      <c r="M65" s="36">
        <f>+M64/$M$371</f>
        <v>1.8362535911283499E-2</v>
      </c>
      <c r="N65" s="18"/>
      <c r="O65" s="19"/>
      <c r="P65" s="19"/>
      <c r="Q65" s="19"/>
      <c r="R65" s="19"/>
      <c r="S65" s="19"/>
      <c r="T65" s="36">
        <f>+L64/T64</f>
        <v>3.95184056474594E-3</v>
      </c>
      <c r="U65" s="62">
        <f>+M64/U64</f>
        <v>3.8867673511493632E-3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87</v>
      </c>
      <c r="S68" s="93"/>
      <c r="T68" s="89" t="s">
        <v>12</v>
      </c>
      <c r="U68" s="93"/>
      <c r="AA68" s="89" t="s">
        <v>69</v>
      </c>
      <c r="AB68" s="90"/>
      <c r="AC68" s="89" t="s">
        <v>17</v>
      </c>
      <c r="AD68" s="93"/>
      <c r="AE68" s="89" t="s">
        <v>18</v>
      </c>
      <c r="AF68" s="93"/>
      <c r="AG68" s="89" t="s">
        <v>13</v>
      </c>
      <c r="AH68" s="93"/>
      <c r="AI68" s="89" t="s">
        <v>34</v>
      </c>
      <c r="AJ68" s="93"/>
      <c r="AK68" s="89" t="s">
        <v>87</v>
      </c>
      <c r="AL68" s="93"/>
      <c r="AM68" s="89" t="s">
        <v>12</v>
      </c>
      <c r="AN68" s="93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2025</v>
      </c>
      <c r="D71" s="1">
        <v>494500</v>
      </c>
      <c r="E71" s="11">
        <v>40882395</v>
      </c>
      <c r="F71" s="1">
        <v>306729</v>
      </c>
      <c r="G71" s="11">
        <v>28290373</v>
      </c>
      <c r="H71" s="1">
        <v>137502</v>
      </c>
      <c r="I71" s="11">
        <v>24077325</v>
      </c>
      <c r="J71" s="1">
        <v>2920706</v>
      </c>
      <c r="K71" s="11">
        <v>460292847</v>
      </c>
      <c r="L71" s="8">
        <v>58235</v>
      </c>
      <c r="M71" s="11">
        <v>11664565</v>
      </c>
      <c r="N71" s="8">
        <v>120390</v>
      </c>
      <c r="O71" s="11">
        <v>26805803</v>
      </c>
      <c r="P71" s="8">
        <v>278</v>
      </c>
      <c r="Q71" s="11">
        <v>117431</v>
      </c>
      <c r="R71" s="8">
        <v>20059</v>
      </c>
      <c r="S71" s="11">
        <v>1578184</v>
      </c>
      <c r="T71" s="53">
        <f t="shared" ref="T71:T82" si="34">N71+L71+J71+H71+D71+P71+F71+R71</f>
        <v>4058399</v>
      </c>
      <c r="U71" s="54">
        <f t="shared" ref="U71:U82" si="35">O71+M71+K71+I71+E71+Q71+G71+S71</f>
        <v>593708923</v>
      </c>
      <c r="V71" s="2" t="s">
        <v>59</v>
      </c>
      <c r="Y71" s="2" t="s">
        <v>5</v>
      </c>
      <c r="Z71" s="2">
        <v>2025</v>
      </c>
      <c r="AA71" s="1">
        <f t="shared" ref="AA71:AA82" si="36">D71+H71+F71</f>
        <v>938731</v>
      </c>
      <c r="AB71" s="11">
        <f t="shared" ref="AB71:AB82" si="37">E71+I71+G71</f>
        <v>93250093</v>
      </c>
      <c r="AC71" s="1">
        <f t="shared" ref="AC71:AL82" si="38">+J71</f>
        <v>2920706</v>
      </c>
      <c r="AD71" s="11">
        <f t="shared" si="38"/>
        <v>460292847</v>
      </c>
      <c r="AE71" s="8">
        <f t="shared" si="38"/>
        <v>58235</v>
      </c>
      <c r="AF71" s="11">
        <f t="shared" si="38"/>
        <v>11664565</v>
      </c>
      <c r="AG71" s="8">
        <f t="shared" si="38"/>
        <v>120390</v>
      </c>
      <c r="AH71" s="11">
        <f t="shared" si="38"/>
        <v>26805803</v>
      </c>
      <c r="AI71" s="8">
        <f t="shared" si="38"/>
        <v>278</v>
      </c>
      <c r="AJ71" s="11">
        <f t="shared" si="38"/>
        <v>117431</v>
      </c>
      <c r="AK71" s="11">
        <f t="shared" si="38"/>
        <v>20059</v>
      </c>
      <c r="AL71" s="11">
        <f t="shared" si="38"/>
        <v>1578184</v>
      </c>
      <c r="AM71" s="8">
        <f>AI71+AG71+AE71+AC71+AA71+AK71</f>
        <v>4058399</v>
      </c>
      <c r="AN71" s="11">
        <f t="shared" ref="AN71:AN82" si="39">AJ71+AH71+AF71+AD71+AB71+AL71</f>
        <v>593708923</v>
      </c>
      <c r="AO71" s="2" t="str">
        <f t="shared" ref="AO71:AO82" si="40">+V71</f>
        <v>CONMEX</v>
      </c>
      <c r="AP71" s="37">
        <f t="shared" ref="AP71:AQ82" si="41">+AM71-T71</f>
        <v>0</v>
      </c>
      <c r="AQ71" s="37">
        <f t="shared" si="41"/>
        <v>0</v>
      </c>
    </row>
    <row r="72" spans="1:43" x14ac:dyDescent="0.25">
      <c r="B72" s="2" t="s">
        <v>6</v>
      </c>
      <c r="C72" s="2">
        <v>2025</v>
      </c>
      <c r="D72" s="1">
        <v>463417</v>
      </c>
      <c r="E72" s="11">
        <v>39168505.100000001</v>
      </c>
      <c r="F72" s="1">
        <v>281548</v>
      </c>
      <c r="G72" s="11">
        <v>26323402</v>
      </c>
      <c r="H72" s="1">
        <v>124612</v>
      </c>
      <c r="I72" s="11">
        <v>22056927</v>
      </c>
      <c r="J72" s="1">
        <v>2692001</v>
      </c>
      <c r="K72" s="11">
        <v>439370297</v>
      </c>
      <c r="L72" s="8">
        <v>57742</v>
      </c>
      <c r="M72" s="11">
        <v>11896955</v>
      </c>
      <c r="N72" s="8">
        <v>115043</v>
      </c>
      <c r="O72" s="11">
        <v>26280954</v>
      </c>
      <c r="P72" s="8">
        <v>280</v>
      </c>
      <c r="Q72" s="11">
        <v>132146</v>
      </c>
      <c r="R72" s="8">
        <v>20516</v>
      </c>
      <c r="S72" s="11">
        <v>1718714</v>
      </c>
      <c r="T72" s="53">
        <f t="shared" si="34"/>
        <v>3755159</v>
      </c>
      <c r="U72" s="54">
        <f t="shared" si="35"/>
        <v>566947900.10000002</v>
      </c>
      <c r="V72" s="2" t="s">
        <v>59</v>
      </c>
      <c r="Y72" s="2" t="s">
        <v>6</v>
      </c>
      <c r="Z72" s="2">
        <v>2025</v>
      </c>
      <c r="AA72" s="1">
        <f t="shared" si="36"/>
        <v>869577</v>
      </c>
      <c r="AB72" s="11">
        <f t="shared" si="37"/>
        <v>87548834.099999994</v>
      </c>
      <c r="AC72" s="1">
        <f t="shared" si="38"/>
        <v>2692001</v>
      </c>
      <c r="AD72" s="11">
        <f t="shared" si="38"/>
        <v>439370297</v>
      </c>
      <c r="AE72" s="8">
        <f t="shared" si="38"/>
        <v>57742</v>
      </c>
      <c r="AF72" s="11">
        <f t="shared" si="38"/>
        <v>11896955</v>
      </c>
      <c r="AG72" s="8">
        <f t="shared" si="38"/>
        <v>115043</v>
      </c>
      <c r="AH72" s="11">
        <f t="shared" si="38"/>
        <v>26280954</v>
      </c>
      <c r="AI72" s="8">
        <f t="shared" si="38"/>
        <v>280</v>
      </c>
      <c r="AJ72" s="11">
        <f t="shared" si="38"/>
        <v>132146</v>
      </c>
      <c r="AK72" s="11">
        <f t="shared" si="38"/>
        <v>20516</v>
      </c>
      <c r="AL72" s="11">
        <f t="shared" si="38"/>
        <v>1718714</v>
      </c>
      <c r="AM72" s="8">
        <f t="shared" ref="AM72:AM82" si="42">AI72+AG72+AE72+AC72+AA72+AK72</f>
        <v>3755159</v>
      </c>
      <c r="AN72" s="11">
        <f t="shared" si="39"/>
        <v>566947900.10000002</v>
      </c>
      <c r="AO72" s="2" t="str">
        <f t="shared" si="40"/>
        <v>CONMEX</v>
      </c>
      <c r="AP72" s="37">
        <f t="shared" si="41"/>
        <v>0</v>
      </c>
      <c r="AQ72" s="37">
        <f t="shared" si="41"/>
        <v>0</v>
      </c>
    </row>
    <row r="73" spans="1:43" x14ac:dyDescent="0.25">
      <c r="B73" s="2" t="s">
        <v>7</v>
      </c>
      <c r="C73" s="2">
        <v>2025</v>
      </c>
      <c r="D73" s="1">
        <v>525830</v>
      </c>
      <c r="E73" s="11">
        <v>45128862</v>
      </c>
      <c r="F73" s="1">
        <v>326317</v>
      </c>
      <c r="G73" s="11">
        <v>30603826</v>
      </c>
      <c r="H73" s="1">
        <v>139240</v>
      </c>
      <c r="I73" s="11">
        <v>24268734</v>
      </c>
      <c r="J73" s="1">
        <v>3013790</v>
      </c>
      <c r="K73" s="11">
        <v>494548472</v>
      </c>
      <c r="L73" s="8">
        <v>61355</v>
      </c>
      <c r="M73" s="11">
        <v>12654835</v>
      </c>
      <c r="N73" s="8">
        <v>122880</v>
      </c>
      <c r="O73" s="11">
        <v>27884510</v>
      </c>
      <c r="P73" s="8">
        <v>344</v>
      </c>
      <c r="Q73" s="11">
        <v>138849</v>
      </c>
      <c r="R73" s="8">
        <v>24067</v>
      </c>
      <c r="S73" s="11">
        <v>2053271</v>
      </c>
      <c r="T73" s="53">
        <f t="shared" si="34"/>
        <v>4213823</v>
      </c>
      <c r="U73" s="54">
        <f t="shared" si="35"/>
        <v>637281359</v>
      </c>
      <c r="V73" s="2" t="s">
        <v>59</v>
      </c>
      <c r="X73" s="13"/>
      <c r="Y73" s="2" t="s">
        <v>7</v>
      </c>
      <c r="Z73" s="2">
        <v>2025</v>
      </c>
      <c r="AA73" s="1">
        <f t="shared" si="36"/>
        <v>991387</v>
      </c>
      <c r="AB73" s="11">
        <f t="shared" si="37"/>
        <v>100001422</v>
      </c>
      <c r="AC73" s="1">
        <f t="shared" si="38"/>
        <v>3013790</v>
      </c>
      <c r="AD73" s="11">
        <f t="shared" si="38"/>
        <v>494548472</v>
      </c>
      <c r="AE73" s="8">
        <f t="shared" si="38"/>
        <v>61355</v>
      </c>
      <c r="AF73" s="11">
        <f t="shared" si="38"/>
        <v>12654835</v>
      </c>
      <c r="AG73" s="8">
        <f t="shared" si="38"/>
        <v>122880</v>
      </c>
      <c r="AH73" s="11">
        <f t="shared" si="38"/>
        <v>27884510</v>
      </c>
      <c r="AI73" s="8">
        <f t="shared" si="38"/>
        <v>344</v>
      </c>
      <c r="AJ73" s="11">
        <f t="shared" si="38"/>
        <v>138849</v>
      </c>
      <c r="AK73" s="11">
        <f t="shared" si="38"/>
        <v>24067</v>
      </c>
      <c r="AL73" s="11">
        <f t="shared" si="38"/>
        <v>2053271</v>
      </c>
      <c r="AM73" s="8">
        <f t="shared" si="42"/>
        <v>4213823</v>
      </c>
      <c r="AN73" s="11">
        <f t="shared" si="39"/>
        <v>637281359</v>
      </c>
      <c r="AO73" s="2" t="str">
        <f t="shared" si="40"/>
        <v>CONMEX</v>
      </c>
      <c r="AP73" s="37">
        <f t="shared" si="41"/>
        <v>0</v>
      </c>
      <c r="AQ73" s="37">
        <f t="shared" si="41"/>
        <v>0</v>
      </c>
    </row>
    <row r="74" spans="1:43" x14ac:dyDescent="0.25">
      <c r="B74" s="2" t="s">
        <v>8</v>
      </c>
      <c r="C74" s="2">
        <v>2025</v>
      </c>
      <c r="D74" s="1">
        <v>520079</v>
      </c>
      <c r="E74" s="11">
        <v>44740898</v>
      </c>
      <c r="F74" s="1">
        <v>312155</v>
      </c>
      <c r="G74" s="11">
        <v>29030239</v>
      </c>
      <c r="H74" s="1">
        <v>144321</v>
      </c>
      <c r="I74" s="11">
        <v>24759555</v>
      </c>
      <c r="J74" s="1">
        <v>2926701</v>
      </c>
      <c r="K74" s="11">
        <v>471676986</v>
      </c>
      <c r="L74" s="8">
        <v>58508</v>
      </c>
      <c r="M74" s="11">
        <v>11774780</v>
      </c>
      <c r="N74" s="8">
        <v>117692</v>
      </c>
      <c r="O74" s="11">
        <v>25984984</v>
      </c>
      <c r="P74" s="8">
        <v>400</v>
      </c>
      <c r="Q74" s="11">
        <v>168312</v>
      </c>
      <c r="R74" s="8">
        <v>26461</v>
      </c>
      <c r="S74" s="11">
        <v>2512592</v>
      </c>
      <c r="T74" s="53">
        <f t="shared" si="34"/>
        <v>4106317</v>
      </c>
      <c r="U74" s="54">
        <f t="shared" si="35"/>
        <v>610648346</v>
      </c>
      <c r="V74" s="2" t="s">
        <v>59</v>
      </c>
      <c r="X74" s="13"/>
      <c r="Y74" s="2" t="s">
        <v>8</v>
      </c>
      <c r="Z74" s="2">
        <v>2025</v>
      </c>
      <c r="AA74" s="1">
        <f t="shared" si="36"/>
        <v>976555</v>
      </c>
      <c r="AB74" s="11">
        <f t="shared" si="37"/>
        <v>98530692</v>
      </c>
      <c r="AC74" s="1">
        <f t="shared" si="38"/>
        <v>2926701</v>
      </c>
      <c r="AD74" s="11">
        <f t="shared" si="38"/>
        <v>471676986</v>
      </c>
      <c r="AE74" s="8">
        <f t="shared" si="38"/>
        <v>58508</v>
      </c>
      <c r="AF74" s="11">
        <f t="shared" si="38"/>
        <v>11774780</v>
      </c>
      <c r="AG74" s="8">
        <f t="shared" si="38"/>
        <v>117692</v>
      </c>
      <c r="AH74" s="11">
        <f t="shared" si="38"/>
        <v>25984984</v>
      </c>
      <c r="AI74" s="8">
        <f t="shared" si="38"/>
        <v>400</v>
      </c>
      <c r="AJ74" s="11">
        <f t="shared" si="38"/>
        <v>168312</v>
      </c>
      <c r="AK74" s="11">
        <f t="shared" si="38"/>
        <v>26461</v>
      </c>
      <c r="AL74" s="11">
        <f t="shared" si="38"/>
        <v>2512592</v>
      </c>
      <c r="AM74" s="8">
        <f t="shared" si="42"/>
        <v>4106317</v>
      </c>
      <c r="AN74" s="11">
        <f t="shared" si="39"/>
        <v>610648346</v>
      </c>
      <c r="AO74" s="2" t="str">
        <f t="shared" si="40"/>
        <v>CONMEX</v>
      </c>
      <c r="AP74" s="37">
        <f t="shared" si="41"/>
        <v>0</v>
      </c>
      <c r="AQ74" s="37">
        <f t="shared" si="41"/>
        <v>0</v>
      </c>
    </row>
    <row r="75" spans="1:43" x14ac:dyDescent="0.25">
      <c r="B75" s="2" t="s">
        <v>9</v>
      </c>
      <c r="C75" s="2">
        <v>2025</v>
      </c>
      <c r="D75" s="1">
        <v>558688</v>
      </c>
      <c r="E75" s="11">
        <v>47434185.5</v>
      </c>
      <c r="F75" s="1">
        <v>347390</v>
      </c>
      <c r="G75" s="11">
        <v>32357313.5</v>
      </c>
      <c r="H75" s="1">
        <v>147982</v>
      </c>
      <c r="I75" s="11">
        <v>24917966</v>
      </c>
      <c r="J75" s="1">
        <v>3198790</v>
      </c>
      <c r="K75" s="11">
        <v>511700727</v>
      </c>
      <c r="L75" s="8">
        <v>62895</v>
      </c>
      <c r="M75" s="11">
        <v>12425881</v>
      </c>
      <c r="N75" s="8">
        <v>133072</v>
      </c>
      <c r="O75" s="11">
        <v>29517257</v>
      </c>
      <c r="P75" s="8">
        <v>349</v>
      </c>
      <c r="Q75" s="11">
        <v>151738</v>
      </c>
      <c r="R75" s="8">
        <v>30762</v>
      </c>
      <c r="S75" s="11">
        <v>2882419</v>
      </c>
      <c r="T75" s="53">
        <f t="shared" si="34"/>
        <v>4479928</v>
      </c>
      <c r="U75" s="54">
        <f t="shared" si="35"/>
        <v>661387487</v>
      </c>
      <c r="V75" s="2" t="s">
        <v>59</v>
      </c>
      <c r="X75" s="13"/>
      <c r="Y75" s="2" t="s">
        <v>9</v>
      </c>
      <c r="Z75" s="2">
        <v>2025</v>
      </c>
      <c r="AA75" s="1">
        <f t="shared" si="36"/>
        <v>1054060</v>
      </c>
      <c r="AB75" s="11">
        <f t="shared" si="37"/>
        <v>104709465</v>
      </c>
      <c r="AC75" s="1">
        <f t="shared" si="38"/>
        <v>3198790</v>
      </c>
      <c r="AD75" s="11">
        <f t="shared" si="38"/>
        <v>511700727</v>
      </c>
      <c r="AE75" s="8">
        <f t="shared" si="38"/>
        <v>62895</v>
      </c>
      <c r="AF75" s="11">
        <f t="shared" si="38"/>
        <v>12425881</v>
      </c>
      <c r="AG75" s="8">
        <f t="shared" si="38"/>
        <v>133072</v>
      </c>
      <c r="AH75" s="11">
        <f t="shared" si="38"/>
        <v>29517257</v>
      </c>
      <c r="AI75" s="8">
        <f t="shared" si="38"/>
        <v>349</v>
      </c>
      <c r="AJ75" s="11">
        <f t="shared" si="38"/>
        <v>151738</v>
      </c>
      <c r="AK75" s="11">
        <f t="shared" si="38"/>
        <v>30762</v>
      </c>
      <c r="AL75" s="11">
        <f t="shared" si="38"/>
        <v>2882419</v>
      </c>
      <c r="AM75" s="8">
        <f t="shared" si="42"/>
        <v>4479928</v>
      </c>
      <c r="AN75" s="11">
        <f t="shared" si="39"/>
        <v>661387487</v>
      </c>
      <c r="AO75" s="2" t="str">
        <f t="shared" si="40"/>
        <v>CONMEX</v>
      </c>
      <c r="AP75" s="37">
        <f t="shared" si="41"/>
        <v>0</v>
      </c>
      <c r="AQ75" s="37">
        <f t="shared" si="41"/>
        <v>0</v>
      </c>
    </row>
    <row r="76" spans="1:43" x14ac:dyDescent="0.25">
      <c r="B76" s="2" t="s">
        <v>10</v>
      </c>
      <c r="C76" s="2">
        <v>2025</v>
      </c>
      <c r="D76" s="1">
        <v>545424</v>
      </c>
      <c r="E76" s="11">
        <v>46612602.700000003</v>
      </c>
      <c r="F76" s="1">
        <v>333069</v>
      </c>
      <c r="G76" s="11">
        <v>31138407.5</v>
      </c>
      <c r="H76" s="1">
        <v>143978</v>
      </c>
      <c r="I76" s="11">
        <v>24137088</v>
      </c>
      <c r="J76" s="1">
        <v>3029593</v>
      </c>
      <c r="K76" s="11">
        <v>487156173</v>
      </c>
      <c r="L76" s="8">
        <v>63529</v>
      </c>
      <c r="M76" s="11">
        <v>12941111</v>
      </c>
      <c r="N76" s="8">
        <v>128845</v>
      </c>
      <c r="O76" s="11">
        <v>28722837</v>
      </c>
      <c r="P76" s="8">
        <v>324</v>
      </c>
      <c r="Q76" s="11">
        <v>138584</v>
      </c>
      <c r="R76" s="8">
        <v>28836</v>
      </c>
      <c r="S76" s="11">
        <v>2704602</v>
      </c>
      <c r="T76" s="53">
        <f t="shared" si="34"/>
        <v>4273598</v>
      </c>
      <c r="U76" s="54">
        <f t="shared" si="35"/>
        <v>633551405.20000005</v>
      </c>
      <c r="V76" s="2" t="s">
        <v>59</v>
      </c>
      <c r="Y76" s="2" t="s">
        <v>10</v>
      </c>
      <c r="Z76" s="2">
        <v>2025</v>
      </c>
      <c r="AA76" s="1">
        <f t="shared" si="36"/>
        <v>1022471</v>
      </c>
      <c r="AB76" s="11">
        <f t="shared" si="37"/>
        <v>101888098.2</v>
      </c>
      <c r="AC76" s="1">
        <f t="shared" si="38"/>
        <v>3029593</v>
      </c>
      <c r="AD76" s="11">
        <f t="shared" si="38"/>
        <v>487156173</v>
      </c>
      <c r="AE76" s="8">
        <f t="shared" si="38"/>
        <v>63529</v>
      </c>
      <c r="AF76" s="11">
        <f t="shared" si="38"/>
        <v>12941111</v>
      </c>
      <c r="AG76" s="8">
        <f t="shared" si="38"/>
        <v>128845</v>
      </c>
      <c r="AH76" s="11">
        <f t="shared" si="38"/>
        <v>28722837</v>
      </c>
      <c r="AI76" s="8">
        <f t="shared" si="38"/>
        <v>324</v>
      </c>
      <c r="AJ76" s="11">
        <f t="shared" si="38"/>
        <v>138584</v>
      </c>
      <c r="AK76" s="11">
        <f t="shared" si="38"/>
        <v>28836</v>
      </c>
      <c r="AL76" s="11">
        <f t="shared" si="38"/>
        <v>2704602</v>
      </c>
      <c r="AM76" s="8">
        <f t="shared" si="42"/>
        <v>4273598</v>
      </c>
      <c r="AN76" s="11">
        <f t="shared" si="39"/>
        <v>633551405.20000005</v>
      </c>
      <c r="AO76" s="2" t="str">
        <f t="shared" si="40"/>
        <v>CONMEX</v>
      </c>
      <c r="AP76" s="37">
        <f t="shared" si="41"/>
        <v>0</v>
      </c>
      <c r="AQ76" s="37">
        <f t="shared" si="41"/>
        <v>0</v>
      </c>
    </row>
    <row r="77" spans="1:43" x14ac:dyDescent="0.25">
      <c r="B77" s="2" t="s">
        <v>11</v>
      </c>
      <c r="C77" s="2">
        <v>2025</v>
      </c>
      <c r="D77" s="1">
        <v>579272</v>
      </c>
      <c r="E77" s="11">
        <v>50534223</v>
      </c>
      <c r="F77" s="1">
        <v>358491</v>
      </c>
      <c r="G77" s="11">
        <v>32376244</v>
      </c>
      <c r="H77" s="1">
        <v>149544</v>
      </c>
      <c r="I77" s="11">
        <v>26519145</v>
      </c>
      <c r="J77" s="1">
        <v>3251258</v>
      </c>
      <c r="K77" s="11">
        <v>519870666</v>
      </c>
      <c r="L77" s="8">
        <v>72794</v>
      </c>
      <c r="M77" s="11">
        <v>15321654</v>
      </c>
      <c r="N77" s="8">
        <v>135297</v>
      </c>
      <c r="O77" s="11">
        <v>31049895</v>
      </c>
      <c r="P77" s="8">
        <v>219</v>
      </c>
      <c r="Q77" s="11">
        <v>98747</v>
      </c>
      <c r="R77" s="8">
        <v>36187</v>
      </c>
      <c r="S77" s="11">
        <v>4018419</v>
      </c>
      <c r="T77" s="53">
        <f t="shared" si="34"/>
        <v>4583062</v>
      </c>
      <c r="U77" s="54">
        <f t="shared" si="35"/>
        <v>679788993</v>
      </c>
      <c r="V77" s="2" t="s">
        <v>59</v>
      </c>
      <c r="Y77" s="2" t="s">
        <v>11</v>
      </c>
      <c r="Z77" s="2">
        <v>2025</v>
      </c>
      <c r="AA77" s="1">
        <f t="shared" si="36"/>
        <v>1087307</v>
      </c>
      <c r="AB77" s="11">
        <f t="shared" si="37"/>
        <v>109429612</v>
      </c>
      <c r="AC77" s="1">
        <f t="shared" si="38"/>
        <v>3251258</v>
      </c>
      <c r="AD77" s="11">
        <f t="shared" si="38"/>
        <v>519870666</v>
      </c>
      <c r="AE77" s="8">
        <f t="shared" si="38"/>
        <v>72794</v>
      </c>
      <c r="AF77" s="11">
        <f t="shared" si="38"/>
        <v>15321654</v>
      </c>
      <c r="AG77" s="8">
        <f t="shared" si="38"/>
        <v>135297</v>
      </c>
      <c r="AH77" s="11">
        <f t="shared" si="38"/>
        <v>31049895</v>
      </c>
      <c r="AI77" s="8">
        <f t="shared" si="38"/>
        <v>219</v>
      </c>
      <c r="AJ77" s="11">
        <f t="shared" si="38"/>
        <v>98747</v>
      </c>
      <c r="AK77" s="11">
        <f t="shared" si="38"/>
        <v>36187</v>
      </c>
      <c r="AL77" s="11">
        <f t="shared" si="38"/>
        <v>4018419</v>
      </c>
      <c r="AM77" s="8">
        <f t="shared" si="42"/>
        <v>4583062</v>
      </c>
      <c r="AN77" s="11">
        <f t="shared" si="39"/>
        <v>679788993</v>
      </c>
      <c r="AO77" s="2" t="str">
        <f t="shared" si="40"/>
        <v>CONMEX</v>
      </c>
      <c r="AP77" s="37">
        <f t="shared" si="41"/>
        <v>0</v>
      </c>
      <c r="AQ77" s="37">
        <f t="shared" si="41"/>
        <v>0</v>
      </c>
    </row>
    <row r="78" spans="1:43" x14ac:dyDescent="0.25">
      <c r="B78" s="2" t="s">
        <v>4</v>
      </c>
      <c r="C78" s="2">
        <v>2025</v>
      </c>
      <c r="D78" s="1">
        <v>593722</v>
      </c>
      <c r="E78" s="11">
        <v>51030342</v>
      </c>
      <c r="F78" s="1">
        <v>364057</v>
      </c>
      <c r="G78" s="11">
        <v>31953532</v>
      </c>
      <c r="H78" s="1">
        <v>153623</v>
      </c>
      <c r="I78" s="11">
        <v>26624704</v>
      </c>
      <c r="J78" s="1">
        <v>3294451</v>
      </c>
      <c r="K78" s="11">
        <v>490112265</v>
      </c>
      <c r="L78" s="8">
        <v>72963</v>
      </c>
      <c r="M78" s="11">
        <v>14441338</v>
      </c>
      <c r="N78" s="8">
        <v>135758</v>
      </c>
      <c r="O78" s="11">
        <v>28623456</v>
      </c>
      <c r="P78" s="8">
        <v>214</v>
      </c>
      <c r="Q78" s="11">
        <v>100844</v>
      </c>
      <c r="R78" s="8">
        <v>41198</v>
      </c>
      <c r="S78" s="11">
        <v>4605455</v>
      </c>
      <c r="T78" s="53">
        <f t="shared" si="34"/>
        <v>4655986</v>
      </c>
      <c r="U78" s="54">
        <f t="shared" si="35"/>
        <v>647491936</v>
      </c>
      <c r="V78" s="2" t="s">
        <v>59</v>
      </c>
      <c r="Y78" s="2" t="s">
        <v>4</v>
      </c>
      <c r="Z78" s="2">
        <v>2025</v>
      </c>
      <c r="AA78" s="1">
        <f t="shared" si="36"/>
        <v>1111402</v>
      </c>
      <c r="AB78" s="11">
        <f t="shared" si="37"/>
        <v>109608578</v>
      </c>
      <c r="AC78" s="1">
        <f t="shared" si="38"/>
        <v>3294451</v>
      </c>
      <c r="AD78" s="11">
        <f t="shared" si="38"/>
        <v>490112265</v>
      </c>
      <c r="AE78" s="8">
        <f t="shared" si="38"/>
        <v>72963</v>
      </c>
      <c r="AF78" s="11">
        <f t="shared" si="38"/>
        <v>14441338</v>
      </c>
      <c r="AG78" s="8">
        <f t="shared" si="38"/>
        <v>135758</v>
      </c>
      <c r="AH78" s="11">
        <f t="shared" si="38"/>
        <v>28623456</v>
      </c>
      <c r="AI78" s="8">
        <f t="shared" si="38"/>
        <v>214</v>
      </c>
      <c r="AJ78" s="11">
        <f t="shared" si="38"/>
        <v>100844</v>
      </c>
      <c r="AK78" s="11">
        <f t="shared" si="38"/>
        <v>41198</v>
      </c>
      <c r="AL78" s="11">
        <f t="shared" si="38"/>
        <v>4605455</v>
      </c>
      <c r="AM78" s="27">
        <f t="shared" si="42"/>
        <v>4655986</v>
      </c>
      <c r="AN78" s="14">
        <f t="shared" si="39"/>
        <v>647491936</v>
      </c>
      <c r="AO78" s="2" t="str">
        <f t="shared" si="40"/>
        <v>CONMEX</v>
      </c>
      <c r="AP78" s="37">
        <f t="shared" si="41"/>
        <v>0</v>
      </c>
      <c r="AQ78" s="37">
        <f t="shared" si="41"/>
        <v>0</v>
      </c>
    </row>
    <row r="79" spans="1:43" x14ac:dyDescent="0.25">
      <c r="B79" s="2" t="s">
        <v>28</v>
      </c>
      <c r="C79" s="2">
        <v>2025</v>
      </c>
      <c r="D79" s="1">
        <v>597131</v>
      </c>
      <c r="E79" s="11">
        <v>53027091</v>
      </c>
      <c r="F79" s="1">
        <v>350713</v>
      </c>
      <c r="G79" s="11">
        <v>32607230</v>
      </c>
      <c r="H79" s="1">
        <v>142735</v>
      </c>
      <c r="I79" s="11">
        <v>25780802</v>
      </c>
      <c r="J79" s="1">
        <v>3506443</v>
      </c>
      <c r="K79" s="11">
        <v>588011207</v>
      </c>
      <c r="L79" s="8">
        <v>78400</v>
      </c>
      <c r="M79" s="11">
        <v>16735757</v>
      </c>
      <c r="N79" s="8">
        <v>150474</v>
      </c>
      <c r="O79" s="11">
        <v>35509027</v>
      </c>
      <c r="P79" s="8">
        <v>260</v>
      </c>
      <c r="Q79" s="11">
        <v>118141</v>
      </c>
      <c r="R79" s="8">
        <v>45278</v>
      </c>
      <c r="S79" s="11">
        <v>5807424</v>
      </c>
      <c r="T79" s="53">
        <f t="shared" si="34"/>
        <v>4871434</v>
      </c>
      <c r="U79" s="54">
        <f t="shared" si="35"/>
        <v>757596679</v>
      </c>
      <c r="V79" s="2" t="s">
        <v>59</v>
      </c>
      <c r="Y79" s="2" t="s">
        <v>28</v>
      </c>
      <c r="Z79" s="2">
        <v>2025</v>
      </c>
      <c r="AA79" s="1">
        <f t="shared" si="36"/>
        <v>1090579</v>
      </c>
      <c r="AB79" s="11">
        <f t="shared" si="37"/>
        <v>111415123</v>
      </c>
      <c r="AC79" s="1">
        <f t="shared" si="38"/>
        <v>3506443</v>
      </c>
      <c r="AD79" s="11">
        <f t="shared" si="38"/>
        <v>588011207</v>
      </c>
      <c r="AE79" s="8">
        <f t="shared" si="38"/>
        <v>78400</v>
      </c>
      <c r="AF79" s="11">
        <f t="shared" si="38"/>
        <v>16735757</v>
      </c>
      <c r="AG79" s="8">
        <f t="shared" si="38"/>
        <v>150474</v>
      </c>
      <c r="AH79" s="11">
        <f t="shared" si="38"/>
        <v>35509027</v>
      </c>
      <c r="AI79" s="8">
        <f t="shared" si="38"/>
        <v>260</v>
      </c>
      <c r="AJ79" s="11">
        <f t="shared" si="38"/>
        <v>118141</v>
      </c>
      <c r="AK79" s="11">
        <f t="shared" si="38"/>
        <v>45278</v>
      </c>
      <c r="AL79" s="11">
        <f t="shared" si="38"/>
        <v>5807424</v>
      </c>
      <c r="AM79" s="8">
        <f t="shared" si="42"/>
        <v>4871434</v>
      </c>
      <c r="AN79" s="11">
        <f t="shared" si="39"/>
        <v>757596679</v>
      </c>
      <c r="AO79" s="2" t="str">
        <f t="shared" si="40"/>
        <v>CONMEX</v>
      </c>
      <c r="AP79" s="37">
        <f t="shared" si="41"/>
        <v>0</v>
      </c>
      <c r="AQ79" s="37">
        <f t="shared" si="41"/>
        <v>0</v>
      </c>
    </row>
    <row r="80" spans="1:43" x14ac:dyDescent="0.25">
      <c r="B80" s="2" t="s">
        <v>29</v>
      </c>
      <c r="C80" s="2">
        <v>2025</v>
      </c>
      <c r="D80" s="1">
        <v>584898</v>
      </c>
      <c r="E80" s="11">
        <v>53272210</v>
      </c>
      <c r="F80" s="1">
        <v>342691</v>
      </c>
      <c r="G80" s="11">
        <v>32806372</v>
      </c>
      <c r="H80" s="1">
        <v>145171</v>
      </c>
      <c r="I80" s="11">
        <v>26219359</v>
      </c>
      <c r="J80" s="1">
        <v>3390750</v>
      </c>
      <c r="K80" s="11">
        <v>556360574</v>
      </c>
      <c r="L80" s="8">
        <v>74530</v>
      </c>
      <c r="M80" s="11">
        <v>15867519</v>
      </c>
      <c r="N80" s="8">
        <v>148789</v>
      </c>
      <c r="O80" s="11">
        <v>34679455</v>
      </c>
      <c r="P80" s="8">
        <v>263</v>
      </c>
      <c r="Q80" s="11">
        <v>118537</v>
      </c>
      <c r="R80" s="8">
        <v>52243</v>
      </c>
      <c r="S80" s="11">
        <v>6774792</v>
      </c>
      <c r="T80" s="53">
        <f t="shared" si="34"/>
        <v>4739335</v>
      </c>
      <c r="U80" s="54">
        <f t="shared" si="35"/>
        <v>726098818</v>
      </c>
      <c r="V80" s="2" t="s">
        <v>59</v>
      </c>
      <c r="Y80" s="2" t="s">
        <v>29</v>
      </c>
      <c r="Z80" s="2">
        <v>2025</v>
      </c>
      <c r="AA80" s="1">
        <f t="shared" si="36"/>
        <v>1072760</v>
      </c>
      <c r="AB80" s="11">
        <f t="shared" si="37"/>
        <v>112297941</v>
      </c>
      <c r="AC80" s="1">
        <f t="shared" si="38"/>
        <v>3390750</v>
      </c>
      <c r="AD80" s="11">
        <f t="shared" si="38"/>
        <v>556360574</v>
      </c>
      <c r="AE80" s="8">
        <f t="shared" si="38"/>
        <v>74530</v>
      </c>
      <c r="AF80" s="11">
        <f t="shared" si="38"/>
        <v>15867519</v>
      </c>
      <c r="AG80" s="8">
        <f t="shared" si="38"/>
        <v>148789</v>
      </c>
      <c r="AH80" s="11">
        <f t="shared" si="38"/>
        <v>34679455</v>
      </c>
      <c r="AI80" s="8">
        <f t="shared" si="38"/>
        <v>263</v>
      </c>
      <c r="AJ80" s="11">
        <f t="shared" si="38"/>
        <v>118537</v>
      </c>
      <c r="AK80" s="11">
        <f t="shared" si="38"/>
        <v>52243</v>
      </c>
      <c r="AL80" s="11">
        <f t="shared" si="38"/>
        <v>6774792</v>
      </c>
      <c r="AM80" s="8">
        <f t="shared" si="42"/>
        <v>4739335</v>
      </c>
      <c r="AN80" s="11">
        <f t="shared" si="39"/>
        <v>726098818</v>
      </c>
      <c r="AO80" s="2" t="str">
        <f t="shared" si="40"/>
        <v>CONMEX</v>
      </c>
      <c r="AP80" s="37">
        <f t="shared" si="41"/>
        <v>0</v>
      </c>
      <c r="AQ80" s="37">
        <f t="shared" si="41"/>
        <v>0</v>
      </c>
    </row>
    <row r="81" spans="1:43" x14ac:dyDescent="0.25">
      <c r="B81" s="2" t="s">
        <v>30</v>
      </c>
      <c r="C81" s="2">
        <v>2025</v>
      </c>
      <c r="D81" s="1">
        <v>614360</v>
      </c>
      <c r="E81" s="11">
        <v>52433049</v>
      </c>
      <c r="F81" s="1">
        <v>370651</v>
      </c>
      <c r="G81" s="11">
        <v>32768728</v>
      </c>
      <c r="H81" s="1">
        <v>138234</v>
      </c>
      <c r="I81" s="11">
        <v>24782732</v>
      </c>
      <c r="J81" s="1">
        <v>3429281</v>
      </c>
      <c r="K81" s="11">
        <v>549636060</v>
      </c>
      <c r="L81" s="8">
        <v>72352</v>
      </c>
      <c r="M81" s="11">
        <v>15299899</v>
      </c>
      <c r="N81" s="8">
        <v>150311</v>
      </c>
      <c r="O81" s="11">
        <v>35482369</v>
      </c>
      <c r="P81" s="8">
        <v>234</v>
      </c>
      <c r="Q81" s="11">
        <v>111932</v>
      </c>
      <c r="R81" s="8">
        <v>57849</v>
      </c>
      <c r="S81" s="11">
        <v>6927015</v>
      </c>
      <c r="T81" s="53">
        <f t="shared" si="34"/>
        <v>4833272</v>
      </c>
      <c r="U81" s="54">
        <f t="shared" si="35"/>
        <v>717441784</v>
      </c>
      <c r="V81" s="2" t="s">
        <v>59</v>
      </c>
      <c r="Y81" s="2" t="s">
        <v>30</v>
      </c>
      <c r="Z81" s="2">
        <v>2025</v>
      </c>
      <c r="AA81" s="1">
        <f t="shared" si="36"/>
        <v>1123245</v>
      </c>
      <c r="AB81" s="11">
        <f t="shared" si="37"/>
        <v>109984509</v>
      </c>
      <c r="AC81" s="1">
        <f t="shared" si="38"/>
        <v>3429281</v>
      </c>
      <c r="AD81" s="11">
        <f t="shared" si="38"/>
        <v>549636060</v>
      </c>
      <c r="AE81" s="8">
        <f t="shared" si="38"/>
        <v>72352</v>
      </c>
      <c r="AF81" s="11">
        <f t="shared" si="38"/>
        <v>15299899</v>
      </c>
      <c r="AG81" s="8">
        <f t="shared" si="38"/>
        <v>150311</v>
      </c>
      <c r="AH81" s="11">
        <f t="shared" si="38"/>
        <v>35482369</v>
      </c>
      <c r="AI81" s="8">
        <f t="shared" si="38"/>
        <v>234</v>
      </c>
      <c r="AJ81" s="11">
        <f t="shared" si="38"/>
        <v>111932</v>
      </c>
      <c r="AK81" s="11">
        <f t="shared" si="38"/>
        <v>57849</v>
      </c>
      <c r="AL81" s="11">
        <f t="shared" si="38"/>
        <v>6927015</v>
      </c>
      <c r="AM81" s="79">
        <f t="shared" si="42"/>
        <v>4833272</v>
      </c>
      <c r="AN81" s="80">
        <f t="shared" si="39"/>
        <v>717441784</v>
      </c>
      <c r="AO81" s="2" t="str">
        <f t="shared" si="40"/>
        <v>CONMEX</v>
      </c>
      <c r="AP81" s="37">
        <f t="shared" si="41"/>
        <v>0</v>
      </c>
      <c r="AQ81" s="37">
        <f t="shared" si="41"/>
        <v>0</v>
      </c>
    </row>
    <row r="82" spans="1:43" x14ac:dyDescent="0.25">
      <c r="B82" s="2" t="s">
        <v>31</v>
      </c>
      <c r="C82" s="2">
        <v>2025</v>
      </c>
      <c r="D82" s="1">
        <v>639434</v>
      </c>
      <c r="E82" s="11">
        <v>54193189</v>
      </c>
      <c r="F82" s="1">
        <v>378376</v>
      </c>
      <c r="G82" s="11">
        <v>32524872</v>
      </c>
      <c r="H82" s="1">
        <v>151493</v>
      </c>
      <c r="I82" s="11">
        <v>27750480</v>
      </c>
      <c r="J82" s="1">
        <v>3497580</v>
      </c>
      <c r="K82" s="11">
        <v>540501223</v>
      </c>
      <c r="L82" s="8">
        <v>71175</v>
      </c>
      <c r="M82" s="11">
        <v>14572635</v>
      </c>
      <c r="N82" s="8">
        <v>148254</v>
      </c>
      <c r="O82" s="11">
        <v>33844844</v>
      </c>
      <c r="P82" s="8">
        <v>285</v>
      </c>
      <c r="Q82" s="11">
        <v>105732</v>
      </c>
      <c r="R82" s="11">
        <v>64171</v>
      </c>
      <c r="S82" s="11">
        <v>7391871</v>
      </c>
      <c r="T82" s="53">
        <f t="shared" si="34"/>
        <v>4950768</v>
      </c>
      <c r="U82" s="54">
        <f t="shared" si="35"/>
        <v>710884846</v>
      </c>
      <c r="V82" s="2" t="s">
        <v>59</v>
      </c>
      <c r="W82" s="13"/>
      <c r="Y82" s="2" t="s">
        <v>31</v>
      </c>
      <c r="Z82" s="2">
        <v>2025</v>
      </c>
      <c r="AA82" s="1">
        <f t="shared" si="36"/>
        <v>1169303</v>
      </c>
      <c r="AB82" s="11">
        <f t="shared" si="37"/>
        <v>114468541</v>
      </c>
      <c r="AC82" s="1">
        <f t="shared" si="38"/>
        <v>3497580</v>
      </c>
      <c r="AD82" s="11">
        <f t="shared" si="38"/>
        <v>540501223</v>
      </c>
      <c r="AE82" s="8">
        <f t="shared" si="38"/>
        <v>71175</v>
      </c>
      <c r="AF82" s="11">
        <f t="shared" si="38"/>
        <v>14572635</v>
      </c>
      <c r="AG82" s="8">
        <f t="shared" si="38"/>
        <v>148254</v>
      </c>
      <c r="AH82" s="11">
        <f t="shared" si="38"/>
        <v>33844844</v>
      </c>
      <c r="AI82" s="8">
        <f t="shared" si="38"/>
        <v>285</v>
      </c>
      <c r="AJ82" s="11">
        <f t="shared" si="38"/>
        <v>105732</v>
      </c>
      <c r="AK82" s="11">
        <f t="shared" si="38"/>
        <v>64171</v>
      </c>
      <c r="AL82" s="11">
        <f t="shared" si="38"/>
        <v>7391871</v>
      </c>
      <c r="AM82" s="8">
        <f t="shared" si="42"/>
        <v>4950768</v>
      </c>
      <c r="AN82" s="11">
        <f t="shared" si="39"/>
        <v>710884846</v>
      </c>
      <c r="AO82" s="2" t="str">
        <f t="shared" si="40"/>
        <v>CONMEX</v>
      </c>
      <c r="AP82" s="37">
        <f t="shared" si="41"/>
        <v>0</v>
      </c>
      <c r="AQ82" s="37">
        <f t="shared" si="41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43">SUM(D71:D83)</f>
        <v>6716755</v>
      </c>
      <c r="E84" s="12">
        <f t="shared" si="43"/>
        <v>578457552.29999995</v>
      </c>
      <c r="F84" s="4">
        <f t="shared" si="43"/>
        <v>4072187</v>
      </c>
      <c r="G84" s="12">
        <f t="shared" si="43"/>
        <v>372780539</v>
      </c>
      <c r="H84" s="4">
        <f t="shared" si="43"/>
        <v>1718435</v>
      </c>
      <c r="I84" s="12">
        <f t="shared" si="43"/>
        <v>301894817</v>
      </c>
      <c r="J84" s="4">
        <f t="shared" si="43"/>
        <v>38151344</v>
      </c>
      <c r="K84" s="12">
        <f t="shared" si="43"/>
        <v>6109237497</v>
      </c>
      <c r="L84" s="4">
        <f t="shared" si="43"/>
        <v>804478</v>
      </c>
      <c r="M84" s="12">
        <f t="shared" si="43"/>
        <v>165596929</v>
      </c>
      <c r="N84" s="4">
        <f t="shared" si="43"/>
        <v>1606805</v>
      </c>
      <c r="O84" s="12">
        <f t="shared" si="43"/>
        <v>364385391</v>
      </c>
      <c r="P84" s="4">
        <f>SUM(P71:P83)</f>
        <v>3450</v>
      </c>
      <c r="Q84" s="12">
        <f>SUM(Q71:Q83)</f>
        <v>1500993</v>
      </c>
      <c r="R84" s="4">
        <f>SUM(R71:R83)</f>
        <v>447627</v>
      </c>
      <c r="S84" s="12">
        <f>SUM(S71:S83)</f>
        <v>48974758</v>
      </c>
      <c r="T84" s="4">
        <f t="shared" ref="T84:U84" si="44">SUM(T71:T83)</f>
        <v>53521081</v>
      </c>
      <c r="U84" s="12">
        <f t="shared" si="44"/>
        <v>7942828476.3000002</v>
      </c>
      <c r="Y84" s="3" t="s">
        <v>12</v>
      </c>
      <c r="Z84" s="3"/>
      <c r="AA84" s="4">
        <f t="shared" ref="AA84:AN84" si="45">SUM(AA71:AA83)</f>
        <v>12507377</v>
      </c>
      <c r="AB84" s="12">
        <f t="shared" si="45"/>
        <v>1253132908.3000002</v>
      </c>
      <c r="AC84" s="4">
        <f t="shared" si="45"/>
        <v>38151344</v>
      </c>
      <c r="AD84" s="12">
        <f t="shared" si="45"/>
        <v>6109237497</v>
      </c>
      <c r="AE84" s="4">
        <f t="shared" si="45"/>
        <v>804478</v>
      </c>
      <c r="AF84" s="12">
        <f t="shared" si="45"/>
        <v>165596929</v>
      </c>
      <c r="AG84" s="4">
        <f t="shared" si="45"/>
        <v>1606805</v>
      </c>
      <c r="AH84" s="12">
        <f t="shared" si="45"/>
        <v>364385391</v>
      </c>
      <c r="AI84" s="4">
        <f t="shared" si="45"/>
        <v>3450</v>
      </c>
      <c r="AJ84" s="12">
        <f t="shared" si="45"/>
        <v>1500993</v>
      </c>
      <c r="AK84" s="4">
        <f t="shared" si="45"/>
        <v>447627</v>
      </c>
      <c r="AL84" s="12">
        <f t="shared" si="45"/>
        <v>48974758</v>
      </c>
      <c r="AM84" s="4">
        <f t="shared" si="45"/>
        <v>53521081</v>
      </c>
      <c r="AN84" s="12">
        <f t="shared" si="45"/>
        <v>7942828476.3000002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57988.5</v>
      </c>
      <c r="M85" s="60">
        <f>AVERAGE(M71:M72)</f>
        <v>11780760</v>
      </c>
      <c r="T85" s="15">
        <f>AVERAGE(T71:T72)</f>
        <v>3906779</v>
      </c>
      <c r="U85" s="28">
        <f>AVERAGE(U71:U72)</f>
        <v>580328411.54999995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0.38888181013439199</v>
      </c>
      <c r="M86" s="36">
        <f>+M85/$M$371</f>
        <v>0.45332970493379937</v>
      </c>
      <c r="N86" s="18"/>
      <c r="O86" s="19"/>
      <c r="P86" s="19"/>
      <c r="Q86" s="19"/>
      <c r="R86" s="19"/>
      <c r="S86" s="19"/>
      <c r="T86" s="36">
        <f>+L85/T85</f>
        <v>1.4843045895352668E-2</v>
      </c>
      <c r="U86" s="62">
        <f>+M85/U85</f>
        <v>2.0300160677184067E-2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87</v>
      </c>
      <c r="S89" s="93"/>
      <c r="T89" s="89" t="s">
        <v>12</v>
      </c>
      <c r="U89" s="93"/>
      <c r="AA89" s="89" t="s">
        <v>69</v>
      </c>
      <c r="AB89" s="90"/>
      <c r="AC89" s="89" t="s">
        <v>17</v>
      </c>
      <c r="AD89" s="93"/>
      <c r="AE89" s="89" t="s">
        <v>18</v>
      </c>
      <c r="AF89" s="93"/>
      <c r="AG89" s="89" t="s">
        <v>13</v>
      </c>
      <c r="AH89" s="93"/>
      <c r="AI89" s="89" t="s">
        <v>34</v>
      </c>
      <c r="AJ89" s="93"/>
      <c r="AK89" s="89" t="s">
        <v>87</v>
      </c>
      <c r="AL89" s="93"/>
      <c r="AM89" s="89" t="s">
        <v>12</v>
      </c>
      <c r="AN89" s="93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2025</v>
      </c>
      <c r="D92" s="1">
        <v>47309.979096520139</v>
      </c>
      <c r="E92" s="11">
        <v>1582570.0840357398</v>
      </c>
      <c r="F92" s="1">
        <v>34379.605566002254</v>
      </c>
      <c r="G92" s="11">
        <v>1226723.902007685</v>
      </c>
      <c r="H92" s="1">
        <v>7252.847204831538</v>
      </c>
      <c r="I92" s="11">
        <v>377534.33535335097</v>
      </c>
      <c r="J92" s="1">
        <v>354717.45833683602</v>
      </c>
      <c r="K92" s="11">
        <v>16307140.381730501</v>
      </c>
      <c r="L92" s="1">
        <v>5131.8672344755878</v>
      </c>
      <c r="M92" s="11">
        <v>318232.48142218945</v>
      </c>
      <c r="N92" s="1">
        <v>14478.97663871867</v>
      </c>
      <c r="O92" s="11">
        <v>903337.82974591269</v>
      </c>
      <c r="P92" s="1">
        <v>34.938623542685221</v>
      </c>
      <c r="Q92" s="11">
        <v>3024.0409610691463</v>
      </c>
      <c r="R92" s="1">
        <v>1203.3272990730702</v>
      </c>
      <c r="S92" s="11">
        <v>38959.944743552318</v>
      </c>
      <c r="T92" s="53">
        <f t="shared" ref="T92:T115" si="46">N92+L92+J92+H92+D92+P92+F92+R92</f>
        <v>464508.99999999988</v>
      </c>
      <c r="U92" s="54">
        <f t="shared" ref="U92:U115" si="47">O92+M92+K92+I92+E92+Q92+G92+S92</f>
        <v>20757522.999999996</v>
      </c>
      <c r="V92" s="2" t="s">
        <v>93</v>
      </c>
      <c r="X92" t="str">
        <f t="shared" ref="X92:X115" si="48">+A92</f>
        <v>Estimado</v>
      </c>
      <c r="Y92" s="2" t="str">
        <f t="shared" ref="Y92:Y115" si="49">+B92</f>
        <v>ENERO</v>
      </c>
      <c r="Z92" s="2">
        <v>2025</v>
      </c>
      <c r="AA92" s="1">
        <f t="shared" ref="AA92:AA115" si="50">D92+H92+F92</f>
        <v>88942.431867353938</v>
      </c>
      <c r="AB92" s="11">
        <f t="shared" ref="AB92:AB115" si="51">E92+I92+G92</f>
        <v>3186828.3213967755</v>
      </c>
      <c r="AC92" s="1">
        <f t="shared" ref="AC92:AL115" si="52">+J92</f>
        <v>354717.45833683602</v>
      </c>
      <c r="AD92" s="11">
        <f t="shared" si="52"/>
        <v>16307140.381730501</v>
      </c>
      <c r="AE92" s="8">
        <f t="shared" si="52"/>
        <v>5131.8672344755878</v>
      </c>
      <c r="AF92" s="11">
        <f t="shared" si="52"/>
        <v>318232.48142218945</v>
      </c>
      <c r="AG92" s="8">
        <f t="shared" si="52"/>
        <v>14478.97663871867</v>
      </c>
      <c r="AH92" s="11">
        <f t="shared" si="52"/>
        <v>903337.82974591269</v>
      </c>
      <c r="AI92" s="8">
        <f t="shared" si="52"/>
        <v>34.938623542685221</v>
      </c>
      <c r="AJ92" s="11">
        <f t="shared" si="52"/>
        <v>3024.0409610691463</v>
      </c>
      <c r="AK92" s="11">
        <f t="shared" si="52"/>
        <v>1203.3272990730702</v>
      </c>
      <c r="AL92" s="11">
        <f t="shared" si="52"/>
        <v>38959.944743552318</v>
      </c>
      <c r="AM92" s="8">
        <f>AI92+AG92+AE92+AC92+AA92+AK92</f>
        <v>464508.99999999994</v>
      </c>
      <c r="AN92" s="11">
        <f t="shared" ref="AN92:AN115" si="53">AJ92+AH92+AF92+AD92+AB92+AL92</f>
        <v>20757523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2025</v>
      </c>
      <c r="D93" s="1">
        <v>45989</v>
      </c>
      <c r="E93" s="11">
        <v>1567975</v>
      </c>
      <c r="F93" s="1">
        <v>33420</v>
      </c>
      <c r="G93" s="11">
        <v>1215410</v>
      </c>
      <c r="H93" s="1">
        <v>7050</v>
      </c>
      <c r="I93" s="11">
        <v>374052</v>
      </c>
      <c r="J93" s="1">
        <v>344815</v>
      </c>
      <c r="K93" s="11">
        <v>16156746</v>
      </c>
      <c r="L93" s="1">
        <v>4989</v>
      </c>
      <c r="M93" s="11">
        <v>315298</v>
      </c>
      <c r="N93" s="1">
        <v>14075</v>
      </c>
      <c r="O93" s="11">
        <v>895007</v>
      </c>
      <c r="P93" s="1">
        <v>34</v>
      </c>
      <c r="Q93" s="11">
        <v>2996</v>
      </c>
      <c r="R93" s="1">
        <v>1170</v>
      </c>
      <c r="S93" s="11">
        <v>38601</v>
      </c>
      <c r="T93" s="53">
        <f t="shared" si="46"/>
        <v>451542</v>
      </c>
      <c r="U93" s="82">
        <f t="shared" si="47"/>
        <v>20566085</v>
      </c>
      <c r="V93" s="2" t="s">
        <v>93</v>
      </c>
      <c r="X93" t="str">
        <f t="shared" si="48"/>
        <v>Real</v>
      </c>
      <c r="Y93" s="2" t="str">
        <f t="shared" si="49"/>
        <v>ENERO</v>
      </c>
      <c r="Z93" s="2">
        <v>2025</v>
      </c>
      <c r="AA93" s="1">
        <f t="shared" si="50"/>
        <v>86459</v>
      </c>
      <c r="AB93" s="11">
        <f t="shared" si="51"/>
        <v>3157437</v>
      </c>
      <c r="AC93" s="1">
        <f t="shared" si="52"/>
        <v>344815</v>
      </c>
      <c r="AD93" s="11">
        <f t="shared" si="52"/>
        <v>16156746</v>
      </c>
      <c r="AE93" s="8">
        <f t="shared" si="52"/>
        <v>4989</v>
      </c>
      <c r="AF93" s="11">
        <f t="shared" si="52"/>
        <v>315298</v>
      </c>
      <c r="AG93" s="8">
        <f t="shared" si="52"/>
        <v>14075</v>
      </c>
      <c r="AH93" s="11">
        <f t="shared" si="52"/>
        <v>895007</v>
      </c>
      <c r="AI93" s="8">
        <f t="shared" si="52"/>
        <v>34</v>
      </c>
      <c r="AJ93" s="11">
        <f t="shared" si="52"/>
        <v>2996</v>
      </c>
      <c r="AK93" s="11">
        <f t="shared" si="52"/>
        <v>1170</v>
      </c>
      <c r="AL93" s="11">
        <f t="shared" si="52"/>
        <v>38601</v>
      </c>
      <c r="AM93" s="8">
        <f t="shared" ref="AM93:AM115" si="54">AI93+AG93+AE93+AC93+AA93+AK93</f>
        <v>451542</v>
      </c>
      <c r="AN93" s="11">
        <f t="shared" si="53"/>
        <v>20566085</v>
      </c>
      <c r="AO93" s="2" t="str">
        <f t="shared" ref="AO93:AO115" si="55">+$V$92</f>
        <v>CONMEX T6</v>
      </c>
    </row>
    <row r="94" spans="1:43" x14ac:dyDescent="0.25">
      <c r="A94" t="s">
        <v>101</v>
      </c>
      <c r="B94" s="2" t="s">
        <v>6</v>
      </c>
      <c r="C94" s="2">
        <v>2025</v>
      </c>
      <c r="D94" s="1">
        <v>41539</v>
      </c>
      <c r="E94" s="11">
        <v>1416235</v>
      </c>
      <c r="F94" s="1">
        <v>30186</v>
      </c>
      <c r="G94" s="11">
        <v>1097790</v>
      </c>
      <c r="H94" s="1">
        <v>6368</v>
      </c>
      <c r="I94" s="11">
        <v>337854</v>
      </c>
      <c r="J94" s="1">
        <v>311447</v>
      </c>
      <c r="K94" s="11">
        <v>14593190</v>
      </c>
      <c r="L94" s="1">
        <v>4506</v>
      </c>
      <c r="M94" s="11">
        <v>284785</v>
      </c>
      <c r="N94" s="1">
        <v>12713</v>
      </c>
      <c r="O94" s="11">
        <v>808393</v>
      </c>
      <c r="P94" s="1">
        <v>31</v>
      </c>
      <c r="Q94" s="11">
        <v>2706</v>
      </c>
      <c r="R94" s="1">
        <v>1057</v>
      </c>
      <c r="S94" s="11">
        <v>34865</v>
      </c>
      <c r="T94" s="53">
        <f t="shared" si="46"/>
        <v>407847</v>
      </c>
      <c r="U94" s="54">
        <f t="shared" si="47"/>
        <v>18575818</v>
      </c>
      <c r="V94" s="2" t="s">
        <v>93</v>
      </c>
      <c r="X94" t="str">
        <f t="shared" si="48"/>
        <v>Estimado</v>
      </c>
      <c r="Y94" s="2" t="str">
        <f t="shared" si="49"/>
        <v>FEBRERO</v>
      </c>
      <c r="Z94" s="2">
        <v>2025</v>
      </c>
      <c r="AA94" s="1">
        <f t="shared" si="50"/>
        <v>78093</v>
      </c>
      <c r="AB94" s="11">
        <f t="shared" si="51"/>
        <v>2851879</v>
      </c>
      <c r="AC94" s="1">
        <f t="shared" si="52"/>
        <v>311447</v>
      </c>
      <c r="AD94" s="11">
        <f t="shared" si="52"/>
        <v>14593190</v>
      </c>
      <c r="AE94" s="8">
        <f t="shared" si="52"/>
        <v>4506</v>
      </c>
      <c r="AF94" s="11">
        <f t="shared" si="52"/>
        <v>284785</v>
      </c>
      <c r="AG94" s="8">
        <f t="shared" si="52"/>
        <v>12713</v>
      </c>
      <c r="AH94" s="11">
        <f t="shared" si="52"/>
        <v>808393</v>
      </c>
      <c r="AI94" s="8">
        <f t="shared" si="52"/>
        <v>31</v>
      </c>
      <c r="AJ94" s="11">
        <f t="shared" si="52"/>
        <v>2706</v>
      </c>
      <c r="AK94" s="11">
        <f t="shared" si="52"/>
        <v>1057</v>
      </c>
      <c r="AL94" s="11">
        <f t="shared" si="52"/>
        <v>34865</v>
      </c>
      <c r="AM94" s="8">
        <f t="shared" si="54"/>
        <v>407847</v>
      </c>
      <c r="AN94" s="11">
        <f t="shared" si="53"/>
        <v>18575818</v>
      </c>
      <c r="AO94" s="2" t="str">
        <f t="shared" si="55"/>
        <v>CONMEX T6</v>
      </c>
    </row>
    <row r="95" spans="1:43" x14ac:dyDescent="0.25">
      <c r="A95" t="s">
        <v>102</v>
      </c>
      <c r="B95" s="2" t="s">
        <v>6</v>
      </c>
      <c r="C95" s="2">
        <v>2025</v>
      </c>
      <c r="D95" s="1">
        <v>42363</v>
      </c>
      <c r="E95" s="11">
        <v>1488520</v>
      </c>
      <c r="F95" s="1">
        <v>30785</v>
      </c>
      <c r="G95" s="11">
        <v>1153821</v>
      </c>
      <c r="H95" s="1">
        <v>6494</v>
      </c>
      <c r="I95" s="11">
        <v>355098</v>
      </c>
      <c r="J95" s="1">
        <v>317624</v>
      </c>
      <c r="K95" s="11">
        <v>15338024</v>
      </c>
      <c r="L95" s="1">
        <v>4595</v>
      </c>
      <c r="M95" s="11">
        <v>299320</v>
      </c>
      <c r="N95" s="1">
        <v>12965</v>
      </c>
      <c r="O95" s="11">
        <v>849653</v>
      </c>
      <c r="P95" s="1">
        <v>31</v>
      </c>
      <c r="Q95" s="11">
        <v>2844</v>
      </c>
      <c r="R95" s="1">
        <v>1078</v>
      </c>
      <c r="S95" s="11">
        <v>36645</v>
      </c>
      <c r="T95" s="53">
        <f t="shared" si="46"/>
        <v>415935</v>
      </c>
      <c r="U95" s="82">
        <f t="shared" si="47"/>
        <v>19523925</v>
      </c>
      <c r="V95" s="2" t="s">
        <v>93</v>
      </c>
      <c r="X95" t="str">
        <f t="shared" si="48"/>
        <v>Real</v>
      </c>
      <c r="Y95" s="2" t="str">
        <f t="shared" si="49"/>
        <v>FEBRERO</v>
      </c>
      <c r="Z95" s="2">
        <v>2025</v>
      </c>
      <c r="AA95" s="1">
        <f t="shared" si="50"/>
        <v>79642</v>
      </c>
      <c r="AB95" s="11">
        <f t="shared" si="51"/>
        <v>2997439</v>
      </c>
      <c r="AC95" s="1">
        <f t="shared" si="52"/>
        <v>317624</v>
      </c>
      <c r="AD95" s="11">
        <f t="shared" si="52"/>
        <v>15338024</v>
      </c>
      <c r="AE95" s="8">
        <f t="shared" si="52"/>
        <v>4595</v>
      </c>
      <c r="AF95" s="11">
        <f t="shared" si="52"/>
        <v>299320</v>
      </c>
      <c r="AG95" s="8">
        <f t="shared" si="52"/>
        <v>12965</v>
      </c>
      <c r="AH95" s="11">
        <f t="shared" si="52"/>
        <v>849653</v>
      </c>
      <c r="AI95" s="8">
        <f t="shared" si="52"/>
        <v>31</v>
      </c>
      <c r="AJ95" s="11">
        <f t="shared" si="52"/>
        <v>2844</v>
      </c>
      <c r="AK95" s="11">
        <f t="shared" si="52"/>
        <v>1078</v>
      </c>
      <c r="AL95" s="11">
        <f t="shared" si="52"/>
        <v>36645</v>
      </c>
      <c r="AM95" s="8">
        <f t="shared" si="54"/>
        <v>415935</v>
      </c>
      <c r="AN95" s="11">
        <f t="shared" si="53"/>
        <v>19523925</v>
      </c>
      <c r="AO95" s="2" t="str">
        <f t="shared" si="55"/>
        <v>CONMEX T6</v>
      </c>
    </row>
    <row r="96" spans="1:43" x14ac:dyDescent="0.25">
      <c r="A96" t="s">
        <v>101</v>
      </c>
      <c r="B96" s="2" t="s">
        <v>7</v>
      </c>
      <c r="C96" s="2">
        <v>2025</v>
      </c>
      <c r="D96" s="1">
        <v>46902</v>
      </c>
      <c r="E96" s="11">
        <v>1648004</v>
      </c>
      <c r="F96" s="1">
        <v>34083</v>
      </c>
      <c r="G96" s="11">
        <v>1277445</v>
      </c>
      <c r="H96" s="1">
        <v>7190</v>
      </c>
      <c r="I96" s="11">
        <v>393144</v>
      </c>
      <c r="J96" s="1">
        <v>351655</v>
      </c>
      <c r="K96" s="11">
        <v>16981384</v>
      </c>
      <c r="L96" s="1">
        <v>5088</v>
      </c>
      <c r="M96" s="11">
        <v>331390</v>
      </c>
      <c r="N96" s="1">
        <v>14354</v>
      </c>
      <c r="O96" s="11">
        <v>940688</v>
      </c>
      <c r="P96" s="1">
        <v>35</v>
      </c>
      <c r="Q96" s="11">
        <v>3149</v>
      </c>
      <c r="R96" s="1">
        <v>1194</v>
      </c>
      <c r="S96" s="11">
        <v>40571</v>
      </c>
      <c r="T96" s="53">
        <f t="shared" si="46"/>
        <v>460501</v>
      </c>
      <c r="U96" s="54">
        <f t="shared" si="47"/>
        <v>21615775</v>
      </c>
      <c r="V96" s="2" t="s">
        <v>93</v>
      </c>
      <c r="X96" t="str">
        <f t="shared" si="48"/>
        <v>Estimado</v>
      </c>
      <c r="Y96" s="2" t="str">
        <f t="shared" si="49"/>
        <v>MARZO</v>
      </c>
      <c r="Z96" s="2">
        <v>2025</v>
      </c>
      <c r="AA96" s="1">
        <f t="shared" si="50"/>
        <v>88175</v>
      </c>
      <c r="AB96" s="11">
        <f t="shared" si="51"/>
        <v>3318593</v>
      </c>
      <c r="AC96" s="1">
        <f t="shared" si="52"/>
        <v>351655</v>
      </c>
      <c r="AD96" s="11">
        <f t="shared" si="52"/>
        <v>16981384</v>
      </c>
      <c r="AE96" s="8">
        <f t="shared" si="52"/>
        <v>5088</v>
      </c>
      <c r="AF96" s="11">
        <f t="shared" si="52"/>
        <v>331390</v>
      </c>
      <c r="AG96" s="8">
        <f t="shared" si="52"/>
        <v>14354</v>
      </c>
      <c r="AH96" s="11">
        <f t="shared" si="52"/>
        <v>940688</v>
      </c>
      <c r="AI96" s="8">
        <f t="shared" si="52"/>
        <v>35</v>
      </c>
      <c r="AJ96" s="11">
        <f t="shared" si="52"/>
        <v>3149</v>
      </c>
      <c r="AK96" s="11">
        <f t="shared" si="52"/>
        <v>1194</v>
      </c>
      <c r="AL96" s="11">
        <f t="shared" si="52"/>
        <v>40571</v>
      </c>
      <c r="AM96" s="8">
        <f t="shared" si="54"/>
        <v>460501</v>
      </c>
      <c r="AN96" s="11">
        <f t="shared" si="53"/>
        <v>21615775</v>
      </c>
      <c r="AO96" s="2" t="str">
        <f t="shared" si="55"/>
        <v>CONMEX T6</v>
      </c>
    </row>
    <row r="97" spans="1:43" x14ac:dyDescent="0.25">
      <c r="A97" t="s">
        <v>102</v>
      </c>
      <c r="B97" s="2" t="s">
        <v>7</v>
      </c>
      <c r="C97" s="2">
        <v>2025</v>
      </c>
      <c r="D97" s="1">
        <v>48275</v>
      </c>
      <c r="E97" s="11">
        <v>1708725</v>
      </c>
      <c r="F97" s="1">
        <v>35081</v>
      </c>
      <c r="G97" s="11">
        <v>1324512</v>
      </c>
      <c r="H97" s="1">
        <v>7401</v>
      </c>
      <c r="I97" s="11">
        <v>407630</v>
      </c>
      <c r="J97" s="1">
        <v>361953</v>
      </c>
      <c r="K97" s="11">
        <v>17607066</v>
      </c>
      <c r="L97" s="1">
        <v>5237</v>
      </c>
      <c r="M97" s="11">
        <v>343600</v>
      </c>
      <c r="N97" s="1">
        <v>14774</v>
      </c>
      <c r="O97" s="11">
        <v>975347</v>
      </c>
      <c r="P97" s="1">
        <v>36</v>
      </c>
      <c r="Q97" s="11">
        <v>3265</v>
      </c>
      <c r="R97" s="1">
        <v>1227</v>
      </c>
      <c r="S97" s="11">
        <v>42066</v>
      </c>
      <c r="T97" s="53">
        <f t="shared" si="46"/>
        <v>473984</v>
      </c>
      <c r="U97" s="82">
        <f t="shared" si="47"/>
        <v>22412211</v>
      </c>
      <c r="V97" s="2" t="s">
        <v>93</v>
      </c>
      <c r="X97" t="str">
        <f t="shared" si="48"/>
        <v>Real</v>
      </c>
      <c r="Y97" s="2" t="str">
        <f t="shared" si="49"/>
        <v>MARZO</v>
      </c>
      <c r="Z97" s="2">
        <v>2025</v>
      </c>
      <c r="AA97" s="1">
        <f t="shared" si="50"/>
        <v>90757</v>
      </c>
      <c r="AB97" s="11">
        <f t="shared" si="51"/>
        <v>3440867</v>
      </c>
      <c r="AC97" s="1">
        <f t="shared" si="52"/>
        <v>361953</v>
      </c>
      <c r="AD97" s="11">
        <f t="shared" si="52"/>
        <v>17607066</v>
      </c>
      <c r="AE97" s="8">
        <f t="shared" si="52"/>
        <v>5237</v>
      </c>
      <c r="AF97" s="11">
        <f t="shared" si="52"/>
        <v>343600</v>
      </c>
      <c r="AG97" s="8">
        <f t="shared" si="52"/>
        <v>14774</v>
      </c>
      <c r="AH97" s="11">
        <f t="shared" si="52"/>
        <v>975347</v>
      </c>
      <c r="AI97" s="8">
        <f t="shared" si="52"/>
        <v>36</v>
      </c>
      <c r="AJ97" s="11">
        <f t="shared" si="52"/>
        <v>3265</v>
      </c>
      <c r="AK97" s="11">
        <f t="shared" si="52"/>
        <v>1227</v>
      </c>
      <c r="AL97" s="11">
        <f t="shared" si="52"/>
        <v>42066</v>
      </c>
      <c r="AM97" s="8">
        <f t="shared" si="54"/>
        <v>473984</v>
      </c>
      <c r="AN97" s="11">
        <f t="shared" si="53"/>
        <v>22412211</v>
      </c>
      <c r="AO97" s="2" t="str">
        <f t="shared" si="55"/>
        <v>CONMEX T6</v>
      </c>
    </row>
    <row r="98" spans="1:43" x14ac:dyDescent="0.25">
      <c r="A98" t="s">
        <v>101</v>
      </c>
      <c r="B98" s="2" t="s">
        <v>8</v>
      </c>
      <c r="C98" s="2">
        <v>2025</v>
      </c>
      <c r="D98" s="1">
        <v>46718</v>
      </c>
      <c r="E98" s="11">
        <v>1653605</v>
      </c>
      <c r="F98" s="1">
        <v>33949</v>
      </c>
      <c r="G98" s="11">
        <v>1281786</v>
      </c>
      <c r="H98" s="1">
        <v>7162</v>
      </c>
      <c r="I98" s="11">
        <v>394480</v>
      </c>
      <c r="J98" s="1">
        <v>350277</v>
      </c>
      <c r="K98" s="11">
        <v>17039095</v>
      </c>
      <c r="L98" s="1">
        <v>5068</v>
      </c>
      <c r="M98" s="11">
        <v>332517</v>
      </c>
      <c r="N98" s="1">
        <v>14298</v>
      </c>
      <c r="O98" s="11">
        <v>943885</v>
      </c>
      <c r="P98" s="1">
        <v>35</v>
      </c>
      <c r="Q98" s="11">
        <v>3160</v>
      </c>
      <c r="R98" s="1">
        <v>1188</v>
      </c>
      <c r="S98" s="11">
        <v>40709</v>
      </c>
      <c r="T98" s="53">
        <f t="shared" si="46"/>
        <v>458695</v>
      </c>
      <c r="U98" s="54">
        <f t="shared" si="47"/>
        <v>21689237</v>
      </c>
      <c r="V98" s="2" t="s">
        <v>93</v>
      </c>
      <c r="X98" t="str">
        <f t="shared" si="48"/>
        <v>Estimado</v>
      </c>
      <c r="Y98" s="2" t="str">
        <f t="shared" si="49"/>
        <v>ABRIL</v>
      </c>
      <c r="Z98" s="2">
        <v>2025</v>
      </c>
      <c r="AA98" s="1">
        <f t="shared" si="50"/>
        <v>87829</v>
      </c>
      <c r="AB98" s="11">
        <f t="shared" si="51"/>
        <v>3329871</v>
      </c>
      <c r="AC98" s="1">
        <f t="shared" si="52"/>
        <v>350277</v>
      </c>
      <c r="AD98" s="11">
        <f t="shared" si="52"/>
        <v>17039095</v>
      </c>
      <c r="AE98" s="8">
        <f t="shared" si="52"/>
        <v>5068</v>
      </c>
      <c r="AF98" s="11">
        <f t="shared" si="52"/>
        <v>332517</v>
      </c>
      <c r="AG98" s="8">
        <f t="shared" si="52"/>
        <v>14298</v>
      </c>
      <c r="AH98" s="11">
        <f t="shared" si="52"/>
        <v>943885</v>
      </c>
      <c r="AI98" s="8">
        <f t="shared" si="52"/>
        <v>35</v>
      </c>
      <c r="AJ98" s="11">
        <f t="shared" si="52"/>
        <v>3160</v>
      </c>
      <c r="AK98" s="11">
        <f t="shared" si="52"/>
        <v>1188</v>
      </c>
      <c r="AL98" s="11">
        <f t="shared" si="52"/>
        <v>40709</v>
      </c>
      <c r="AM98" s="8">
        <f t="shared" si="54"/>
        <v>458695</v>
      </c>
      <c r="AN98" s="11">
        <f t="shared" si="53"/>
        <v>21689237</v>
      </c>
      <c r="AO98" s="2" t="str">
        <f t="shared" si="55"/>
        <v>CONMEX T6</v>
      </c>
    </row>
    <row r="99" spans="1:43" x14ac:dyDescent="0.25">
      <c r="A99" t="s">
        <v>102</v>
      </c>
      <c r="B99" s="2" t="s">
        <v>8</v>
      </c>
      <c r="C99" s="2">
        <v>2025</v>
      </c>
      <c r="D99" s="1">
        <v>44961</v>
      </c>
      <c r="E99" s="11">
        <v>1591812</v>
      </c>
      <c r="F99" s="1">
        <v>32673</v>
      </c>
      <c r="G99" s="11">
        <v>1233888</v>
      </c>
      <c r="H99" s="1">
        <v>6893</v>
      </c>
      <c r="I99" s="11">
        <v>379739</v>
      </c>
      <c r="J99" s="1">
        <v>337106</v>
      </c>
      <c r="K99" s="11">
        <v>16402374</v>
      </c>
      <c r="L99" s="1">
        <v>4877</v>
      </c>
      <c r="M99" s="11">
        <v>320091</v>
      </c>
      <c r="N99" s="1">
        <v>13760</v>
      </c>
      <c r="O99" s="11">
        <v>908613</v>
      </c>
      <c r="P99" s="1">
        <v>33</v>
      </c>
      <c r="Q99" s="11">
        <v>3042</v>
      </c>
      <c r="R99" s="1">
        <v>1144</v>
      </c>
      <c r="S99" s="11">
        <v>39187</v>
      </c>
      <c r="T99" s="53">
        <f t="shared" si="46"/>
        <v>441447</v>
      </c>
      <c r="U99" s="82">
        <f t="shared" si="47"/>
        <v>20878746</v>
      </c>
      <c r="V99" s="2" t="s">
        <v>93</v>
      </c>
      <c r="X99" t="str">
        <f t="shared" si="48"/>
        <v>Real</v>
      </c>
      <c r="Y99" s="2" t="str">
        <f t="shared" si="49"/>
        <v>ABRIL</v>
      </c>
      <c r="Z99" s="2">
        <v>2025</v>
      </c>
      <c r="AA99" s="1">
        <f t="shared" si="50"/>
        <v>84527</v>
      </c>
      <c r="AB99" s="11">
        <f t="shared" si="51"/>
        <v>3205439</v>
      </c>
      <c r="AC99" s="1">
        <f t="shared" si="52"/>
        <v>337106</v>
      </c>
      <c r="AD99" s="11">
        <f t="shared" si="52"/>
        <v>16402374</v>
      </c>
      <c r="AE99" s="8">
        <f t="shared" si="52"/>
        <v>4877</v>
      </c>
      <c r="AF99" s="11">
        <f t="shared" si="52"/>
        <v>320091</v>
      </c>
      <c r="AG99" s="8">
        <f t="shared" si="52"/>
        <v>13760</v>
      </c>
      <c r="AH99" s="11">
        <f t="shared" si="52"/>
        <v>908613</v>
      </c>
      <c r="AI99" s="8">
        <f t="shared" si="52"/>
        <v>33</v>
      </c>
      <c r="AJ99" s="11">
        <f t="shared" si="52"/>
        <v>3042</v>
      </c>
      <c r="AK99" s="11">
        <f t="shared" si="52"/>
        <v>1144</v>
      </c>
      <c r="AL99" s="11">
        <f t="shared" si="52"/>
        <v>39187</v>
      </c>
      <c r="AM99" s="8">
        <f t="shared" si="54"/>
        <v>441447</v>
      </c>
      <c r="AN99" s="11">
        <f t="shared" si="53"/>
        <v>20878746</v>
      </c>
      <c r="AO99" s="2" t="str">
        <f t="shared" si="55"/>
        <v>CONMEX T6</v>
      </c>
    </row>
    <row r="100" spans="1:43" x14ac:dyDescent="0.25">
      <c r="A100" t="s">
        <v>101</v>
      </c>
      <c r="B100" s="2" t="s">
        <v>9</v>
      </c>
      <c r="C100" s="2">
        <v>2025</v>
      </c>
      <c r="D100" s="1">
        <v>46460</v>
      </c>
      <c r="E100" s="11">
        <v>1644873</v>
      </c>
      <c r="F100" s="1">
        <v>33762</v>
      </c>
      <c r="G100" s="11">
        <v>1275018</v>
      </c>
      <c r="H100" s="1">
        <v>7123</v>
      </c>
      <c r="I100" s="11">
        <v>392397</v>
      </c>
      <c r="J100" s="1">
        <v>348343</v>
      </c>
      <c r="K100" s="11">
        <v>16949120</v>
      </c>
      <c r="L100" s="1">
        <v>5040</v>
      </c>
      <c r="M100" s="11">
        <v>330761</v>
      </c>
      <c r="N100" s="1">
        <v>14219</v>
      </c>
      <c r="O100" s="11">
        <v>938900</v>
      </c>
      <c r="P100" s="1">
        <v>34</v>
      </c>
      <c r="Q100" s="11">
        <v>3143</v>
      </c>
      <c r="R100" s="1">
        <v>1181</v>
      </c>
      <c r="S100" s="11">
        <v>40493</v>
      </c>
      <c r="T100" s="53">
        <f t="shared" si="46"/>
        <v>456162</v>
      </c>
      <c r="U100" s="54">
        <f t="shared" si="47"/>
        <v>21574705</v>
      </c>
      <c r="V100" s="2" t="s">
        <v>93</v>
      </c>
      <c r="X100" t="str">
        <f t="shared" si="48"/>
        <v>Estimado</v>
      </c>
      <c r="Y100" s="2" t="str">
        <f t="shared" si="49"/>
        <v>MAYO</v>
      </c>
      <c r="Z100" s="2">
        <v>2025</v>
      </c>
      <c r="AA100" s="1">
        <f t="shared" si="50"/>
        <v>87345</v>
      </c>
      <c r="AB100" s="11">
        <f t="shared" si="51"/>
        <v>3312288</v>
      </c>
      <c r="AC100" s="1">
        <f t="shared" si="52"/>
        <v>348343</v>
      </c>
      <c r="AD100" s="11">
        <f t="shared" si="52"/>
        <v>16949120</v>
      </c>
      <c r="AE100" s="8">
        <f t="shared" si="52"/>
        <v>5040</v>
      </c>
      <c r="AF100" s="11">
        <f t="shared" si="52"/>
        <v>330761</v>
      </c>
      <c r="AG100" s="8">
        <f t="shared" si="52"/>
        <v>14219</v>
      </c>
      <c r="AH100" s="11">
        <f t="shared" si="52"/>
        <v>938900</v>
      </c>
      <c r="AI100" s="8">
        <f t="shared" si="52"/>
        <v>34</v>
      </c>
      <c r="AJ100" s="11">
        <f t="shared" si="52"/>
        <v>3143</v>
      </c>
      <c r="AK100" s="11">
        <f t="shared" si="52"/>
        <v>1181</v>
      </c>
      <c r="AL100" s="11">
        <f t="shared" si="52"/>
        <v>40493</v>
      </c>
      <c r="AM100" s="8">
        <f t="shared" si="54"/>
        <v>456162</v>
      </c>
      <c r="AN100" s="11">
        <f t="shared" si="53"/>
        <v>21574705</v>
      </c>
      <c r="AO100" s="2" t="str">
        <f t="shared" si="55"/>
        <v>CONMEX T6</v>
      </c>
    </row>
    <row r="101" spans="1:43" x14ac:dyDescent="0.25">
      <c r="A101" t="s">
        <v>102</v>
      </c>
      <c r="B101" s="2" t="s">
        <v>9</v>
      </c>
      <c r="C101" s="2">
        <v>2025</v>
      </c>
      <c r="D101" s="1">
        <v>48692</v>
      </c>
      <c r="E101" s="11">
        <v>1729429</v>
      </c>
      <c r="F101" s="1">
        <v>35384</v>
      </c>
      <c r="G101" s="11">
        <v>1340561</v>
      </c>
      <c r="H101" s="1">
        <v>7465</v>
      </c>
      <c r="I101" s="11">
        <v>412569</v>
      </c>
      <c r="J101" s="1">
        <v>365080</v>
      </c>
      <c r="K101" s="11">
        <v>17820406</v>
      </c>
      <c r="L101" s="1">
        <v>5282</v>
      </c>
      <c r="M101" s="11">
        <v>347764</v>
      </c>
      <c r="N101" s="1">
        <v>14902</v>
      </c>
      <c r="O101" s="11">
        <v>987166</v>
      </c>
      <c r="P101" s="1">
        <v>36</v>
      </c>
      <c r="Q101" s="11">
        <v>3305</v>
      </c>
      <c r="R101" s="1">
        <v>1239</v>
      </c>
      <c r="S101" s="11">
        <v>42575</v>
      </c>
      <c r="T101" s="53">
        <f t="shared" si="46"/>
        <v>478080</v>
      </c>
      <c r="U101" s="82">
        <f t="shared" si="47"/>
        <v>22683775</v>
      </c>
      <c r="V101" s="2" t="s">
        <v>93</v>
      </c>
      <c r="X101" t="str">
        <f t="shared" si="48"/>
        <v>Real</v>
      </c>
      <c r="Y101" s="2" t="str">
        <f t="shared" si="49"/>
        <v>MAYO</v>
      </c>
      <c r="Z101" s="2">
        <v>2025</v>
      </c>
      <c r="AA101" s="1">
        <f t="shared" si="50"/>
        <v>91541</v>
      </c>
      <c r="AB101" s="11">
        <f t="shared" si="51"/>
        <v>3482559</v>
      </c>
      <c r="AC101" s="1">
        <f t="shared" si="52"/>
        <v>365080</v>
      </c>
      <c r="AD101" s="11">
        <f t="shared" si="52"/>
        <v>17820406</v>
      </c>
      <c r="AE101" s="8">
        <f t="shared" si="52"/>
        <v>5282</v>
      </c>
      <c r="AF101" s="11">
        <f t="shared" si="52"/>
        <v>347764</v>
      </c>
      <c r="AG101" s="8">
        <f t="shared" si="52"/>
        <v>14902</v>
      </c>
      <c r="AH101" s="11">
        <f t="shared" si="52"/>
        <v>987166</v>
      </c>
      <c r="AI101" s="8">
        <f t="shared" si="52"/>
        <v>36</v>
      </c>
      <c r="AJ101" s="11">
        <f t="shared" si="52"/>
        <v>3305</v>
      </c>
      <c r="AK101" s="11">
        <f t="shared" si="52"/>
        <v>1239</v>
      </c>
      <c r="AL101" s="11">
        <f t="shared" si="52"/>
        <v>42575</v>
      </c>
      <c r="AM101" s="8">
        <f t="shared" si="54"/>
        <v>478080</v>
      </c>
      <c r="AN101" s="11">
        <f t="shared" si="53"/>
        <v>22683775</v>
      </c>
      <c r="AO101" s="2" t="str">
        <f t="shared" si="55"/>
        <v>CONMEX T6</v>
      </c>
    </row>
    <row r="102" spans="1:43" x14ac:dyDescent="0.25">
      <c r="A102" t="s">
        <v>101</v>
      </c>
      <c r="B102" s="2" t="s">
        <v>10</v>
      </c>
      <c r="C102" s="2">
        <v>2025</v>
      </c>
      <c r="D102" s="1">
        <v>47121</v>
      </c>
      <c r="E102" s="11">
        <v>1673641</v>
      </c>
      <c r="F102" s="1">
        <v>34243</v>
      </c>
      <c r="G102" s="11">
        <v>1297317</v>
      </c>
      <c r="H102" s="1">
        <v>7224</v>
      </c>
      <c r="I102" s="11">
        <v>399260</v>
      </c>
      <c r="J102" s="1">
        <v>353303</v>
      </c>
      <c r="K102" s="11">
        <v>17245554</v>
      </c>
      <c r="L102" s="1">
        <v>5111</v>
      </c>
      <c r="M102" s="11">
        <v>336546</v>
      </c>
      <c r="N102" s="1">
        <v>14421</v>
      </c>
      <c r="O102" s="11">
        <v>955321</v>
      </c>
      <c r="P102" s="1">
        <v>35</v>
      </c>
      <c r="Q102" s="11">
        <v>3198</v>
      </c>
      <c r="R102" s="1">
        <v>1200</v>
      </c>
      <c r="S102" s="11">
        <v>41202</v>
      </c>
      <c r="T102" s="53">
        <f t="shared" si="46"/>
        <v>462658</v>
      </c>
      <c r="U102" s="54">
        <f t="shared" si="47"/>
        <v>21952039</v>
      </c>
      <c r="V102" s="2" t="s">
        <v>93</v>
      </c>
      <c r="X102" t="str">
        <f t="shared" si="48"/>
        <v>Estimado</v>
      </c>
      <c r="Y102" s="2" t="str">
        <f t="shared" si="49"/>
        <v>JUNIO</v>
      </c>
      <c r="Z102" s="2">
        <v>2025</v>
      </c>
      <c r="AA102" s="1">
        <f t="shared" si="50"/>
        <v>88588</v>
      </c>
      <c r="AB102" s="11">
        <f t="shared" si="51"/>
        <v>3370218</v>
      </c>
      <c r="AC102" s="1">
        <f t="shared" si="52"/>
        <v>353303</v>
      </c>
      <c r="AD102" s="11">
        <f t="shared" si="52"/>
        <v>17245554</v>
      </c>
      <c r="AE102" s="8">
        <f t="shared" si="52"/>
        <v>5111</v>
      </c>
      <c r="AF102" s="11">
        <f t="shared" si="52"/>
        <v>336546</v>
      </c>
      <c r="AG102" s="8">
        <f t="shared" si="52"/>
        <v>14421</v>
      </c>
      <c r="AH102" s="11">
        <f t="shared" si="52"/>
        <v>955321</v>
      </c>
      <c r="AI102" s="8">
        <f t="shared" si="52"/>
        <v>35</v>
      </c>
      <c r="AJ102" s="11">
        <f t="shared" si="52"/>
        <v>3198</v>
      </c>
      <c r="AK102" s="11">
        <f t="shared" si="52"/>
        <v>1200</v>
      </c>
      <c r="AL102" s="11">
        <f t="shared" si="52"/>
        <v>41202</v>
      </c>
      <c r="AM102" s="8">
        <f t="shared" si="54"/>
        <v>462658</v>
      </c>
      <c r="AN102" s="11">
        <f t="shared" si="53"/>
        <v>21952039</v>
      </c>
      <c r="AO102" s="2" t="str">
        <f t="shared" si="55"/>
        <v>CONMEX T6</v>
      </c>
    </row>
    <row r="103" spans="1:43" x14ac:dyDescent="0.25">
      <c r="A103" t="s">
        <v>132</v>
      </c>
      <c r="B103" s="2" t="s">
        <v>10</v>
      </c>
      <c r="C103" s="2">
        <v>2025</v>
      </c>
      <c r="D103" s="1">
        <v>48028</v>
      </c>
      <c r="E103" s="11">
        <v>1697666</v>
      </c>
      <c r="F103" s="1">
        <v>34901</v>
      </c>
      <c r="G103" s="11">
        <v>1315940</v>
      </c>
      <c r="H103" s="1">
        <v>7363</v>
      </c>
      <c r="I103" s="11">
        <v>404991</v>
      </c>
      <c r="J103" s="1">
        <v>360102</v>
      </c>
      <c r="K103" s="11">
        <v>17493111</v>
      </c>
      <c r="L103" s="1">
        <v>5210</v>
      </c>
      <c r="M103" s="11">
        <v>341377</v>
      </c>
      <c r="N103" s="1">
        <v>14699</v>
      </c>
      <c r="O103" s="11">
        <v>969035</v>
      </c>
      <c r="P103" s="1">
        <v>35</v>
      </c>
      <c r="Q103" s="11">
        <v>3244</v>
      </c>
      <c r="R103" s="1">
        <v>1223</v>
      </c>
      <c r="S103" s="11">
        <v>41793</v>
      </c>
      <c r="T103" s="53">
        <f t="shared" si="46"/>
        <v>471561</v>
      </c>
      <c r="U103" s="54">
        <f t="shared" si="47"/>
        <v>22267157</v>
      </c>
      <c r="V103" s="2" t="s">
        <v>93</v>
      </c>
      <c r="X103" t="str">
        <f t="shared" si="48"/>
        <v>Real S/Firmas</v>
      </c>
      <c r="Y103" s="2" t="str">
        <f t="shared" si="49"/>
        <v>JUNIO</v>
      </c>
      <c r="Z103" s="2">
        <v>2025</v>
      </c>
      <c r="AA103" s="1">
        <f t="shared" si="50"/>
        <v>90292</v>
      </c>
      <c r="AB103" s="11">
        <f t="shared" si="51"/>
        <v>3418597</v>
      </c>
      <c r="AC103" s="1">
        <f t="shared" si="52"/>
        <v>360102</v>
      </c>
      <c r="AD103" s="11">
        <f t="shared" si="52"/>
        <v>17493111</v>
      </c>
      <c r="AE103" s="8">
        <f t="shared" si="52"/>
        <v>5210</v>
      </c>
      <c r="AF103" s="11">
        <f t="shared" si="52"/>
        <v>341377</v>
      </c>
      <c r="AG103" s="8">
        <f t="shared" si="52"/>
        <v>14699</v>
      </c>
      <c r="AH103" s="11">
        <f t="shared" si="52"/>
        <v>969035</v>
      </c>
      <c r="AI103" s="8">
        <f t="shared" si="52"/>
        <v>35</v>
      </c>
      <c r="AJ103" s="11">
        <f t="shared" si="52"/>
        <v>3244</v>
      </c>
      <c r="AK103" s="11">
        <f t="shared" si="52"/>
        <v>1223</v>
      </c>
      <c r="AL103" s="11">
        <f t="shared" si="52"/>
        <v>41793</v>
      </c>
      <c r="AM103" s="8">
        <f t="shared" si="54"/>
        <v>471561</v>
      </c>
      <c r="AN103" s="11">
        <f t="shared" si="53"/>
        <v>22267157</v>
      </c>
      <c r="AO103" s="2" t="str">
        <f t="shared" si="55"/>
        <v>CONMEX T6</v>
      </c>
    </row>
    <row r="104" spans="1:43" x14ac:dyDescent="0.25">
      <c r="A104" t="s">
        <v>101</v>
      </c>
      <c r="B104" s="2" t="s">
        <v>11</v>
      </c>
      <c r="C104" s="2">
        <v>2025</v>
      </c>
      <c r="D104" s="1">
        <v>49629</v>
      </c>
      <c r="E104" s="11">
        <v>1754255</v>
      </c>
      <c r="F104" s="1">
        <v>36065</v>
      </c>
      <c r="G104" s="11">
        <v>1359805</v>
      </c>
      <c r="H104" s="1">
        <v>7608</v>
      </c>
      <c r="I104" s="11">
        <v>418491</v>
      </c>
      <c r="J104" s="1">
        <v>372106</v>
      </c>
      <c r="K104" s="11">
        <v>18076214</v>
      </c>
      <c r="L104" s="1">
        <v>5383</v>
      </c>
      <c r="M104" s="11">
        <v>352756</v>
      </c>
      <c r="N104" s="1">
        <v>15189</v>
      </c>
      <c r="O104" s="11">
        <v>1001336</v>
      </c>
      <c r="P104" s="1">
        <v>37</v>
      </c>
      <c r="Q104" s="11">
        <v>3352</v>
      </c>
      <c r="R104" s="1">
        <v>1262</v>
      </c>
      <c r="S104" s="11">
        <v>43186</v>
      </c>
      <c r="T104" s="53">
        <f t="shared" si="46"/>
        <v>487279</v>
      </c>
      <c r="U104" s="54">
        <f t="shared" si="47"/>
        <v>23009395</v>
      </c>
      <c r="V104" s="2" t="s">
        <v>93</v>
      </c>
      <c r="X104" t="str">
        <f t="shared" si="48"/>
        <v>Estimado</v>
      </c>
      <c r="Y104" s="2" t="str">
        <f t="shared" si="49"/>
        <v>JULIO</v>
      </c>
      <c r="Z104" s="2">
        <v>2025</v>
      </c>
      <c r="AA104" s="1">
        <f t="shared" si="50"/>
        <v>93302</v>
      </c>
      <c r="AB104" s="11">
        <f t="shared" si="51"/>
        <v>3532551</v>
      </c>
      <c r="AC104" s="1">
        <f t="shared" si="52"/>
        <v>372106</v>
      </c>
      <c r="AD104" s="11">
        <f t="shared" si="52"/>
        <v>18076214</v>
      </c>
      <c r="AE104" s="8">
        <f t="shared" si="52"/>
        <v>5383</v>
      </c>
      <c r="AF104" s="11">
        <f t="shared" si="52"/>
        <v>352756</v>
      </c>
      <c r="AG104" s="8">
        <f t="shared" si="52"/>
        <v>15189</v>
      </c>
      <c r="AH104" s="11">
        <f t="shared" si="52"/>
        <v>1001336</v>
      </c>
      <c r="AI104" s="8">
        <f t="shared" si="52"/>
        <v>37</v>
      </c>
      <c r="AJ104" s="11">
        <f t="shared" si="52"/>
        <v>3352</v>
      </c>
      <c r="AK104" s="11">
        <f t="shared" si="52"/>
        <v>1262</v>
      </c>
      <c r="AL104" s="11">
        <f t="shared" si="52"/>
        <v>43186</v>
      </c>
      <c r="AM104" s="8">
        <f t="shared" si="54"/>
        <v>487279</v>
      </c>
      <c r="AN104" s="11">
        <f t="shared" si="53"/>
        <v>23009395</v>
      </c>
      <c r="AO104" s="2" t="str">
        <f t="shared" si="55"/>
        <v>CONMEX T6</v>
      </c>
    </row>
    <row r="105" spans="1:43" x14ac:dyDescent="0.25">
      <c r="A105" t="s">
        <v>102</v>
      </c>
      <c r="B105" s="2" t="s">
        <v>11</v>
      </c>
      <c r="C105" s="2">
        <v>2025</v>
      </c>
      <c r="D105" s="1"/>
      <c r="E105" s="11"/>
      <c r="F105" s="1"/>
      <c r="G105" s="11"/>
      <c r="H105" s="1"/>
      <c r="I105" s="11"/>
      <c r="J105" s="1"/>
      <c r="K105" s="11"/>
      <c r="L105" s="1"/>
      <c r="M105" s="11"/>
      <c r="N105" s="1"/>
      <c r="O105" s="11"/>
      <c r="P105" s="1"/>
      <c r="Q105" s="11"/>
      <c r="R105" s="1"/>
      <c r="S105" s="11"/>
      <c r="T105" s="53">
        <f t="shared" si="46"/>
        <v>0</v>
      </c>
      <c r="U105" s="54">
        <f t="shared" si="47"/>
        <v>0</v>
      </c>
      <c r="V105" s="2" t="s">
        <v>93</v>
      </c>
      <c r="X105" t="str">
        <f t="shared" si="48"/>
        <v>Real</v>
      </c>
      <c r="Y105" s="2" t="str">
        <f t="shared" si="49"/>
        <v>JULIO</v>
      </c>
      <c r="Z105" s="2">
        <v>2025</v>
      </c>
      <c r="AA105" s="1">
        <f t="shared" si="50"/>
        <v>0</v>
      </c>
      <c r="AB105" s="11">
        <f t="shared" si="51"/>
        <v>0</v>
      </c>
      <c r="AC105" s="1">
        <f t="shared" si="52"/>
        <v>0</v>
      </c>
      <c r="AD105" s="11">
        <f t="shared" si="52"/>
        <v>0</v>
      </c>
      <c r="AE105" s="8">
        <f t="shared" si="52"/>
        <v>0</v>
      </c>
      <c r="AF105" s="11">
        <f t="shared" si="52"/>
        <v>0</v>
      </c>
      <c r="AG105" s="8">
        <f t="shared" si="52"/>
        <v>0</v>
      </c>
      <c r="AH105" s="11">
        <f t="shared" si="52"/>
        <v>0</v>
      </c>
      <c r="AI105" s="8">
        <f t="shared" si="52"/>
        <v>0</v>
      </c>
      <c r="AJ105" s="11">
        <f t="shared" si="52"/>
        <v>0</v>
      </c>
      <c r="AK105" s="11">
        <f t="shared" si="52"/>
        <v>0</v>
      </c>
      <c r="AL105" s="11">
        <f t="shared" si="52"/>
        <v>0</v>
      </c>
      <c r="AM105" s="8">
        <f t="shared" si="54"/>
        <v>0</v>
      </c>
      <c r="AN105" s="11">
        <f t="shared" si="53"/>
        <v>0</v>
      </c>
      <c r="AO105" s="2" t="str">
        <f t="shared" si="55"/>
        <v>CONMEX T6</v>
      </c>
    </row>
    <row r="106" spans="1:43" x14ac:dyDescent="0.25">
      <c r="A106" t="s">
        <v>101</v>
      </c>
      <c r="B106" s="2" t="s">
        <v>4</v>
      </c>
      <c r="C106" s="2">
        <v>2025</v>
      </c>
      <c r="D106" s="1">
        <v>49629</v>
      </c>
      <c r="E106" s="11">
        <v>1754255</v>
      </c>
      <c r="F106" s="1">
        <v>36065</v>
      </c>
      <c r="G106" s="11">
        <v>1359805</v>
      </c>
      <c r="H106" s="1">
        <v>7608</v>
      </c>
      <c r="I106" s="11">
        <v>418491</v>
      </c>
      <c r="J106" s="1">
        <v>372106</v>
      </c>
      <c r="K106" s="11">
        <v>18076214</v>
      </c>
      <c r="L106" s="1">
        <v>5383</v>
      </c>
      <c r="M106" s="11">
        <v>352756</v>
      </c>
      <c r="N106" s="1">
        <v>15189</v>
      </c>
      <c r="O106" s="11">
        <v>1001336</v>
      </c>
      <c r="P106" s="1">
        <v>37</v>
      </c>
      <c r="Q106" s="11">
        <v>3352</v>
      </c>
      <c r="R106" s="1">
        <v>1262</v>
      </c>
      <c r="S106" s="11">
        <v>43186</v>
      </c>
      <c r="T106" s="53">
        <f t="shared" si="46"/>
        <v>487279</v>
      </c>
      <c r="U106" s="54">
        <f t="shared" si="47"/>
        <v>23009395</v>
      </c>
      <c r="V106" s="2" t="s">
        <v>93</v>
      </c>
      <c r="X106" t="str">
        <f t="shared" si="48"/>
        <v>Estimado</v>
      </c>
      <c r="Y106" s="2" t="str">
        <f t="shared" si="49"/>
        <v>AGOSTO</v>
      </c>
      <c r="Z106" s="2">
        <v>2025</v>
      </c>
      <c r="AA106" s="1">
        <f t="shared" si="50"/>
        <v>93302</v>
      </c>
      <c r="AB106" s="11">
        <f t="shared" si="51"/>
        <v>3532551</v>
      </c>
      <c r="AC106" s="1">
        <f t="shared" si="52"/>
        <v>372106</v>
      </c>
      <c r="AD106" s="11">
        <f t="shared" si="52"/>
        <v>18076214</v>
      </c>
      <c r="AE106" s="8">
        <f t="shared" si="52"/>
        <v>5383</v>
      </c>
      <c r="AF106" s="11">
        <f t="shared" si="52"/>
        <v>352756</v>
      </c>
      <c r="AG106" s="8">
        <f t="shared" si="52"/>
        <v>15189</v>
      </c>
      <c r="AH106" s="11">
        <f t="shared" si="52"/>
        <v>1001336</v>
      </c>
      <c r="AI106" s="8">
        <f t="shared" si="52"/>
        <v>37</v>
      </c>
      <c r="AJ106" s="11">
        <f t="shared" si="52"/>
        <v>3352</v>
      </c>
      <c r="AK106" s="11">
        <f t="shared" si="52"/>
        <v>1262</v>
      </c>
      <c r="AL106" s="11">
        <f t="shared" si="52"/>
        <v>43186</v>
      </c>
      <c r="AM106" s="27">
        <f t="shared" si="54"/>
        <v>487279</v>
      </c>
      <c r="AN106" s="14">
        <f t="shared" si="53"/>
        <v>23009395</v>
      </c>
      <c r="AO106" s="2" t="str">
        <f t="shared" si="55"/>
        <v>CONMEX T6</v>
      </c>
    </row>
    <row r="107" spans="1:43" x14ac:dyDescent="0.25">
      <c r="A107" t="s">
        <v>102</v>
      </c>
      <c r="B107" s="2" t="s">
        <v>4</v>
      </c>
      <c r="C107" s="2">
        <v>2025</v>
      </c>
      <c r="D107" s="1"/>
      <c r="E107" s="11"/>
      <c r="F107" s="1"/>
      <c r="G107" s="11"/>
      <c r="H107" s="1"/>
      <c r="I107" s="11"/>
      <c r="J107" s="1"/>
      <c r="K107" s="11"/>
      <c r="L107" s="1"/>
      <c r="M107" s="11"/>
      <c r="N107" s="1"/>
      <c r="O107" s="11"/>
      <c r="P107" s="1"/>
      <c r="Q107" s="11"/>
      <c r="R107" s="1"/>
      <c r="S107" s="11"/>
      <c r="T107" s="53">
        <f t="shared" si="46"/>
        <v>0</v>
      </c>
      <c r="U107" s="54">
        <f t="shared" si="47"/>
        <v>0</v>
      </c>
      <c r="V107" s="2" t="s">
        <v>93</v>
      </c>
      <c r="X107" t="str">
        <f t="shared" si="48"/>
        <v>Real</v>
      </c>
      <c r="Y107" s="2" t="str">
        <f t="shared" si="49"/>
        <v>AGOSTO</v>
      </c>
      <c r="Z107" s="2">
        <v>2025</v>
      </c>
      <c r="AA107" s="1">
        <f t="shared" si="50"/>
        <v>0</v>
      </c>
      <c r="AB107" s="11">
        <f t="shared" si="51"/>
        <v>0</v>
      </c>
      <c r="AC107" s="1">
        <f t="shared" si="52"/>
        <v>0</v>
      </c>
      <c r="AD107" s="11">
        <f t="shared" si="52"/>
        <v>0</v>
      </c>
      <c r="AE107" s="8">
        <f t="shared" si="52"/>
        <v>0</v>
      </c>
      <c r="AF107" s="11">
        <f t="shared" si="52"/>
        <v>0</v>
      </c>
      <c r="AG107" s="8">
        <f t="shared" si="52"/>
        <v>0</v>
      </c>
      <c r="AH107" s="11">
        <f t="shared" si="52"/>
        <v>0</v>
      </c>
      <c r="AI107" s="8">
        <f t="shared" si="52"/>
        <v>0</v>
      </c>
      <c r="AJ107" s="11">
        <f t="shared" si="52"/>
        <v>0</v>
      </c>
      <c r="AK107" s="11">
        <f t="shared" si="52"/>
        <v>0</v>
      </c>
      <c r="AL107" s="11">
        <f t="shared" si="52"/>
        <v>0</v>
      </c>
      <c r="AM107" s="27">
        <f t="shared" si="54"/>
        <v>0</v>
      </c>
      <c r="AN107" s="14">
        <f t="shared" si="53"/>
        <v>0</v>
      </c>
      <c r="AO107" s="2" t="str">
        <f t="shared" si="55"/>
        <v>CONMEX T6</v>
      </c>
    </row>
    <row r="108" spans="1:43" x14ac:dyDescent="0.25">
      <c r="A108" t="s">
        <v>101</v>
      </c>
      <c r="B108" s="2" t="s">
        <v>28</v>
      </c>
      <c r="C108" s="2">
        <v>2025</v>
      </c>
      <c r="D108" s="1">
        <v>48028</v>
      </c>
      <c r="E108" s="11">
        <v>1697666</v>
      </c>
      <c r="F108" s="1">
        <v>34901</v>
      </c>
      <c r="G108" s="11">
        <v>1315940</v>
      </c>
      <c r="H108" s="1">
        <v>7363</v>
      </c>
      <c r="I108" s="11">
        <v>404991</v>
      </c>
      <c r="J108" s="1">
        <v>360103</v>
      </c>
      <c r="K108" s="11">
        <v>17493111</v>
      </c>
      <c r="L108" s="1">
        <v>5209</v>
      </c>
      <c r="M108" s="11">
        <v>341377</v>
      </c>
      <c r="N108" s="1">
        <v>14699</v>
      </c>
      <c r="O108" s="11">
        <v>969035</v>
      </c>
      <c r="P108" s="1">
        <v>36</v>
      </c>
      <c r="Q108" s="11">
        <v>3244</v>
      </c>
      <c r="R108" s="1">
        <v>1221</v>
      </c>
      <c r="S108" s="11">
        <v>41793</v>
      </c>
      <c r="T108" s="53">
        <f t="shared" si="46"/>
        <v>471560</v>
      </c>
      <c r="U108" s="54">
        <f t="shared" si="47"/>
        <v>22267157</v>
      </c>
      <c r="V108" s="2" t="s">
        <v>93</v>
      </c>
      <c r="X108" t="str">
        <f t="shared" si="48"/>
        <v>Estimado</v>
      </c>
      <c r="Y108" s="2" t="str">
        <f t="shared" si="49"/>
        <v>SEPTIEMBRE</v>
      </c>
      <c r="Z108" s="2">
        <v>2025</v>
      </c>
      <c r="AA108" s="1">
        <f t="shared" si="50"/>
        <v>90292</v>
      </c>
      <c r="AB108" s="11">
        <f t="shared" si="51"/>
        <v>3418597</v>
      </c>
      <c r="AC108" s="1">
        <f t="shared" si="52"/>
        <v>360103</v>
      </c>
      <c r="AD108" s="11">
        <f t="shared" si="52"/>
        <v>17493111</v>
      </c>
      <c r="AE108" s="8">
        <f t="shared" si="52"/>
        <v>5209</v>
      </c>
      <c r="AF108" s="11">
        <f t="shared" si="52"/>
        <v>341377</v>
      </c>
      <c r="AG108" s="8">
        <f t="shared" si="52"/>
        <v>14699</v>
      </c>
      <c r="AH108" s="11">
        <f t="shared" si="52"/>
        <v>969035</v>
      </c>
      <c r="AI108" s="8">
        <f t="shared" si="52"/>
        <v>36</v>
      </c>
      <c r="AJ108" s="11">
        <f t="shared" si="52"/>
        <v>3244</v>
      </c>
      <c r="AK108" s="11">
        <f t="shared" si="52"/>
        <v>1221</v>
      </c>
      <c r="AL108" s="11">
        <f t="shared" si="52"/>
        <v>41793</v>
      </c>
      <c r="AM108" s="8">
        <f t="shared" si="54"/>
        <v>471560</v>
      </c>
      <c r="AN108" s="11">
        <f t="shared" si="53"/>
        <v>22267157</v>
      </c>
      <c r="AO108" s="2" t="str">
        <f t="shared" si="55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2025</v>
      </c>
      <c r="D109" s="1"/>
      <c r="E109" s="11"/>
      <c r="F109" s="1"/>
      <c r="G109" s="11"/>
      <c r="H109" s="1"/>
      <c r="I109" s="11"/>
      <c r="J109" s="1"/>
      <c r="K109" s="11"/>
      <c r="L109" s="1"/>
      <c r="M109" s="11"/>
      <c r="N109" s="1"/>
      <c r="O109" s="11"/>
      <c r="P109" s="1"/>
      <c r="Q109" s="11"/>
      <c r="R109" s="1"/>
      <c r="S109" s="11"/>
      <c r="T109" s="53">
        <f t="shared" si="46"/>
        <v>0</v>
      </c>
      <c r="U109" s="54">
        <f t="shared" si="47"/>
        <v>0</v>
      </c>
      <c r="V109" s="2" t="s">
        <v>93</v>
      </c>
      <c r="X109" t="str">
        <f t="shared" si="48"/>
        <v>Real</v>
      </c>
      <c r="Y109" s="2" t="str">
        <f t="shared" si="49"/>
        <v>SEPTIEMBRE</v>
      </c>
      <c r="Z109" s="2">
        <v>2025</v>
      </c>
      <c r="AA109" s="1">
        <f t="shared" si="50"/>
        <v>0</v>
      </c>
      <c r="AB109" s="11">
        <f t="shared" si="51"/>
        <v>0</v>
      </c>
      <c r="AC109" s="1">
        <f t="shared" si="52"/>
        <v>0</v>
      </c>
      <c r="AD109" s="11">
        <f t="shared" si="52"/>
        <v>0</v>
      </c>
      <c r="AE109" s="8">
        <f t="shared" si="52"/>
        <v>0</v>
      </c>
      <c r="AF109" s="11">
        <f t="shared" si="52"/>
        <v>0</v>
      </c>
      <c r="AG109" s="8">
        <f t="shared" si="52"/>
        <v>0</v>
      </c>
      <c r="AH109" s="11">
        <f t="shared" si="52"/>
        <v>0</v>
      </c>
      <c r="AI109" s="8">
        <f t="shared" si="52"/>
        <v>0</v>
      </c>
      <c r="AJ109" s="11">
        <f t="shared" si="52"/>
        <v>0</v>
      </c>
      <c r="AK109" s="11">
        <f t="shared" si="52"/>
        <v>0</v>
      </c>
      <c r="AL109" s="11">
        <f t="shared" si="52"/>
        <v>0</v>
      </c>
      <c r="AM109" s="8">
        <f t="shared" si="54"/>
        <v>0</v>
      </c>
      <c r="AN109" s="11">
        <f t="shared" si="53"/>
        <v>0</v>
      </c>
      <c r="AO109" s="2" t="str">
        <f t="shared" si="55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2025</v>
      </c>
      <c r="D110" s="1">
        <f>ROUND($D$119*D120,0)</f>
        <v>49629</v>
      </c>
      <c r="E110" s="11">
        <f>ROUND($E$119*E120,0)</f>
        <v>1754255</v>
      </c>
      <c r="F110" s="1">
        <f>ROUND($D$119*F120,0)</f>
        <v>36065</v>
      </c>
      <c r="G110" s="11">
        <f>ROUND($E$119*G120,0)</f>
        <v>1359805</v>
      </c>
      <c r="H110" s="1">
        <f>ROUND($D$119*H120,0)</f>
        <v>7608</v>
      </c>
      <c r="I110" s="11">
        <f>ROUND($E$119*I120,0)</f>
        <v>418491</v>
      </c>
      <c r="J110" s="1">
        <f>ROUND($D$119*J120,0)+1</f>
        <v>372107</v>
      </c>
      <c r="K110" s="11">
        <f>ROUND($E$119*K120,0)</f>
        <v>18076215</v>
      </c>
      <c r="L110" s="1">
        <f>ROUND($D$119*L120,0)-1</f>
        <v>5382</v>
      </c>
      <c r="M110" s="11">
        <f>ROUND($E$119*M120,0)</f>
        <v>352756</v>
      </c>
      <c r="N110" s="1">
        <f>ROUND($D$119*N120,0)</f>
        <v>15189</v>
      </c>
      <c r="O110" s="11">
        <f>ROUND($E$119*O120,0)</f>
        <v>1001336</v>
      </c>
      <c r="P110" s="1">
        <f>ROUND($D$119*P120,0)+1</f>
        <v>38</v>
      </c>
      <c r="Q110" s="11">
        <f>ROUND($E$119*Q120,0)</f>
        <v>3352</v>
      </c>
      <c r="R110" s="1">
        <f>ROUND($D$119*R120,0)-1</f>
        <v>1261</v>
      </c>
      <c r="S110" s="11">
        <f>ROUND($E$119*S120,0)</f>
        <v>43187</v>
      </c>
      <c r="T110" s="53">
        <f t="shared" si="46"/>
        <v>487279</v>
      </c>
      <c r="U110" s="54">
        <f t="shared" si="47"/>
        <v>23009397</v>
      </c>
      <c r="V110" s="2" t="s">
        <v>93</v>
      </c>
      <c r="X110" t="str">
        <f t="shared" si="48"/>
        <v>Estimado</v>
      </c>
      <c r="Y110" s="2" t="str">
        <f t="shared" si="49"/>
        <v>OCTUBRE</v>
      </c>
      <c r="Z110" s="2">
        <v>2025</v>
      </c>
      <c r="AA110" s="1">
        <f t="shared" si="50"/>
        <v>93302</v>
      </c>
      <c r="AB110" s="11">
        <f t="shared" si="51"/>
        <v>3532551</v>
      </c>
      <c r="AC110" s="1">
        <f t="shared" si="52"/>
        <v>372107</v>
      </c>
      <c r="AD110" s="11">
        <f t="shared" si="52"/>
        <v>18076215</v>
      </c>
      <c r="AE110" s="8">
        <f t="shared" si="52"/>
        <v>5382</v>
      </c>
      <c r="AF110" s="11">
        <f t="shared" si="52"/>
        <v>352756</v>
      </c>
      <c r="AG110" s="8">
        <f t="shared" si="52"/>
        <v>15189</v>
      </c>
      <c r="AH110" s="11">
        <f t="shared" si="52"/>
        <v>1001336</v>
      </c>
      <c r="AI110" s="8">
        <f t="shared" si="52"/>
        <v>38</v>
      </c>
      <c r="AJ110" s="11">
        <f t="shared" si="52"/>
        <v>3352</v>
      </c>
      <c r="AK110" s="11">
        <f t="shared" si="52"/>
        <v>1261</v>
      </c>
      <c r="AL110" s="11">
        <f t="shared" si="52"/>
        <v>43187</v>
      </c>
      <c r="AM110" s="8">
        <f t="shared" si="54"/>
        <v>487279</v>
      </c>
      <c r="AN110" s="11">
        <f t="shared" si="53"/>
        <v>23009397</v>
      </c>
      <c r="AO110" s="2" t="str">
        <f t="shared" si="55"/>
        <v>CONMEX T6</v>
      </c>
    </row>
    <row r="111" spans="1:43" x14ac:dyDescent="0.25">
      <c r="A111" t="s">
        <v>102</v>
      </c>
      <c r="B111" s="2" t="s">
        <v>29</v>
      </c>
      <c r="C111" s="2">
        <v>2025</v>
      </c>
      <c r="D111" s="1"/>
      <c r="E111" s="11"/>
      <c r="F111" s="1"/>
      <c r="G111" s="11"/>
      <c r="H111" s="1"/>
      <c r="I111" s="11"/>
      <c r="J111" s="1"/>
      <c r="K111" s="11"/>
      <c r="L111" s="1"/>
      <c r="M111" s="11"/>
      <c r="N111" s="1"/>
      <c r="O111" s="11"/>
      <c r="P111" s="1"/>
      <c r="Q111" s="11"/>
      <c r="R111" s="1"/>
      <c r="S111" s="11"/>
      <c r="T111" s="53">
        <f t="shared" si="46"/>
        <v>0</v>
      </c>
      <c r="U111" s="54">
        <f t="shared" si="47"/>
        <v>0</v>
      </c>
      <c r="V111" s="2" t="s">
        <v>93</v>
      </c>
      <c r="X111" t="str">
        <f t="shared" si="48"/>
        <v>Real</v>
      </c>
      <c r="Y111" s="2" t="str">
        <f t="shared" si="49"/>
        <v>OCTUBRE</v>
      </c>
      <c r="Z111" s="2">
        <v>2025</v>
      </c>
      <c r="AA111" s="1">
        <f t="shared" si="50"/>
        <v>0</v>
      </c>
      <c r="AB111" s="11">
        <f t="shared" si="51"/>
        <v>0</v>
      </c>
      <c r="AC111" s="1">
        <f t="shared" si="52"/>
        <v>0</v>
      </c>
      <c r="AD111" s="11">
        <f t="shared" si="52"/>
        <v>0</v>
      </c>
      <c r="AE111" s="8">
        <f t="shared" si="52"/>
        <v>0</v>
      </c>
      <c r="AF111" s="11">
        <f t="shared" si="52"/>
        <v>0</v>
      </c>
      <c r="AG111" s="8">
        <f t="shared" si="52"/>
        <v>0</v>
      </c>
      <c r="AH111" s="11">
        <f t="shared" si="52"/>
        <v>0</v>
      </c>
      <c r="AI111" s="8">
        <f t="shared" si="52"/>
        <v>0</v>
      </c>
      <c r="AJ111" s="11">
        <f t="shared" si="52"/>
        <v>0</v>
      </c>
      <c r="AK111" s="11">
        <f t="shared" si="52"/>
        <v>0</v>
      </c>
      <c r="AL111" s="11">
        <f t="shared" si="52"/>
        <v>0</v>
      </c>
      <c r="AM111" s="8">
        <f t="shared" si="54"/>
        <v>0</v>
      </c>
      <c r="AN111" s="11">
        <f t="shared" si="53"/>
        <v>0</v>
      </c>
      <c r="AO111" s="2" t="str">
        <f t="shared" si="55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2025</v>
      </c>
      <c r="D112" s="1">
        <v>48028</v>
      </c>
      <c r="E112" s="11">
        <v>1697666</v>
      </c>
      <c r="F112" s="1">
        <v>34901</v>
      </c>
      <c r="G112" s="11">
        <v>1315940</v>
      </c>
      <c r="H112" s="1">
        <v>7363</v>
      </c>
      <c r="I112" s="11">
        <v>404991</v>
      </c>
      <c r="J112" s="1">
        <v>360103</v>
      </c>
      <c r="K112" s="11">
        <v>17493111</v>
      </c>
      <c r="L112" s="1">
        <v>5209</v>
      </c>
      <c r="M112" s="11">
        <v>341377</v>
      </c>
      <c r="N112" s="1">
        <v>14699</v>
      </c>
      <c r="O112" s="11">
        <v>969035</v>
      </c>
      <c r="P112" s="1">
        <v>36</v>
      </c>
      <c r="Q112" s="11">
        <v>3244</v>
      </c>
      <c r="R112" s="1">
        <v>1221</v>
      </c>
      <c r="S112" s="11">
        <v>41793</v>
      </c>
      <c r="T112" s="53">
        <f t="shared" si="46"/>
        <v>471560</v>
      </c>
      <c r="U112" s="54">
        <f t="shared" si="47"/>
        <v>22267157</v>
      </c>
      <c r="V112" s="2" t="s">
        <v>93</v>
      </c>
      <c r="X112" t="str">
        <f t="shared" si="48"/>
        <v>Estimado</v>
      </c>
      <c r="Y112" s="2" t="str">
        <f t="shared" si="49"/>
        <v>NOVIEMBRE</v>
      </c>
      <c r="Z112" s="2">
        <v>2025</v>
      </c>
      <c r="AA112" s="1">
        <f t="shared" si="50"/>
        <v>90292</v>
      </c>
      <c r="AB112" s="11">
        <f t="shared" si="51"/>
        <v>3418597</v>
      </c>
      <c r="AC112" s="1">
        <f t="shared" si="52"/>
        <v>360103</v>
      </c>
      <c r="AD112" s="11">
        <f t="shared" si="52"/>
        <v>17493111</v>
      </c>
      <c r="AE112" s="8">
        <f t="shared" si="52"/>
        <v>5209</v>
      </c>
      <c r="AF112" s="11">
        <f t="shared" si="52"/>
        <v>341377</v>
      </c>
      <c r="AG112" s="8">
        <f t="shared" si="52"/>
        <v>14699</v>
      </c>
      <c r="AH112" s="11">
        <f t="shared" si="52"/>
        <v>969035</v>
      </c>
      <c r="AI112" s="8">
        <f t="shared" si="52"/>
        <v>36</v>
      </c>
      <c r="AJ112" s="11">
        <f t="shared" si="52"/>
        <v>3244</v>
      </c>
      <c r="AK112" s="11">
        <f t="shared" si="52"/>
        <v>1221</v>
      </c>
      <c r="AL112" s="11">
        <f t="shared" si="52"/>
        <v>41793</v>
      </c>
      <c r="AM112" s="79">
        <f t="shared" si="54"/>
        <v>471560</v>
      </c>
      <c r="AN112" s="80">
        <f t="shared" si="53"/>
        <v>22267157</v>
      </c>
      <c r="AO112" s="2" t="str">
        <f t="shared" si="55"/>
        <v>CONMEX T6</v>
      </c>
    </row>
    <row r="113" spans="1:43" x14ac:dyDescent="0.25">
      <c r="A113" t="s">
        <v>102</v>
      </c>
      <c r="B113" s="2" t="s">
        <v>30</v>
      </c>
      <c r="C113" s="2">
        <v>2025</v>
      </c>
      <c r="D113" s="1"/>
      <c r="E113" s="11"/>
      <c r="F113" s="1"/>
      <c r="G113" s="11"/>
      <c r="H113" s="1"/>
      <c r="I113" s="11"/>
      <c r="J113" s="1"/>
      <c r="K113" s="11"/>
      <c r="L113" s="1"/>
      <c r="M113" s="11"/>
      <c r="N113" s="1"/>
      <c r="O113" s="11"/>
      <c r="P113" s="1"/>
      <c r="Q113" s="11"/>
      <c r="R113" s="1"/>
      <c r="S113" s="11"/>
      <c r="T113" s="53">
        <f t="shared" si="46"/>
        <v>0</v>
      </c>
      <c r="U113" s="54">
        <f t="shared" si="47"/>
        <v>0</v>
      </c>
      <c r="V113" s="2" t="s">
        <v>93</v>
      </c>
      <c r="X113" t="str">
        <f t="shared" si="48"/>
        <v>Real</v>
      </c>
      <c r="Y113" s="2" t="str">
        <f t="shared" si="49"/>
        <v>NOVIEMBRE</v>
      </c>
      <c r="Z113" s="2">
        <v>2025</v>
      </c>
      <c r="AA113" s="1">
        <f t="shared" si="50"/>
        <v>0</v>
      </c>
      <c r="AB113" s="11">
        <f t="shared" si="51"/>
        <v>0</v>
      </c>
      <c r="AC113" s="1">
        <f t="shared" si="52"/>
        <v>0</v>
      </c>
      <c r="AD113" s="11">
        <f t="shared" si="52"/>
        <v>0</v>
      </c>
      <c r="AE113" s="8">
        <f t="shared" si="52"/>
        <v>0</v>
      </c>
      <c r="AF113" s="11">
        <f t="shared" si="52"/>
        <v>0</v>
      </c>
      <c r="AG113" s="8">
        <f t="shared" si="52"/>
        <v>0</v>
      </c>
      <c r="AH113" s="11">
        <f t="shared" si="52"/>
        <v>0</v>
      </c>
      <c r="AI113" s="8">
        <f t="shared" si="52"/>
        <v>0</v>
      </c>
      <c r="AJ113" s="11">
        <f t="shared" si="52"/>
        <v>0</v>
      </c>
      <c r="AK113" s="11">
        <f t="shared" si="52"/>
        <v>0</v>
      </c>
      <c r="AL113" s="11">
        <f t="shared" si="52"/>
        <v>0</v>
      </c>
      <c r="AM113" s="79">
        <f t="shared" si="54"/>
        <v>0</v>
      </c>
      <c r="AN113" s="80">
        <f t="shared" si="53"/>
        <v>0</v>
      </c>
      <c r="AO113" s="2" t="str">
        <f t="shared" si="55"/>
        <v>CONMEX T6</v>
      </c>
    </row>
    <row r="114" spans="1:43" x14ac:dyDescent="0.25">
      <c r="A114" t="s">
        <v>101</v>
      </c>
      <c r="B114" s="2" t="s">
        <v>31</v>
      </c>
      <c r="C114" s="2">
        <v>2025</v>
      </c>
      <c r="D114" s="1">
        <v>49629</v>
      </c>
      <c r="E114" s="11">
        <v>1754255</v>
      </c>
      <c r="F114" s="1">
        <v>36065</v>
      </c>
      <c r="G114" s="11">
        <v>1359805</v>
      </c>
      <c r="H114" s="1">
        <v>7608</v>
      </c>
      <c r="I114" s="11">
        <v>418491</v>
      </c>
      <c r="J114" s="1">
        <v>372107</v>
      </c>
      <c r="K114" s="11">
        <v>18076215</v>
      </c>
      <c r="L114" s="1">
        <v>5382</v>
      </c>
      <c r="M114" s="11">
        <v>352756</v>
      </c>
      <c r="N114" s="1">
        <v>15189</v>
      </c>
      <c r="O114" s="11">
        <v>1001336</v>
      </c>
      <c r="P114" s="1">
        <v>38</v>
      </c>
      <c r="Q114" s="11">
        <v>3352</v>
      </c>
      <c r="R114" s="1">
        <v>1261</v>
      </c>
      <c r="S114" s="11">
        <v>43187</v>
      </c>
      <c r="T114" s="53">
        <f t="shared" si="46"/>
        <v>487279</v>
      </c>
      <c r="U114" s="54">
        <f t="shared" si="47"/>
        <v>23009397</v>
      </c>
      <c r="V114" s="2" t="s">
        <v>93</v>
      </c>
      <c r="X114" t="str">
        <f t="shared" si="48"/>
        <v>Estimado</v>
      </c>
      <c r="Y114" s="2" t="str">
        <f t="shared" si="49"/>
        <v>DICIEMBRE</v>
      </c>
      <c r="Z114" s="2">
        <v>2025</v>
      </c>
      <c r="AA114" s="1">
        <f t="shared" si="50"/>
        <v>93302</v>
      </c>
      <c r="AB114" s="11">
        <f t="shared" si="51"/>
        <v>3532551</v>
      </c>
      <c r="AC114" s="1">
        <f t="shared" si="52"/>
        <v>372107</v>
      </c>
      <c r="AD114" s="11">
        <f t="shared" si="52"/>
        <v>18076215</v>
      </c>
      <c r="AE114" s="8">
        <f t="shared" si="52"/>
        <v>5382</v>
      </c>
      <c r="AF114" s="11">
        <f t="shared" si="52"/>
        <v>352756</v>
      </c>
      <c r="AG114" s="8">
        <f t="shared" si="52"/>
        <v>15189</v>
      </c>
      <c r="AH114" s="11">
        <f t="shared" si="52"/>
        <v>1001336</v>
      </c>
      <c r="AI114" s="8">
        <f t="shared" si="52"/>
        <v>38</v>
      </c>
      <c r="AJ114" s="11">
        <f t="shared" si="52"/>
        <v>3352</v>
      </c>
      <c r="AK114" s="11">
        <f t="shared" si="52"/>
        <v>1261</v>
      </c>
      <c r="AL114" s="11">
        <f t="shared" si="52"/>
        <v>43187</v>
      </c>
      <c r="AM114" s="8">
        <f t="shared" si="54"/>
        <v>487279</v>
      </c>
      <c r="AN114" s="11">
        <f t="shared" si="53"/>
        <v>23009397</v>
      </c>
      <c r="AO114" s="2" t="str">
        <f t="shared" si="55"/>
        <v>CONMEX T6</v>
      </c>
    </row>
    <row r="115" spans="1:43" x14ac:dyDescent="0.25">
      <c r="A115" t="s">
        <v>102</v>
      </c>
      <c r="B115" s="2" t="s">
        <v>31</v>
      </c>
      <c r="C115" s="2">
        <v>2025</v>
      </c>
      <c r="D115" s="1"/>
      <c r="E115" s="11"/>
      <c r="F115" s="1"/>
      <c r="G115" s="11"/>
      <c r="H115" s="1"/>
      <c r="I115" s="11"/>
      <c r="J115" s="1"/>
      <c r="K115" s="11"/>
      <c r="L115" s="1"/>
      <c r="M115" s="11"/>
      <c r="N115" s="1"/>
      <c r="O115" s="11"/>
      <c r="P115" s="1"/>
      <c r="Q115" s="11"/>
      <c r="R115" s="1"/>
      <c r="S115" s="11"/>
      <c r="T115" s="53">
        <f t="shared" si="46"/>
        <v>0</v>
      </c>
      <c r="U115" s="54">
        <f t="shared" si="47"/>
        <v>0</v>
      </c>
      <c r="V115" s="2" t="s">
        <v>93</v>
      </c>
      <c r="X115" t="str">
        <f t="shared" si="48"/>
        <v>Real</v>
      </c>
      <c r="Y115" s="2" t="str">
        <f t="shared" si="49"/>
        <v>DICIEMBRE</v>
      </c>
      <c r="Z115" s="2">
        <v>2025</v>
      </c>
      <c r="AA115" s="1">
        <f t="shared" si="50"/>
        <v>0</v>
      </c>
      <c r="AB115" s="11">
        <f t="shared" si="51"/>
        <v>0</v>
      </c>
      <c r="AC115" s="1">
        <f t="shared" si="52"/>
        <v>0</v>
      </c>
      <c r="AD115" s="11">
        <f t="shared" si="52"/>
        <v>0</v>
      </c>
      <c r="AE115" s="8">
        <f t="shared" si="52"/>
        <v>0</v>
      </c>
      <c r="AF115" s="11">
        <f t="shared" si="52"/>
        <v>0</v>
      </c>
      <c r="AG115" s="8">
        <f t="shared" si="52"/>
        <v>0</v>
      </c>
      <c r="AH115" s="11">
        <f t="shared" si="52"/>
        <v>0</v>
      </c>
      <c r="AI115" s="8">
        <f t="shared" si="52"/>
        <v>0</v>
      </c>
      <c r="AJ115" s="11">
        <f t="shared" si="52"/>
        <v>0</v>
      </c>
      <c r="AK115" s="11">
        <f t="shared" si="52"/>
        <v>0</v>
      </c>
      <c r="AL115" s="11">
        <f t="shared" si="52"/>
        <v>0</v>
      </c>
      <c r="AM115" s="8">
        <f t="shared" si="54"/>
        <v>0</v>
      </c>
      <c r="AN115" s="11">
        <f t="shared" si="53"/>
        <v>0</v>
      </c>
      <c r="AO115" s="2" t="str">
        <f t="shared" si="55"/>
        <v>CONMEX T6</v>
      </c>
    </row>
    <row r="117" spans="1:43" x14ac:dyDescent="0.25">
      <c r="B117" s="3" t="s">
        <v>12</v>
      </c>
      <c r="C117" s="3"/>
      <c r="D117" s="4">
        <f t="shared" ref="D117:U117" si="56">SUM(D92:D116)</f>
        <v>848929.97909652011</v>
      </c>
      <c r="E117" s="12">
        <f t="shared" si="56"/>
        <v>29815407.084035739</v>
      </c>
      <c r="F117" s="4">
        <f t="shared" si="56"/>
        <v>616908.6055660022</v>
      </c>
      <c r="G117" s="12">
        <f t="shared" si="56"/>
        <v>23111311.902007684</v>
      </c>
      <c r="H117" s="4">
        <f t="shared" si="56"/>
        <v>130143.84720483155</v>
      </c>
      <c r="I117" s="12">
        <f t="shared" si="56"/>
        <v>7112694.3353533512</v>
      </c>
      <c r="J117" s="4">
        <f t="shared" si="56"/>
        <v>6365054.4583368357</v>
      </c>
      <c r="K117" s="12">
        <f t="shared" si="56"/>
        <v>307224290.3817305</v>
      </c>
      <c r="L117" s="4">
        <f t="shared" si="56"/>
        <v>92082.867234475591</v>
      </c>
      <c r="M117" s="12">
        <f t="shared" si="56"/>
        <v>5995459.4814221896</v>
      </c>
      <c r="N117" s="4">
        <f t="shared" si="56"/>
        <v>259812.97663871868</v>
      </c>
      <c r="O117" s="12">
        <f t="shared" si="56"/>
        <v>17018759.829745911</v>
      </c>
      <c r="P117" s="4">
        <f t="shared" si="56"/>
        <v>631.93862354268526</v>
      </c>
      <c r="Q117" s="12">
        <f t="shared" si="56"/>
        <v>56972.040961069142</v>
      </c>
      <c r="R117" s="4">
        <f t="shared" si="56"/>
        <v>21592.327299073069</v>
      </c>
      <c r="S117" s="12">
        <f t="shared" si="56"/>
        <v>733998.94474355225</v>
      </c>
      <c r="T117" s="4">
        <f t="shared" si="56"/>
        <v>8335157</v>
      </c>
      <c r="U117" s="12">
        <f t="shared" si="56"/>
        <v>391068894</v>
      </c>
      <c r="V117" s="38"/>
      <c r="Y117" s="3" t="s">
        <v>12</v>
      </c>
      <c r="Z117" s="3"/>
      <c r="AA117" s="4">
        <f t="shared" ref="AA117:AN117" si="57">SUM(AA92:AA115)</f>
        <v>1595982.4318673541</v>
      </c>
      <c r="AB117" s="12">
        <f t="shared" si="57"/>
        <v>60039413.321396776</v>
      </c>
      <c r="AC117" s="4">
        <f t="shared" si="57"/>
        <v>6365054.4583368357</v>
      </c>
      <c r="AD117" s="12">
        <f t="shared" si="57"/>
        <v>307224290.3817305</v>
      </c>
      <c r="AE117" s="4">
        <f t="shared" si="57"/>
        <v>92082.867234475591</v>
      </c>
      <c r="AF117" s="12">
        <f t="shared" si="57"/>
        <v>5995459.4814221896</v>
      </c>
      <c r="AG117" s="4">
        <f t="shared" si="57"/>
        <v>259812.97663871868</v>
      </c>
      <c r="AH117" s="12">
        <f t="shared" si="57"/>
        <v>17018759.829745911</v>
      </c>
      <c r="AI117" s="4">
        <f t="shared" si="57"/>
        <v>631.93862354268526</v>
      </c>
      <c r="AJ117" s="12">
        <f t="shared" si="57"/>
        <v>56972.040961069142</v>
      </c>
      <c r="AK117" s="4">
        <f t="shared" si="57"/>
        <v>21592.327299073069</v>
      </c>
      <c r="AL117" s="12">
        <f t="shared" si="57"/>
        <v>733998.94474355225</v>
      </c>
      <c r="AM117" s="4">
        <f t="shared" si="57"/>
        <v>8335157</v>
      </c>
      <c r="AN117" s="12">
        <f t="shared" si="57"/>
        <v>391068894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4747.5</v>
      </c>
      <c r="M118" s="60">
        <f>AVERAGE(M93:M94)</f>
        <v>300041.5</v>
      </c>
      <c r="T118" s="15">
        <f>AVERAGE(T93:T94)</f>
        <v>429694.5</v>
      </c>
      <c r="U118" s="28">
        <f>AVERAGE(U93:U94)</f>
        <v>19570951.5</v>
      </c>
    </row>
    <row r="119" spans="1:43" x14ac:dyDescent="0.25">
      <c r="A119" s="67" t="s">
        <v>14</v>
      </c>
      <c r="D119" s="15">
        <v>487279</v>
      </c>
      <c r="E119" s="9">
        <v>23009396</v>
      </c>
      <c r="J119" s="46" t="str">
        <f>+$A$66</f>
        <v>Aforo e Ingreso - CONMEX</v>
      </c>
      <c r="K119" s="9" t="s">
        <v>85</v>
      </c>
      <c r="L119" s="26">
        <f>+L118/$L$371</f>
        <v>3.1837629764746911E-2</v>
      </c>
      <c r="M119" s="36">
        <f>+M118/$M$371</f>
        <v>1.1545751264170951E-2</v>
      </c>
      <c r="N119" s="18"/>
      <c r="O119" s="19"/>
      <c r="P119" s="19"/>
      <c r="Q119" s="19"/>
      <c r="R119" s="19"/>
      <c r="S119" s="19"/>
      <c r="T119" s="36">
        <f>+L118/T118</f>
        <v>1.1048547281847917E-2</v>
      </c>
      <c r="U119" s="62">
        <f>+M118/U118</f>
        <v>1.5330961297410604E-2</v>
      </c>
    </row>
    <row r="120" spans="1:43" x14ac:dyDescent="0.25">
      <c r="A120" s="67" t="s">
        <v>32</v>
      </c>
      <c r="D120" s="26">
        <f>D92/$T$92</f>
        <v>0.10184943477202843</v>
      </c>
      <c r="E120" s="26">
        <f>+E92/$U$92</f>
        <v>7.6240796362636337E-2</v>
      </c>
      <c r="F120" s="26">
        <f>F92/$T$92</f>
        <v>7.4012786761940591E-2</v>
      </c>
      <c r="G120" s="26">
        <f>+G92/$U$92</f>
        <v>5.909779803725547E-2</v>
      </c>
      <c r="H120" s="26">
        <f>H92/$T$92</f>
        <v>1.5614007919828334E-2</v>
      </c>
      <c r="I120" s="26">
        <f>+I92/$U$92</f>
        <v>1.8187831725073895E-2</v>
      </c>
      <c r="J120" s="26">
        <f>J92/$T$92</f>
        <v>0.76363958144370958</v>
      </c>
      <c r="K120" s="26">
        <f>+K92/$U$92</f>
        <v>0.78560146033467015</v>
      </c>
      <c r="L120" s="26">
        <f>L92/$T$92</f>
        <v>1.1047939296064423E-2</v>
      </c>
      <c r="M120" s="26">
        <f>+M92/$U$92</f>
        <v>1.5330946829358661E-2</v>
      </c>
      <c r="N120" s="26">
        <f>N92/$T$92</f>
        <v>3.1170497533349568E-2</v>
      </c>
      <c r="O120" s="26">
        <f>+O92/$U$92</f>
        <v>4.3518575397744369E-2</v>
      </c>
      <c r="P120" s="26">
        <f>P92/$T$92</f>
        <v>7.5216246709289221E-5</v>
      </c>
      <c r="Q120" s="26">
        <f>+Q92/$U$92</f>
        <v>1.456840954033459E-4</v>
      </c>
      <c r="R120" s="26">
        <f>R92/$T$92</f>
        <v>2.5905360263699315E-3</v>
      </c>
      <c r="S120" s="26">
        <f>+S92/$U$92</f>
        <v>1.876907217857946E-3</v>
      </c>
      <c r="T120" s="26">
        <f>R120+P120+N120+L120+J120+H120+F120+D120</f>
        <v>1.0000000000000002</v>
      </c>
      <c r="U120" s="26">
        <f>S120+Q120+O120+M120+K120+I120+G120+E120</f>
        <v>1.0000000000000002</v>
      </c>
    </row>
    <row r="121" spans="1:43" x14ac:dyDescent="0.25">
      <c r="B121" s="5"/>
    </row>
    <row r="122" spans="1:43" x14ac:dyDescent="0.25">
      <c r="D122" s="89" t="s">
        <v>15</v>
      </c>
      <c r="E122" s="90"/>
      <c r="F122" s="89" t="s">
        <v>71</v>
      </c>
      <c r="G122" s="90"/>
      <c r="H122" s="89" t="s">
        <v>16</v>
      </c>
      <c r="I122" s="90"/>
      <c r="J122" s="89" t="s">
        <v>17</v>
      </c>
      <c r="K122" s="93"/>
      <c r="L122" s="89" t="s">
        <v>18</v>
      </c>
      <c r="M122" s="93"/>
      <c r="N122" s="89" t="s">
        <v>13</v>
      </c>
      <c r="O122" s="93"/>
      <c r="P122" s="89" t="s">
        <v>34</v>
      </c>
      <c r="Q122" s="93"/>
      <c r="R122" s="89" t="s">
        <v>87</v>
      </c>
      <c r="S122" s="93"/>
      <c r="T122" s="89" t="s">
        <v>12</v>
      </c>
      <c r="U122" s="93"/>
      <c r="AA122" s="89" t="s">
        <v>69</v>
      </c>
      <c r="AB122" s="90"/>
      <c r="AC122" s="89" t="s">
        <v>17</v>
      </c>
      <c r="AD122" s="93"/>
      <c r="AE122" s="89" t="s">
        <v>18</v>
      </c>
      <c r="AF122" s="93"/>
      <c r="AG122" s="89" t="s">
        <v>13</v>
      </c>
      <c r="AH122" s="93"/>
      <c r="AI122" s="89" t="s">
        <v>34</v>
      </c>
      <c r="AJ122" s="93"/>
      <c r="AK122" s="89" t="s">
        <v>87</v>
      </c>
      <c r="AL122" s="93"/>
      <c r="AM122" s="89" t="s">
        <v>12</v>
      </c>
      <c r="AN122" s="93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2025</v>
      </c>
      <c r="D125" s="1">
        <v>17962</v>
      </c>
      <c r="E125" s="11">
        <v>2292935</v>
      </c>
      <c r="F125" s="1">
        <v>8043</v>
      </c>
      <c r="G125" s="11">
        <v>1743061</v>
      </c>
      <c r="H125" s="1">
        <v>4172</v>
      </c>
      <c r="I125" s="11">
        <v>724943</v>
      </c>
      <c r="J125" s="1">
        <v>240425</v>
      </c>
      <c r="K125" s="11">
        <v>48830211</v>
      </c>
      <c r="L125" s="8">
        <v>6588</v>
      </c>
      <c r="M125" s="11">
        <v>1551891</v>
      </c>
      <c r="N125" s="8">
        <v>15891</v>
      </c>
      <c r="O125" s="11">
        <v>2824322</v>
      </c>
      <c r="P125" s="8">
        <v>3</v>
      </c>
      <c r="Q125" s="11">
        <v>886</v>
      </c>
      <c r="R125" s="8">
        <v>1241</v>
      </c>
      <c r="S125" s="11">
        <v>148305</v>
      </c>
      <c r="T125" s="53">
        <f t="shared" ref="T125:T136" si="58">N125+L125+J125+H125+D125+P125+F125+R125</f>
        <v>294325</v>
      </c>
      <c r="U125" s="54">
        <f t="shared" ref="U125:U136" si="59">O125+M125+K125+I125+E125+Q125+G125+S125</f>
        <v>58116554</v>
      </c>
      <c r="V125" s="2" t="s">
        <v>60</v>
      </c>
      <c r="X125" s="13"/>
      <c r="Y125" s="2" t="s">
        <v>5</v>
      </c>
      <c r="Z125" s="2">
        <v>2025</v>
      </c>
      <c r="AA125" s="1">
        <f t="shared" ref="AA125:AA136" si="60">D125+H125+F125</f>
        <v>30177</v>
      </c>
      <c r="AB125" s="11">
        <f t="shared" ref="AB125:AB136" si="61">E125+I125+G125</f>
        <v>4760939</v>
      </c>
      <c r="AC125" s="1">
        <f t="shared" ref="AC125:AL136" si="62">+J125</f>
        <v>240425</v>
      </c>
      <c r="AD125" s="11">
        <f t="shared" si="62"/>
        <v>48830211</v>
      </c>
      <c r="AE125" s="8">
        <f t="shared" si="62"/>
        <v>6588</v>
      </c>
      <c r="AF125" s="11">
        <f t="shared" si="62"/>
        <v>1551891</v>
      </c>
      <c r="AG125" s="8">
        <f t="shared" si="62"/>
        <v>15891</v>
      </c>
      <c r="AH125" s="11">
        <f t="shared" si="62"/>
        <v>2824322</v>
      </c>
      <c r="AI125" s="8">
        <f t="shared" si="62"/>
        <v>3</v>
      </c>
      <c r="AJ125" s="11">
        <f t="shared" si="62"/>
        <v>886</v>
      </c>
      <c r="AK125" s="11">
        <f t="shared" si="62"/>
        <v>1241</v>
      </c>
      <c r="AL125" s="11">
        <f t="shared" si="62"/>
        <v>148305</v>
      </c>
      <c r="AM125" s="8">
        <f>AI125+AG125+AE125+AC125+AA125+AK125</f>
        <v>294325</v>
      </c>
      <c r="AN125" s="11">
        <f t="shared" ref="AN125:AN136" si="63">AJ125+AH125+AF125+AD125+AB125+AL125</f>
        <v>58116554</v>
      </c>
      <c r="AO125" s="2" t="str">
        <f t="shared" ref="AO125:AO136" si="64">+V125</f>
        <v>LEP</v>
      </c>
      <c r="AP125" s="37">
        <f t="shared" ref="AP125:AQ136" si="65">+AM125-T125</f>
        <v>0</v>
      </c>
      <c r="AQ125" s="37">
        <f t="shared" si="65"/>
        <v>0</v>
      </c>
    </row>
    <row r="126" spans="1:43" x14ac:dyDescent="0.25">
      <c r="B126" s="2" t="s">
        <v>6</v>
      </c>
      <c r="C126" s="2">
        <v>2025</v>
      </c>
      <c r="D126" s="1">
        <v>15139</v>
      </c>
      <c r="E126" s="11">
        <v>2165211</v>
      </c>
      <c r="F126" s="1">
        <v>7730</v>
      </c>
      <c r="G126" s="11">
        <v>1738764</v>
      </c>
      <c r="H126" s="1">
        <v>4128</v>
      </c>
      <c r="I126" s="11">
        <v>770224</v>
      </c>
      <c r="J126" s="1">
        <v>230004</v>
      </c>
      <c r="K126" s="11">
        <v>50118427</v>
      </c>
      <c r="L126" s="8">
        <v>6627</v>
      </c>
      <c r="M126" s="11">
        <v>1677756</v>
      </c>
      <c r="N126" s="8">
        <v>15010</v>
      </c>
      <c r="O126" s="11">
        <v>2758173</v>
      </c>
      <c r="P126" s="8">
        <v>9</v>
      </c>
      <c r="Q126" s="11">
        <v>2822</v>
      </c>
      <c r="R126" s="8">
        <v>1139</v>
      </c>
      <c r="S126" s="11">
        <v>137257</v>
      </c>
      <c r="T126" s="53">
        <f t="shared" si="58"/>
        <v>279786</v>
      </c>
      <c r="U126" s="54">
        <f t="shared" si="59"/>
        <v>59368634</v>
      </c>
      <c r="V126" s="2" t="s">
        <v>60</v>
      </c>
      <c r="X126" s="13"/>
      <c r="Y126" s="2" t="s">
        <v>6</v>
      </c>
      <c r="Z126" s="2">
        <v>2025</v>
      </c>
      <c r="AA126" s="1">
        <f t="shared" si="60"/>
        <v>26997</v>
      </c>
      <c r="AB126" s="11">
        <f t="shared" si="61"/>
        <v>4674199</v>
      </c>
      <c r="AC126" s="1">
        <f t="shared" si="62"/>
        <v>230004</v>
      </c>
      <c r="AD126" s="11">
        <f t="shared" si="62"/>
        <v>50118427</v>
      </c>
      <c r="AE126" s="8">
        <f t="shared" si="62"/>
        <v>6627</v>
      </c>
      <c r="AF126" s="11">
        <f t="shared" si="62"/>
        <v>1677756</v>
      </c>
      <c r="AG126" s="8">
        <f t="shared" si="62"/>
        <v>15010</v>
      </c>
      <c r="AH126" s="11">
        <f t="shared" si="62"/>
        <v>2758173</v>
      </c>
      <c r="AI126" s="8">
        <f t="shared" si="62"/>
        <v>9</v>
      </c>
      <c r="AJ126" s="11">
        <f t="shared" si="62"/>
        <v>2822</v>
      </c>
      <c r="AK126" s="11">
        <f t="shared" si="62"/>
        <v>1139</v>
      </c>
      <c r="AL126" s="11">
        <f t="shared" si="62"/>
        <v>137257</v>
      </c>
      <c r="AM126" s="8">
        <f t="shared" ref="AM126:AM136" si="66">AI126+AG126+AE126+AC126+AA126+AK126</f>
        <v>279786</v>
      </c>
      <c r="AN126" s="11">
        <f t="shared" si="63"/>
        <v>59368634</v>
      </c>
      <c r="AO126" s="2" t="str">
        <f t="shared" si="64"/>
        <v>LEP</v>
      </c>
      <c r="AP126" s="37">
        <f t="shared" si="65"/>
        <v>0</v>
      </c>
      <c r="AQ126" s="37">
        <f t="shared" si="65"/>
        <v>0</v>
      </c>
    </row>
    <row r="127" spans="1:43" x14ac:dyDescent="0.25">
      <c r="B127" s="2" t="s">
        <v>7</v>
      </c>
      <c r="C127" s="2">
        <v>2025</v>
      </c>
      <c r="D127" s="1">
        <v>17797</v>
      </c>
      <c r="E127" s="11">
        <v>2594838</v>
      </c>
      <c r="F127" s="1">
        <v>8436</v>
      </c>
      <c r="G127" s="11">
        <v>1905595</v>
      </c>
      <c r="H127" s="1">
        <v>4821</v>
      </c>
      <c r="I127" s="11">
        <v>911829</v>
      </c>
      <c r="J127" s="1">
        <v>254051</v>
      </c>
      <c r="K127" s="11">
        <v>55422863</v>
      </c>
      <c r="L127" s="8">
        <v>7745</v>
      </c>
      <c r="M127" s="11">
        <v>1986481</v>
      </c>
      <c r="N127" s="8">
        <v>16055</v>
      </c>
      <c r="O127" s="11">
        <v>3002362</v>
      </c>
      <c r="P127" s="8">
        <v>22</v>
      </c>
      <c r="Q127" s="11">
        <v>5915</v>
      </c>
      <c r="R127" s="8">
        <v>1350</v>
      </c>
      <c r="S127" s="11">
        <v>168701</v>
      </c>
      <c r="T127" s="53">
        <f t="shared" si="58"/>
        <v>310277</v>
      </c>
      <c r="U127" s="54">
        <f t="shared" si="59"/>
        <v>65998584</v>
      </c>
      <c r="V127" s="2" t="s">
        <v>60</v>
      </c>
      <c r="X127" s="13"/>
      <c r="Y127" s="2" t="s">
        <v>7</v>
      </c>
      <c r="Z127" s="2">
        <v>2025</v>
      </c>
      <c r="AA127" s="1">
        <f t="shared" si="60"/>
        <v>31054</v>
      </c>
      <c r="AB127" s="11">
        <f t="shared" si="61"/>
        <v>5412262</v>
      </c>
      <c r="AC127" s="1">
        <f t="shared" si="62"/>
        <v>254051</v>
      </c>
      <c r="AD127" s="11">
        <f t="shared" si="62"/>
        <v>55422863</v>
      </c>
      <c r="AE127" s="8">
        <f t="shared" si="62"/>
        <v>7745</v>
      </c>
      <c r="AF127" s="11">
        <f t="shared" si="62"/>
        <v>1986481</v>
      </c>
      <c r="AG127" s="8">
        <f t="shared" si="62"/>
        <v>16055</v>
      </c>
      <c r="AH127" s="11">
        <f t="shared" si="62"/>
        <v>3002362</v>
      </c>
      <c r="AI127" s="8">
        <f t="shared" si="62"/>
        <v>22</v>
      </c>
      <c r="AJ127" s="11">
        <f t="shared" si="62"/>
        <v>5915</v>
      </c>
      <c r="AK127" s="11">
        <f t="shared" si="62"/>
        <v>1350</v>
      </c>
      <c r="AL127" s="11">
        <f t="shared" si="62"/>
        <v>168701</v>
      </c>
      <c r="AM127" s="8">
        <f t="shared" si="66"/>
        <v>310277</v>
      </c>
      <c r="AN127" s="11">
        <f t="shared" si="63"/>
        <v>65998584</v>
      </c>
      <c r="AO127" s="2" t="str">
        <f t="shared" si="64"/>
        <v>LEP</v>
      </c>
      <c r="AP127" s="37">
        <f t="shared" si="65"/>
        <v>0</v>
      </c>
      <c r="AQ127" s="37">
        <f t="shared" si="65"/>
        <v>0</v>
      </c>
    </row>
    <row r="128" spans="1:43" x14ac:dyDescent="0.25">
      <c r="B128" s="2" t="s">
        <v>8</v>
      </c>
      <c r="C128" s="2">
        <v>2025</v>
      </c>
      <c r="D128" s="1">
        <v>20166</v>
      </c>
      <c r="E128" s="11">
        <v>2678615</v>
      </c>
      <c r="F128" s="1">
        <v>8680</v>
      </c>
      <c r="G128" s="11">
        <v>1885604</v>
      </c>
      <c r="H128" s="1">
        <v>4469</v>
      </c>
      <c r="I128" s="11">
        <v>804954</v>
      </c>
      <c r="J128" s="1">
        <v>256185</v>
      </c>
      <c r="K128" s="11">
        <v>54177869</v>
      </c>
      <c r="L128" s="8">
        <v>7386</v>
      </c>
      <c r="M128" s="11">
        <v>1785420</v>
      </c>
      <c r="N128" s="8">
        <v>16189</v>
      </c>
      <c r="O128" s="11">
        <v>2998689</v>
      </c>
      <c r="P128" s="8">
        <v>73</v>
      </c>
      <c r="Q128" s="11">
        <v>23079</v>
      </c>
      <c r="R128" s="8">
        <v>1571</v>
      </c>
      <c r="S128" s="11">
        <v>201766</v>
      </c>
      <c r="T128" s="53">
        <f t="shared" si="58"/>
        <v>314719</v>
      </c>
      <c r="U128" s="54">
        <f t="shared" si="59"/>
        <v>64555996</v>
      </c>
      <c r="V128" s="2" t="s">
        <v>60</v>
      </c>
      <c r="X128" s="13"/>
      <c r="Y128" s="2" t="s">
        <v>8</v>
      </c>
      <c r="Z128" s="2">
        <v>2025</v>
      </c>
      <c r="AA128" s="1">
        <f t="shared" si="60"/>
        <v>33315</v>
      </c>
      <c r="AB128" s="11">
        <f t="shared" si="61"/>
        <v>5369173</v>
      </c>
      <c r="AC128" s="1">
        <f t="shared" si="62"/>
        <v>256185</v>
      </c>
      <c r="AD128" s="11">
        <f t="shared" si="62"/>
        <v>54177869</v>
      </c>
      <c r="AE128" s="8">
        <f t="shared" si="62"/>
        <v>7386</v>
      </c>
      <c r="AF128" s="11">
        <f t="shared" si="62"/>
        <v>1785420</v>
      </c>
      <c r="AG128" s="8">
        <f t="shared" si="62"/>
        <v>16189</v>
      </c>
      <c r="AH128" s="11">
        <f t="shared" si="62"/>
        <v>2998689</v>
      </c>
      <c r="AI128" s="8">
        <f t="shared" si="62"/>
        <v>73</v>
      </c>
      <c r="AJ128" s="11">
        <f t="shared" si="62"/>
        <v>23079</v>
      </c>
      <c r="AK128" s="11">
        <f t="shared" si="62"/>
        <v>1571</v>
      </c>
      <c r="AL128" s="11">
        <f t="shared" si="62"/>
        <v>201766</v>
      </c>
      <c r="AM128" s="8">
        <f t="shared" si="66"/>
        <v>314719</v>
      </c>
      <c r="AN128" s="11">
        <f t="shared" si="63"/>
        <v>64555996</v>
      </c>
      <c r="AO128" s="2" t="str">
        <f t="shared" si="64"/>
        <v>LEP</v>
      </c>
      <c r="AP128" s="37">
        <f t="shared" si="65"/>
        <v>0</v>
      </c>
      <c r="AQ128" s="37">
        <f t="shared" si="65"/>
        <v>0</v>
      </c>
    </row>
    <row r="129" spans="1:43" x14ac:dyDescent="0.25">
      <c r="B129" s="2" t="s">
        <v>9</v>
      </c>
      <c r="C129" s="2">
        <v>2025</v>
      </c>
      <c r="D129" s="1">
        <v>17997</v>
      </c>
      <c r="E129" s="11">
        <v>2549378</v>
      </c>
      <c r="F129" s="1">
        <v>8595</v>
      </c>
      <c r="G129" s="11">
        <v>1934957</v>
      </c>
      <c r="H129" s="1">
        <v>4805</v>
      </c>
      <c r="I129" s="11">
        <v>892907</v>
      </c>
      <c r="J129" s="1">
        <v>254340</v>
      </c>
      <c r="K129" s="11">
        <v>55336930</v>
      </c>
      <c r="L129" s="8">
        <v>7799</v>
      </c>
      <c r="M129" s="11">
        <v>1857487</v>
      </c>
      <c r="N129" s="8">
        <v>17224</v>
      </c>
      <c r="O129" s="11">
        <v>3184753</v>
      </c>
      <c r="P129" s="8">
        <v>85</v>
      </c>
      <c r="Q129" s="11">
        <v>26825</v>
      </c>
      <c r="R129" s="8">
        <v>1769</v>
      </c>
      <c r="S129" s="11">
        <v>256987</v>
      </c>
      <c r="T129" s="53">
        <f t="shared" si="58"/>
        <v>312614</v>
      </c>
      <c r="U129" s="54">
        <f t="shared" si="59"/>
        <v>66040224</v>
      </c>
      <c r="V129" s="2" t="s">
        <v>60</v>
      </c>
      <c r="X129" s="13"/>
      <c r="Y129" s="2" t="s">
        <v>9</v>
      </c>
      <c r="Z129" s="2">
        <v>2025</v>
      </c>
      <c r="AA129" s="1">
        <f t="shared" si="60"/>
        <v>31397</v>
      </c>
      <c r="AB129" s="11">
        <f t="shared" si="61"/>
        <v>5377242</v>
      </c>
      <c r="AC129" s="1">
        <f t="shared" si="62"/>
        <v>254340</v>
      </c>
      <c r="AD129" s="11">
        <f t="shared" si="62"/>
        <v>55336930</v>
      </c>
      <c r="AE129" s="8">
        <f t="shared" si="62"/>
        <v>7799</v>
      </c>
      <c r="AF129" s="11">
        <f t="shared" si="62"/>
        <v>1857487</v>
      </c>
      <c r="AG129" s="8">
        <f t="shared" si="62"/>
        <v>17224</v>
      </c>
      <c r="AH129" s="11">
        <f t="shared" si="62"/>
        <v>3184753</v>
      </c>
      <c r="AI129" s="8">
        <f t="shared" si="62"/>
        <v>85</v>
      </c>
      <c r="AJ129" s="11">
        <f t="shared" si="62"/>
        <v>26825</v>
      </c>
      <c r="AK129" s="11">
        <f t="shared" si="62"/>
        <v>1769</v>
      </c>
      <c r="AL129" s="11">
        <f t="shared" si="62"/>
        <v>256987</v>
      </c>
      <c r="AM129" s="8">
        <f t="shared" si="66"/>
        <v>312614</v>
      </c>
      <c r="AN129" s="11">
        <f t="shared" si="63"/>
        <v>66040224</v>
      </c>
      <c r="AO129" s="2" t="str">
        <f t="shared" si="64"/>
        <v>LEP</v>
      </c>
      <c r="AP129" s="37">
        <f t="shared" si="65"/>
        <v>0</v>
      </c>
      <c r="AQ129" s="37">
        <f t="shared" si="65"/>
        <v>0</v>
      </c>
    </row>
    <row r="130" spans="1:43" x14ac:dyDescent="0.25">
      <c r="B130" s="2" t="s">
        <v>10</v>
      </c>
      <c r="C130" s="2">
        <v>2025</v>
      </c>
      <c r="D130" s="1">
        <v>16345</v>
      </c>
      <c r="E130" s="11">
        <v>2344178</v>
      </c>
      <c r="F130" s="1">
        <v>8174</v>
      </c>
      <c r="G130" s="11">
        <v>1869377</v>
      </c>
      <c r="H130" s="1">
        <v>4475</v>
      </c>
      <c r="I130" s="11">
        <v>828346</v>
      </c>
      <c r="J130" s="1">
        <v>243747</v>
      </c>
      <c r="K130" s="11">
        <v>53453139</v>
      </c>
      <c r="L130" s="8">
        <v>7493</v>
      </c>
      <c r="M130" s="11">
        <v>1799328</v>
      </c>
      <c r="N130" s="8">
        <v>15745</v>
      </c>
      <c r="O130" s="11">
        <v>2936582</v>
      </c>
      <c r="P130" s="8">
        <v>119</v>
      </c>
      <c r="Q130" s="11">
        <v>38475</v>
      </c>
      <c r="R130" s="8">
        <v>1707</v>
      </c>
      <c r="S130" s="11">
        <v>248384</v>
      </c>
      <c r="T130" s="53">
        <f t="shared" si="58"/>
        <v>297805</v>
      </c>
      <c r="U130" s="54">
        <f t="shared" si="59"/>
        <v>63517809</v>
      </c>
      <c r="V130" s="2" t="s">
        <v>60</v>
      </c>
      <c r="X130" s="13"/>
      <c r="Y130" s="2" t="s">
        <v>10</v>
      </c>
      <c r="Z130" s="2">
        <v>2025</v>
      </c>
      <c r="AA130" s="1">
        <f t="shared" si="60"/>
        <v>28994</v>
      </c>
      <c r="AB130" s="11">
        <f t="shared" si="61"/>
        <v>5041901</v>
      </c>
      <c r="AC130" s="1">
        <f t="shared" si="62"/>
        <v>243747</v>
      </c>
      <c r="AD130" s="11">
        <f t="shared" si="62"/>
        <v>53453139</v>
      </c>
      <c r="AE130" s="8">
        <f t="shared" si="62"/>
        <v>7493</v>
      </c>
      <c r="AF130" s="11">
        <f t="shared" si="62"/>
        <v>1799328</v>
      </c>
      <c r="AG130" s="8">
        <f t="shared" si="62"/>
        <v>15745</v>
      </c>
      <c r="AH130" s="11">
        <f t="shared" si="62"/>
        <v>2936582</v>
      </c>
      <c r="AI130" s="8">
        <f t="shared" si="62"/>
        <v>119</v>
      </c>
      <c r="AJ130" s="11">
        <f t="shared" si="62"/>
        <v>38475</v>
      </c>
      <c r="AK130" s="11">
        <f t="shared" si="62"/>
        <v>1707</v>
      </c>
      <c r="AL130" s="11">
        <f t="shared" si="62"/>
        <v>248384</v>
      </c>
      <c r="AM130" s="8">
        <f t="shared" si="66"/>
        <v>297805</v>
      </c>
      <c r="AN130" s="11">
        <f t="shared" si="63"/>
        <v>63517809</v>
      </c>
      <c r="AO130" s="2" t="str">
        <f t="shared" si="64"/>
        <v>LEP</v>
      </c>
      <c r="AP130" s="37">
        <f t="shared" si="65"/>
        <v>0</v>
      </c>
      <c r="AQ130" s="37">
        <f t="shared" si="65"/>
        <v>0</v>
      </c>
    </row>
    <row r="131" spans="1:43" x14ac:dyDescent="0.25">
      <c r="B131" s="2" t="s">
        <v>11</v>
      </c>
      <c r="C131" s="2">
        <v>2025</v>
      </c>
      <c r="D131" s="1">
        <v>20621</v>
      </c>
      <c r="E131" s="11">
        <v>2862497</v>
      </c>
      <c r="F131" s="1">
        <v>8042</v>
      </c>
      <c r="G131" s="11">
        <v>1723374</v>
      </c>
      <c r="H131" s="1">
        <v>4420</v>
      </c>
      <c r="I131" s="11">
        <v>809098</v>
      </c>
      <c r="J131" s="1">
        <v>260148</v>
      </c>
      <c r="K131" s="11">
        <v>55251418</v>
      </c>
      <c r="L131" s="8">
        <v>7947</v>
      </c>
      <c r="M131" s="11">
        <v>1878279</v>
      </c>
      <c r="N131" s="8">
        <v>16800</v>
      </c>
      <c r="O131" s="11">
        <v>3132054</v>
      </c>
      <c r="P131" s="8">
        <v>81</v>
      </c>
      <c r="Q131" s="11">
        <v>25969</v>
      </c>
      <c r="R131" s="8">
        <v>2773</v>
      </c>
      <c r="S131" s="11">
        <v>468354</v>
      </c>
      <c r="T131" s="53">
        <f t="shared" si="58"/>
        <v>320832</v>
      </c>
      <c r="U131" s="54">
        <f t="shared" si="59"/>
        <v>66151043</v>
      </c>
      <c r="V131" s="2" t="s">
        <v>60</v>
      </c>
      <c r="Y131" s="2" t="s">
        <v>11</v>
      </c>
      <c r="Z131" s="2">
        <v>2025</v>
      </c>
      <c r="AA131" s="1">
        <f t="shared" si="60"/>
        <v>33083</v>
      </c>
      <c r="AB131" s="11">
        <f t="shared" si="61"/>
        <v>5394969</v>
      </c>
      <c r="AC131" s="1">
        <f t="shared" si="62"/>
        <v>260148</v>
      </c>
      <c r="AD131" s="11">
        <f t="shared" si="62"/>
        <v>55251418</v>
      </c>
      <c r="AE131" s="8">
        <f t="shared" si="62"/>
        <v>7947</v>
      </c>
      <c r="AF131" s="11">
        <f t="shared" si="62"/>
        <v>1878279</v>
      </c>
      <c r="AG131" s="8">
        <f t="shared" si="62"/>
        <v>16800</v>
      </c>
      <c r="AH131" s="11">
        <f t="shared" si="62"/>
        <v>3132054</v>
      </c>
      <c r="AI131" s="8">
        <f t="shared" si="62"/>
        <v>81</v>
      </c>
      <c r="AJ131" s="11">
        <f t="shared" si="62"/>
        <v>25969</v>
      </c>
      <c r="AK131" s="11">
        <f t="shared" si="62"/>
        <v>2773</v>
      </c>
      <c r="AL131" s="11">
        <f t="shared" si="62"/>
        <v>468354</v>
      </c>
      <c r="AM131" s="8">
        <f t="shared" si="66"/>
        <v>320832</v>
      </c>
      <c r="AN131" s="11">
        <f t="shared" si="63"/>
        <v>66151043</v>
      </c>
      <c r="AO131" s="2" t="str">
        <f t="shared" si="64"/>
        <v>LEP</v>
      </c>
      <c r="AP131" s="37">
        <f t="shared" si="65"/>
        <v>0</v>
      </c>
      <c r="AQ131" s="37">
        <f t="shared" si="65"/>
        <v>0</v>
      </c>
    </row>
    <row r="132" spans="1:43" x14ac:dyDescent="0.25">
      <c r="B132" s="2" t="s">
        <v>4</v>
      </c>
      <c r="C132" s="2">
        <v>2025</v>
      </c>
      <c r="D132" s="1">
        <v>20573</v>
      </c>
      <c r="E132" s="11">
        <v>2856288</v>
      </c>
      <c r="F132" s="1">
        <v>7800</v>
      </c>
      <c r="G132" s="11">
        <v>1678961</v>
      </c>
      <c r="H132" s="1">
        <v>4729</v>
      </c>
      <c r="I132" s="11">
        <v>852746</v>
      </c>
      <c r="J132" s="1">
        <v>258599</v>
      </c>
      <c r="K132" s="11">
        <v>54979778</v>
      </c>
      <c r="L132" s="8">
        <v>8406</v>
      </c>
      <c r="M132" s="11">
        <v>1944192</v>
      </c>
      <c r="N132" s="8">
        <v>17379</v>
      </c>
      <c r="O132" s="11">
        <v>3202824</v>
      </c>
      <c r="P132" s="8">
        <v>60</v>
      </c>
      <c r="Q132" s="11">
        <v>17636</v>
      </c>
      <c r="R132" s="8">
        <v>3077</v>
      </c>
      <c r="S132" s="11">
        <v>560235</v>
      </c>
      <c r="T132" s="53">
        <f t="shared" si="58"/>
        <v>320623</v>
      </c>
      <c r="U132" s="54">
        <f t="shared" si="59"/>
        <v>66092660</v>
      </c>
      <c r="V132" s="2" t="s">
        <v>60</v>
      </c>
      <c r="Y132" s="2" t="s">
        <v>4</v>
      </c>
      <c r="Z132" s="2">
        <v>2025</v>
      </c>
      <c r="AA132" s="1">
        <f t="shared" si="60"/>
        <v>33102</v>
      </c>
      <c r="AB132" s="11">
        <f t="shared" si="61"/>
        <v>5387995</v>
      </c>
      <c r="AC132" s="1">
        <f t="shared" si="62"/>
        <v>258599</v>
      </c>
      <c r="AD132" s="11">
        <f t="shared" si="62"/>
        <v>54979778</v>
      </c>
      <c r="AE132" s="8">
        <f t="shared" si="62"/>
        <v>8406</v>
      </c>
      <c r="AF132" s="11">
        <f t="shared" si="62"/>
        <v>1944192</v>
      </c>
      <c r="AG132" s="8">
        <f t="shared" si="62"/>
        <v>17379</v>
      </c>
      <c r="AH132" s="11">
        <f t="shared" si="62"/>
        <v>3202824</v>
      </c>
      <c r="AI132" s="8">
        <f t="shared" si="62"/>
        <v>60</v>
      </c>
      <c r="AJ132" s="11">
        <f t="shared" si="62"/>
        <v>17636</v>
      </c>
      <c r="AK132" s="11">
        <f t="shared" si="62"/>
        <v>3077</v>
      </c>
      <c r="AL132" s="11">
        <f t="shared" si="62"/>
        <v>560235</v>
      </c>
      <c r="AM132" s="27">
        <f t="shared" si="66"/>
        <v>320623</v>
      </c>
      <c r="AN132" s="14">
        <f t="shared" si="63"/>
        <v>66092660</v>
      </c>
      <c r="AO132" s="2" t="str">
        <f t="shared" si="64"/>
        <v>LEP</v>
      </c>
      <c r="AP132" s="37">
        <f t="shared" si="65"/>
        <v>0</v>
      </c>
      <c r="AQ132" s="37">
        <f t="shared" si="65"/>
        <v>0</v>
      </c>
    </row>
    <row r="133" spans="1:43" x14ac:dyDescent="0.25">
      <c r="B133" s="2" t="s">
        <v>28</v>
      </c>
      <c r="C133" s="2">
        <v>2025</v>
      </c>
      <c r="D133" s="1">
        <v>18141</v>
      </c>
      <c r="E133" s="11">
        <v>2616301</v>
      </c>
      <c r="F133" s="1">
        <v>7570</v>
      </c>
      <c r="G133" s="11">
        <v>1589413</v>
      </c>
      <c r="H133" s="1">
        <v>4433</v>
      </c>
      <c r="I133" s="11">
        <v>756068</v>
      </c>
      <c r="J133" s="1">
        <v>245764</v>
      </c>
      <c r="K133" s="11">
        <v>52439543</v>
      </c>
      <c r="L133" s="8">
        <v>8203</v>
      </c>
      <c r="M133" s="11">
        <v>1891665</v>
      </c>
      <c r="N133" s="8">
        <v>18297</v>
      </c>
      <c r="O133" s="11">
        <v>3322316</v>
      </c>
      <c r="P133" s="8">
        <v>58</v>
      </c>
      <c r="Q133" s="11">
        <v>17322</v>
      </c>
      <c r="R133" s="8">
        <v>2738</v>
      </c>
      <c r="S133" s="11">
        <v>532745</v>
      </c>
      <c r="T133" s="53">
        <f t="shared" si="58"/>
        <v>305204</v>
      </c>
      <c r="U133" s="54">
        <f t="shared" si="59"/>
        <v>63165373</v>
      </c>
      <c r="V133" s="2" t="s">
        <v>60</v>
      </c>
      <c r="Y133" s="2" t="s">
        <v>28</v>
      </c>
      <c r="Z133" s="2">
        <v>2025</v>
      </c>
      <c r="AA133" s="1">
        <f t="shared" si="60"/>
        <v>30144</v>
      </c>
      <c r="AB133" s="11">
        <f t="shared" si="61"/>
        <v>4961782</v>
      </c>
      <c r="AC133" s="1">
        <f t="shared" si="62"/>
        <v>245764</v>
      </c>
      <c r="AD133" s="11">
        <f t="shared" si="62"/>
        <v>52439543</v>
      </c>
      <c r="AE133" s="8">
        <f t="shared" si="62"/>
        <v>8203</v>
      </c>
      <c r="AF133" s="11">
        <f t="shared" si="62"/>
        <v>1891665</v>
      </c>
      <c r="AG133" s="8">
        <f t="shared" si="62"/>
        <v>18297</v>
      </c>
      <c r="AH133" s="11">
        <f t="shared" si="62"/>
        <v>3322316</v>
      </c>
      <c r="AI133" s="8">
        <f t="shared" si="62"/>
        <v>58</v>
      </c>
      <c r="AJ133" s="11">
        <f t="shared" si="62"/>
        <v>17322</v>
      </c>
      <c r="AK133" s="11">
        <f t="shared" si="62"/>
        <v>2738</v>
      </c>
      <c r="AL133" s="11">
        <f t="shared" si="62"/>
        <v>532745</v>
      </c>
      <c r="AM133" s="8">
        <f t="shared" si="66"/>
        <v>305204</v>
      </c>
      <c r="AN133" s="11">
        <f t="shared" si="63"/>
        <v>63165373</v>
      </c>
      <c r="AO133" s="2" t="str">
        <f t="shared" si="64"/>
        <v>LEP</v>
      </c>
      <c r="AP133" s="37">
        <f t="shared" si="65"/>
        <v>0</v>
      </c>
      <c r="AQ133" s="37">
        <f t="shared" si="65"/>
        <v>0</v>
      </c>
    </row>
    <row r="134" spans="1:43" x14ac:dyDescent="0.25">
      <c r="B134" s="2" t="s">
        <v>29</v>
      </c>
      <c r="C134" s="2">
        <v>2025</v>
      </c>
      <c r="D134" s="1">
        <v>18260</v>
      </c>
      <c r="E134" s="11">
        <v>2724888</v>
      </c>
      <c r="F134" s="1">
        <v>7776</v>
      </c>
      <c r="G134" s="11">
        <v>1665045</v>
      </c>
      <c r="H134" s="1">
        <v>5186</v>
      </c>
      <c r="I134" s="11">
        <v>908415</v>
      </c>
      <c r="J134" s="1">
        <v>250069</v>
      </c>
      <c r="K134" s="11">
        <v>54087106</v>
      </c>
      <c r="L134" s="8">
        <v>8788</v>
      </c>
      <c r="M134" s="11">
        <v>1998028</v>
      </c>
      <c r="N134" s="8">
        <v>19295</v>
      </c>
      <c r="O134" s="11">
        <v>3469956</v>
      </c>
      <c r="P134" s="8">
        <v>66</v>
      </c>
      <c r="Q134" s="11">
        <v>19407</v>
      </c>
      <c r="R134" s="8">
        <v>3155</v>
      </c>
      <c r="S134" s="11">
        <v>655260</v>
      </c>
      <c r="T134" s="53">
        <f t="shared" si="58"/>
        <v>312595</v>
      </c>
      <c r="U134" s="54">
        <f t="shared" si="59"/>
        <v>65528105</v>
      </c>
      <c r="V134" s="2" t="s">
        <v>60</v>
      </c>
      <c r="Y134" s="77" t="s">
        <v>29</v>
      </c>
      <c r="Z134" s="2">
        <v>2025</v>
      </c>
      <c r="AA134" s="1">
        <f t="shared" si="60"/>
        <v>31222</v>
      </c>
      <c r="AB134" s="11">
        <f t="shared" si="61"/>
        <v>5298348</v>
      </c>
      <c r="AC134" s="1">
        <f t="shared" si="62"/>
        <v>250069</v>
      </c>
      <c r="AD134" s="11">
        <f t="shared" si="62"/>
        <v>54087106</v>
      </c>
      <c r="AE134" s="8">
        <f t="shared" si="62"/>
        <v>8788</v>
      </c>
      <c r="AF134" s="11">
        <f t="shared" si="62"/>
        <v>1998028</v>
      </c>
      <c r="AG134" s="8">
        <f t="shared" si="62"/>
        <v>19295</v>
      </c>
      <c r="AH134" s="11">
        <f t="shared" si="62"/>
        <v>3469956</v>
      </c>
      <c r="AI134" s="8">
        <f t="shared" si="62"/>
        <v>66</v>
      </c>
      <c r="AJ134" s="11">
        <f t="shared" si="62"/>
        <v>19407</v>
      </c>
      <c r="AK134" s="11">
        <f t="shared" si="62"/>
        <v>3155</v>
      </c>
      <c r="AL134" s="11">
        <f t="shared" si="62"/>
        <v>655260</v>
      </c>
      <c r="AM134" s="8">
        <f t="shared" si="66"/>
        <v>312595</v>
      </c>
      <c r="AN134" s="11">
        <f t="shared" si="63"/>
        <v>65528105</v>
      </c>
      <c r="AO134" s="2" t="str">
        <f t="shared" si="64"/>
        <v>LEP</v>
      </c>
      <c r="AP134" s="37">
        <f t="shared" si="65"/>
        <v>0</v>
      </c>
      <c r="AQ134" s="37">
        <f t="shared" si="65"/>
        <v>0</v>
      </c>
    </row>
    <row r="135" spans="1:43" x14ac:dyDescent="0.25">
      <c r="B135" s="2" t="s">
        <v>30</v>
      </c>
      <c r="C135" s="2">
        <v>2025</v>
      </c>
      <c r="D135" s="1">
        <v>20086</v>
      </c>
      <c r="E135" s="11">
        <v>2898309</v>
      </c>
      <c r="F135" s="1">
        <v>7566</v>
      </c>
      <c r="G135" s="11">
        <v>1572073</v>
      </c>
      <c r="H135" s="1">
        <v>4835</v>
      </c>
      <c r="I135" s="11">
        <v>884444</v>
      </c>
      <c r="J135" s="1">
        <v>256030</v>
      </c>
      <c r="K135" s="11">
        <v>54623726</v>
      </c>
      <c r="L135" s="8">
        <v>8543</v>
      </c>
      <c r="M135" s="11">
        <v>1957504</v>
      </c>
      <c r="N135" s="8">
        <v>18940</v>
      </c>
      <c r="O135" s="11">
        <v>3331715</v>
      </c>
      <c r="P135" s="8">
        <v>70</v>
      </c>
      <c r="Q135" s="11">
        <v>20495</v>
      </c>
      <c r="R135" s="8">
        <v>3288</v>
      </c>
      <c r="S135" s="11">
        <v>659901</v>
      </c>
      <c r="T135" s="53">
        <f t="shared" si="58"/>
        <v>319358</v>
      </c>
      <c r="U135" s="54">
        <f t="shared" si="59"/>
        <v>65948167</v>
      </c>
      <c r="V135" s="2" t="s">
        <v>60</v>
      </c>
      <c r="Y135" s="2" t="s">
        <v>30</v>
      </c>
      <c r="Z135" s="2">
        <v>2025</v>
      </c>
      <c r="AA135" s="1">
        <f t="shared" si="60"/>
        <v>32487</v>
      </c>
      <c r="AB135" s="11">
        <f t="shared" si="61"/>
        <v>5354826</v>
      </c>
      <c r="AC135" s="1">
        <f t="shared" si="62"/>
        <v>256030</v>
      </c>
      <c r="AD135" s="11">
        <f t="shared" si="62"/>
        <v>54623726</v>
      </c>
      <c r="AE135" s="8">
        <f t="shared" si="62"/>
        <v>8543</v>
      </c>
      <c r="AF135" s="11">
        <f t="shared" si="62"/>
        <v>1957504</v>
      </c>
      <c r="AG135" s="8">
        <f t="shared" si="62"/>
        <v>18940</v>
      </c>
      <c r="AH135" s="11">
        <f t="shared" si="62"/>
        <v>3331715</v>
      </c>
      <c r="AI135" s="8">
        <f t="shared" si="62"/>
        <v>70</v>
      </c>
      <c r="AJ135" s="11">
        <f t="shared" si="62"/>
        <v>20495</v>
      </c>
      <c r="AK135" s="11">
        <f t="shared" si="62"/>
        <v>3288</v>
      </c>
      <c r="AL135" s="11">
        <f t="shared" si="62"/>
        <v>659901</v>
      </c>
      <c r="AM135" s="79">
        <f t="shared" si="66"/>
        <v>319358</v>
      </c>
      <c r="AN135" s="80">
        <f t="shared" si="63"/>
        <v>65948167</v>
      </c>
      <c r="AO135" s="2" t="str">
        <f t="shared" si="64"/>
        <v>LEP</v>
      </c>
      <c r="AP135" s="37">
        <f t="shared" si="65"/>
        <v>0</v>
      </c>
      <c r="AQ135" s="37">
        <f t="shared" si="65"/>
        <v>0</v>
      </c>
    </row>
    <row r="136" spans="1:43" x14ac:dyDescent="0.25">
      <c r="B136" s="2" t="s">
        <v>31</v>
      </c>
      <c r="C136" s="2">
        <v>2025</v>
      </c>
      <c r="D136" s="1">
        <v>24323</v>
      </c>
      <c r="E136" s="11">
        <v>3161254</v>
      </c>
      <c r="F136" s="1">
        <v>8187</v>
      </c>
      <c r="G136" s="11">
        <v>1593259</v>
      </c>
      <c r="H136" s="1">
        <v>5131</v>
      </c>
      <c r="I136" s="11">
        <v>893278</v>
      </c>
      <c r="J136" s="1">
        <v>278369</v>
      </c>
      <c r="K136" s="11">
        <v>55911604</v>
      </c>
      <c r="L136" s="8">
        <v>9020</v>
      </c>
      <c r="M136" s="11">
        <v>1988684</v>
      </c>
      <c r="N136" s="8">
        <v>21454</v>
      </c>
      <c r="O136" s="11">
        <v>3656353</v>
      </c>
      <c r="P136" s="8">
        <v>72</v>
      </c>
      <c r="Q136" s="11">
        <v>22013</v>
      </c>
      <c r="R136" s="8">
        <v>3881</v>
      </c>
      <c r="S136" s="11">
        <v>689616</v>
      </c>
      <c r="T136" s="53">
        <f t="shared" si="58"/>
        <v>350437</v>
      </c>
      <c r="U136" s="54">
        <f t="shared" si="59"/>
        <v>67916061</v>
      </c>
      <c r="V136" s="2" t="s">
        <v>60</v>
      </c>
      <c r="W136" s="13"/>
      <c r="Y136" s="2" t="s">
        <v>31</v>
      </c>
      <c r="Z136" s="2">
        <v>2025</v>
      </c>
      <c r="AA136" s="1">
        <f t="shared" si="60"/>
        <v>37641</v>
      </c>
      <c r="AB136" s="11">
        <f t="shared" si="61"/>
        <v>5647791</v>
      </c>
      <c r="AC136" s="1">
        <f t="shared" si="62"/>
        <v>278369</v>
      </c>
      <c r="AD136" s="11">
        <f t="shared" si="62"/>
        <v>55911604</v>
      </c>
      <c r="AE136" s="8">
        <f t="shared" si="62"/>
        <v>9020</v>
      </c>
      <c r="AF136" s="11">
        <f t="shared" si="62"/>
        <v>1988684</v>
      </c>
      <c r="AG136" s="8">
        <f t="shared" si="62"/>
        <v>21454</v>
      </c>
      <c r="AH136" s="11">
        <f t="shared" si="62"/>
        <v>3656353</v>
      </c>
      <c r="AI136" s="8">
        <f t="shared" si="62"/>
        <v>72</v>
      </c>
      <c r="AJ136" s="11">
        <f t="shared" si="62"/>
        <v>22013</v>
      </c>
      <c r="AK136" s="11">
        <f t="shared" si="62"/>
        <v>3881</v>
      </c>
      <c r="AL136" s="11">
        <f t="shared" si="62"/>
        <v>689616</v>
      </c>
      <c r="AM136" s="8">
        <f t="shared" si="66"/>
        <v>350437</v>
      </c>
      <c r="AN136" s="11">
        <f t="shared" si="63"/>
        <v>67916061</v>
      </c>
      <c r="AO136" s="2" t="str">
        <f t="shared" si="64"/>
        <v>LEP</v>
      </c>
      <c r="AP136" s="37">
        <f t="shared" si="65"/>
        <v>0</v>
      </c>
      <c r="AQ136" s="37">
        <f t="shared" si="65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67">SUM(D125:D137)</f>
        <v>227410</v>
      </c>
      <c r="E138" s="12">
        <f t="shared" si="67"/>
        <v>31744692</v>
      </c>
      <c r="F138" s="4">
        <f t="shared" si="67"/>
        <v>96599</v>
      </c>
      <c r="G138" s="12">
        <f t="shared" si="67"/>
        <v>20899483</v>
      </c>
      <c r="H138" s="4">
        <f t="shared" si="67"/>
        <v>55604</v>
      </c>
      <c r="I138" s="12">
        <f t="shared" si="67"/>
        <v>10037252</v>
      </c>
      <c r="J138" s="4">
        <f t="shared" si="67"/>
        <v>3027731</v>
      </c>
      <c r="K138" s="12">
        <f t="shared" si="67"/>
        <v>644632614</v>
      </c>
      <c r="L138" s="4">
        <f t="shared" si="67"/>
        <v>94545</v>
      </c>
      <c r="M138" s="12">
        <f t="shared" si="67"/>
        <v>22316715</v>
      </c>
      <c r="N138" s="4">
        <f t="shared" si="67"/>
        <v>208279</v>
      </c>
      <c r="O138" s="12">
        <f t="shared" si="67"/>
        <v>37820099</v>
      </c>
      <c r="P138" s="4">
        <f>SUM(P125:P137)</f>
        <v>718</v>
      </c>
      <c r="Q138" s="12">
        <f>SUM(Q125:Q137)</f>
        <v>220844</v>
      </c>
      <c r="R138" s="4">
        <f>SUM(R125:R137)</f>
        <v>27689</v>
      </c>
      <c r="S138" s="12">
        <f>SUM(S125:S137)</f>
        <v>4727511</v>
      </c>
      <c r="T138" s="4">
        <f t="shared" si="67"/>
        <v>3738575</v>
      </c>
      <c r="U138" s="12">
        <f t="shared" si="67"/>
        <v>772399210</v>
      </c>
      <c r="Y138" s="3" t="s">
        <v>12</v>
      </c>
      <c r="Z138" s="3"/>
      <c r="AA138" s="4">
        <f t="shared" ref="AA138:AN138" si="68">SUM(AA125:AA137)</f>
        <v>379613</v>
      </c>
      <c r="AB138" s="12">
        <f t="shared" si="68"/>
        <v>62681427</v>
      </c>
      <c r="AC138" s="4">
        <f t="shared" si="68"/>
        <v>3027731</v>
      </c>
      <c r="AD138" s="12">
        <f t="shared" si="68"/>
        <v>644632614</v>
      </c>
      <c r="AE138" s="4">
        <f t="shared" si="68"/>
        <v>94545</v>
      </c>
      <c r="AF138" s="12">
        <f t="shared" si="68"/>
        <v>22316715</v>
      </c>
      <c r="AG138" s="4">
        <f t="shared" si="68"/>
        <v>208279</v>
      </c>
      <c r="AH138" s="12">
        <f t="shared" si="68"/>
        <v>37820099</v>
      </c>
      <c r="AI138" s="4">
        <f t="shared" si="68"/>
        <v>718</v>
      </c>
      <c r="AJ138" s="12">
        <f t="shared" si="68"/>
        <v>220844</v>
      </c>
      <c r="AK138" s="4">
        <f t="shared" si="68"/>
        <v>27689</v>
      </c>
      <c r="AL138" s="12">
        <f t="shared" si="68"/>
        <v>4727511</v>
      </c>
      <c r="AM138" s="4">
        <f t="shared" si="68"/>
        <v>3738575</v>
      </c>
      <c r="AN138" s="12">
        <f t="shared" si="68"/>
        <v>772399210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6607.5</v>
      </c>
      <c r="M139" s="60">
        <f>AVERAGE(M125:M126)</f>
        <v>1614823.5</v>
      </c>
      <c r="T139" s="15">
        <f t="shared" ref="T139:U139" si="69">AVERAGE(T125:T126)</f>
        <v>287055.5</v>
      </c>
      <c r="U139" s="28">
        <f t="shared" si="69"/>
        <v>58742594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4.4311140320287559E-2</v>
      </c>
      <c r="M140" s="36">
        <f>+M139/$M$371</f>
        <v>6.2139238960403673E-2</v>
      </c>
      <c r="N140" s="18"/>
      <c r="O140" s="19"/>
      <c r="P140" s="19"/>
      <c r="Q140" s="19"/>
      <c r="R140" s="19"/>
      <c r="S140" s="19"/>
      <c r="T140" s="36">
        <f>+L139/T139</f>
        <v>2.3018196829532964E-2</v>
      </c>
      <c r="U140" s="62">
        <f>+M139/U139</f>
        <v>2.7489822802173155E-2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0"/>
      <c r="F143" s="89" t="s">
        <v>71</v>
      </c>
      <c r="G143" s="90"/>
      <c r="H143" s="89" t="s">
        <v>16</v>
      </c>
      <c r="I143" s="90"/>
      <c r="J143" s="89" t="s">
        <v>17</v>
      </c>
      <c r="K143" s="93"/>
      <c r="L143" s="89" t="s">
        <v>18</v>
      </c>
      <c r="M143" s="93"/>
      <c r="N143" s="89" t="s">
        <v>13</v>
      </c>
      <c r="O143" s="93"/>
      <c r="P143" s="89" t="s">
        <v>34</v>
      </c>
      <c r="Q143" s="93"/>
      <c r="R143" s="89" t="s">
        <v>87</v>
      </c>
      <c r="S143" s="93"/>
      <c r="T143" s="89" t="s">
        <v>12</v>
      </c>
      <c r="U143" s="93"/>
      <c r="AA143" s="89" t="s">
        <v>69</v>
      </c>
      <c r="AB143" s="90"/>
      <c r="AC143" s="89" t="s">
        <v>17</v>
      </c>
      <c r="AD143" s="93"/>
      <c r="AE143" s="89" t="s">
        <v>18</v>
      </c>
      <c r="AF143" s="93"/>
      <c r="AG143" s="89" t="s">
        <v>13</v>
      </c>
      <c r="AH143" s="93"/>
      <c r="AI143" s="89" t="s">
        <v>34</v>
      </c>
      <c r="AJ143" s="93"/>
      <c r="AK143" s="89" t="s">
        <v>87</v>
      </c>
      <c r="AL143" s="93"/>
      <c r="AM143" s="89" t="s">
        <v>12</v>
      </c>
      <c r="AN143" s="93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2025</v>
      </c>
      <c r="D146" s="1">
        <v>37150</v>
      </c>
      <c r="E146" s="11">
        <v>5777392</v>
      </c>
      <c r="F146" s="1">
        <v>16502</v>
      </c>
      <c r="G146" s="11">
        <v>3537186</v>
      </c>
      <c r="H146" s="1">
        <v>59494</v>
      </c>
      <c r="I146" s="11">
        <v>8397287</v>
      </c>
      <c r="J146" s="1">
        <v>499824</v>
      </c>
      <c r="K146" s="11">
        <v>115203233</v>
      </c>
      <c r="L146" s="1">
        <v>20191</v>
      </c>
      <c r="M146" s="11">
        <v>4683045</v>
      </c>
      <c r="N146" s="1">
        <v>59149</v>
      </c>
      <c r="O146" s="11">
        <v>10757294</v>
      </c>
      <c r="P146" s="1">
        <v>11</v>
      </c>
      <c r="Q146" s="11">
        <v>2903</v>
      </c>
      <c r="R146" s="1">
        <v>2501</v>
      </c>
      <c r="S146" s="11">
        <v>338253</v>
      </c>
      <c r="T146" s="53">
        <f t="shared" ref="T146:T157" si="70">N146+L146+J146+H146+D146+P146+F146+R146</f>
        <v>694822</v>
      </c>
      <c r="U146" s="54">
        <f t="shared" ref="U146:U157" si="71">O146+M146+K146+I146+E146+Q146+G146+S146</f>
        <v>148696593</v>
      </c>
      <c r="V146" s="2" t="s">
        <v>61</v>
      </c>
      <c r="W146" s="66"/>
      <c r="Y146" s="2" t="s">
        <v>5</v>
      </c>
      <c r="Z146" s="2">
        <v>2025</v>
      </c>
      <c r="AA146" s="1">
        <f t="shared" ref="AA146:AA157" si="72">D146+H146+F146</f>
        <v>113146</v>
      </c>
      <c r="AB146" s="11">
        <f t="shared" ref="AB146:AB157" si="73">E146+I146+G146</f>
        <v>17711865</v>
      </c>
      <c r="AC146" s="1">
        <f t="shared" ref="AC146:AL157" si="74">+J146</f>
        <v>499824</v>
      </c>
      <c r="AD146" s="11">
        <f t="shared" si="74"/>
        <v>115203233</v>
      </c>
      <c r="AE146" s="8">
        <f t="shared" si="74"/>
        <v>20191</v>
      </c>
      <c r="AF146" s="11">
        <f t="shared" si="74"/>
        <v>4683045</v>
      </c>
      <c r="AG146" s="8">
        <f t="shared" si="74"/>
        <v>59149</v>
      </c>
      <c r="AH146" s="11">
        <f t="shared" si="74"/>
        <v>10757294</v>
      </c>
      <c r="AI146" s="8">
        <f t="shared" si="74"/>
        <v>11</v>
      </c>
      <c r="AJ146" s="11">
        <f t="shared" si="74"/>
        <v>2903</v>
      </c>
      <c r="AK146" s="11">
        <f t="shared" si="74"/>
        <v>2501</v>
      </c>
      <c r="AL146" s="11">
        <f t="shared" si="74"/>
        <v>338253</v>
      </c>
      <c r="AM146" s="8">
        <f>AI146+AG146+AE146+AC146+AA146+AK146</f>
        <v>694822</v>
      </c>
      <c r="AN146" s="11">
        <f t="shared" ref="AN146:AN157" si="75">AJ146+AH146+AF146+AD146+AB146+AL146</f>
        <v>148696593</v>
      </c>
      <c r="AO146" s="2" t="str">
        <f t="shared" ref="AO146:AO157" si="76">+V146</f>
        <v>GANA</v>
      </c>
      <c r="AP146" s="37">
        <f t="shared" ref="AP146:AQ157" si="77">+AM146-T146</f>
        <v>0</v>
      </c>
      <c r="AQ146" s="37">
        <f t="shared" si="77"/>
        <v>0</v>
      </c>
    </row>
    <row r="147" spans="2:44" x14ac:dyDescent="0.25">
      <c r="B147" s="2" t="s">
        <v>6</v>
      </c>
      <c r="C147" s="2">
        <v>2025</v>
      </c>
      <c r="D147" s="1">
        <v>28935</v>
      </c>
      <c r="E147" s="11">
        <v>4188393</v>
      </c>
      <c r="F147" s="1">
        <v>9759</v>
      </c>
      <c r="G147" s="11">
        <v>1816132</v>
      </c>
      <c r="H147" s="1">
        <v>50449</v>
      </c>
      <c r="I147" s="11">
        <v>7526008</v>
      </c>
      <c r="J147" s="1">
        <v>340084</v>
      </c>
      <c r="K147" s="11">
        <v>71263392</v>
      </c>
      <c r="L147" s="1">
        <v>14328</v>
      </c>
      <c r="M147" s="11">
        <v>3151026</v>
      </c>
      <c r="N147" s="1">
        <v>48368</v>
      </c>
      <c r="O147" s="11">
        <v>7984543</v>
      </c>
      <c r="P147" s="1">
        <v>1</v>
      </c>
      <c r="Q147" s="11">
        <v>179</v>
      </c>
      <c r="R147" s="1">
        <v>2214</v>
      </c>
      <c r="S147" s="11">
        <v>280956</v>
      </c>
      <c r="T147" s="53">
        <f t="shared" si="70"/>
        <v>494138</v>
      </c>
      <c r="U147" s="54">
        <f t="shared" si="71"/>
        <v>96210629</v>
      </c>
      <c r="V147" s="2" t="s">
        <v>61</v>
      </c>
      <c r="W147" s="66"/>
      <c r="Y147" s="2" t="s">
        <v>6</v>
      </c>
      <c r="Z147" s="2">
        <v>2025</v>
      </c>
      <c r="AA147" s="1">
        <f t="shared" si="72"/>
        <v>89143</v>
      </c>
      <c r="AB147" s="11">
        <f t="shared" si="73"/>
        <v>13530533</v>
      </c>
      <c r="AC147" s="1">
        <f t="shared" si="74"/>
        <v>340084</v>
      </c>
      <c r="AD147" s="11">
        <f t="shared" si="74"/>
        <v>71263392</v>
      </c>
      <c r="AE147" s="8">
        <f t="shared" si="74"/>
        <v>14328</v>
      </c>
      <c r="AF147" s="11">
        <f t="shared" si="74"/>
        <v>3151026</v>
      </c>
      <c r="AG147" s="8">
        <f t="shared" si="74"/>
        <v>48368</v>
      </c>
      <c r="AH147" s="11">
        <f t="shared" si="74"/>
        <v>7984543</v>
      </c>
      <c r="AI147" s="8">
        <f t="shared" si="74"/>
        <v>1</v>
      </c>
      <c r="AJ147" s="11">
        <f t="shared" si="74"/>
        <v>179</v>
      </c>
      <c r="AK147" s="11">
        <f t="shared" si="74"/>
        <v>2214</v>
      </c>
      <c r="AL147" s="11">
        <f t="shared" si="74"/>
        <v>280956</v>
      </c>
      <c r="AM147" s="8">
        <f t="shared" ref="AM147:AM157" si="78">AI147+AG147+AE147+AC147+AA147+AK147</f>
        <v>494138</v>
      </c>
      <c r="AN147" s="11">
        <f t="shared" si="75"/>
        <v>96210629</v>
      </c>
      <c r="AO147" s="2" t="str">
        <f t="shared" si="76"/>
        <v>GANA</v>
      </c>
      <c r="AP147" s="37">
        <f t="shared" si="77"/>
        <v>0</v>
      </c>
      <c r="AQ147" s="37">
        <f t="shared" si="77"/>
        <v>0</v>
      </c>
    </row>
    <row r="148" spans="2:44" x14ac:dyDescent="0.25">
      <c r="B148" s="2" t="s">
        <v>7</v>
      </c>
      <c r="C148" s="2">
        <v>2025</v>
      </c>
      <c r="D148" s="1">
        <v>34378</v>
      </c>
      <c r="E148" s="11">
        <v>5085100</v>
      </c>
      <c r="F148" s="1">
        <v>10935</v>
      </c>
      <c r="G148" s="11">
        <v>2019500</v>
      </c>
      <c r="H148" s="1">
        <v>54330</v>
      </c>
      <c r="I148" s="11">
        <v>8234967</v>
      </c>
      <c r="J148" s="1">
        <v>380353</v>
      </c>
      <c r="K148" s="11">
        <v>79611876</v>
      </c>
      <c r="L148" s="1">
        <v>16277</v>
      </c>
      <c r="M148" s="11">
        <v>3670610</v>
      </c>
      <c r="N148" s="1">
        <v>53575</v>
      </c>
      <c r="O148" s="11">
        <v>8797994</v>
      </c>
      <c r="P148" s="1">
        <v>0</v>
      </c>
      <c r="Q148" s="11">
        <v>0</v>
      </c>
      <c r="R148" s="1">
        <v>2795</v>
      </c>
      <c r="S148" s="11">
        <v>360597</v>
      </c>
      <c r="T148" s="53">
        <f t="shared" si="70"/>
        <v>552643</v>
      </c>
      <c r="U148" s="54">
        <f t="shared" si="71"/>
        <v>107780644</v>
      </c>
      <c r="V148" s="2" t="s">
        <v>61</v>
      </c>
      <c r="W148" s="66"/>
      <c r="X148" s="13"/>
      <c r="Y148" s="2" t="s">
        <v>7</v>
      </c>
      <c r="Z148" s="2">
        <v>2025</v>
      </c>
      <c r="AA148" s="1">
        <f t="shared" si="72"/>
        <v>99643</v>
      </c>
      <c r="AB148" s="11">
        <f t="shared" si="73"/>
        <v>15339567</v>
      </c>
      <c r="AC148" s="1">
        <f t="shared" si="74"/>
        <v>380353</v>
      </c>
      <c r="AD148" s="11">
        <f t="shared" si="74"/>
        <v>79611876</v>
      </c>
      <c r="AE148" s="8">
        <f t="shared" si="74"/>
        <v>16277</v>
      </c>
      <c r="AF148" s="11">
        <f t="shared" si="74"/>
        <v>3670610</v>
      </c>
      <c r="AG148" s="8">
        <f t="shared" si="74"/>
        <v>53575</v>
      </c>
      <c r="AH148" s="11">
        <f t="shared" si="74"/>
        <v>8797994</v>
      </c>
      <c r="AI148" s="8">
        <f t="shared" si="74"/>
        <v>0</v>
      </c>
      <c r="AJ148" s="11">
        <f t="shared" si="74"/>
        <v>0</v>
      </c>
      <c r="AK148" s="11">
        <f t="shared" si="74"/>
        <v>2795</v>
      </c>
      <c r="AL148" s="11">
        <f t="shared" si="74"/>
        <v>360597</v>
      </c>
      <c r="AM148" s="8">
        <f t="shared" si="78"/>
        <v>552643</v>
      </c>
      <c r="AN148" s="11">
        <f t="shared" si="75"/>
        <v>107780644</v>
      </c>
      <c r="AO148" s="2" t="str">
        <f t="shared" si="76"/>
        <v>GANA</v>
      </c>
      <c r="AP148" s="37">
        <f t="shared" si="77"/>
        <v>0</v>
      </c>
      <c r="AQ148" s="37">
        <f t="shared" si="77"/>
        <v>0</v>
      </c>
    </row>
    <row r="149" spans="2:44" x14ac:dyDescent="0.25">
      <c r="B149" s="2" t="s">
        <v>8</v>
      </c>
      <c r="C149" s="2">
        <v>2025</v>
      </c>
      <c r="D149" s="1">
        <v>37805</v>
      </c>
      <c r="E149" s="11">
        <v>5422319</v>
      </c>
      <c r="F149" s="1">
        <v>12747</v>
      </c>
      <c r="G149" s="11">
        <v>2267448</v>
      </c>
      <c r="H149" s="1">
        <v>56991</v>
      </c>
      <c r="I149" s="11">
        <v>8808583</v>
      </c>
      <c r="J149" s="1">
        <v>387240</v>
      </c>
      <c r="K149" s="11">
        <v>78534109</v>
      </c>
      <c r="L149" s="1">
        <v>16814</v>
      </c>
      <c r="M149" s="11">
        <v>3556725</v>
      </c>
      <c r="N149" s="1">
        <v>55381</v>
      </c>
      <c r="O149" s="11">
        <v>8957881</v>
      </c>
      <c r="P149" s="1">
        <v>14</v>
      </c>
      <c r="Q149" s="11">
        <v>3752</v>
      </c>
      <c r="R149" s="1">
        <v>3341</v>
      </c>
      <c r="S149" s="11">
        <v>419543</v>
      </c>
      <c r="T149" s="53">
        <f t="shared" si="70"/>
        <v>570333</v>
      </c>
      <c r="U149" s="54">
        <f t="shared" si="71"/>
        <v>107970360</v>
      </c>
      <c r="V149" s="2" t="s">
        <v>61</v>
      </c>
      <c r="W149" s="66"/>
      <c r="X149" s="13"/>
      <c r="Y149" s="2" t="s">
        <v>8</v>
      </c>
      <c r="Z149" s="2">
        <v>2025</v>
      </c>
      <c r="AA149" s="1">
        <f t="shared" si="72"/>
        <v>107543</v>
      </c>
      <c r="AB149" s="11">
        <f t="shared" si="73"/>
        <v>16498350</v>
      </c>
      <c r="AC149" s="1">
        <f t="shared" si="74"/>
        <v>387240</v>
      </c>
      <c r="AD149" s="11">
        <f t="shared" si="74"/>
        <v>78534109</v>
      </c>
      <c r="AE149" s="8">
        <f t="shared" si="74"/>
        <v>16814</v>
      </c>
      <c r="AF149" s="11">
        <f t="shared" si="74"/>
        <v>3556725</v>
      </c>
      <c r="AG149" s="8">
        <f t="shared" si="74"/>
        <v>55381</v>
      </c>
      <c r="AH149" s="11">
        <f t="shared" si="74"/>
        <v>8957881</v>
      </c>
      <c r="AI149" s="8">
        <f t="shared" si="74"/>
        <v>14</v>
      </c>
      <c r="AJ149" s="11">
        <f t="shared" si="74"/>
        <v>3752</v>
      </c>
      <c r="AK149" s="11">
        <f t="shared" si="74"/>
        <v>3341</v>
      </c>
      <c r="AL149" s="11">
        <f t="shared" si="74"/>
        <v>419543</v>
      </c>
      <c r="AM149" s="8">
        <f t="shared" si="78"/>
        <v>570333</v>
      </c>
      <c r="AN149" s="11">
        <f t="shared" si="75"/>
        <v>107970360</v>
      </c>
      <c r="AO149" s="2" t="str">
        <f t="shared" si="76"/>
        <v>GANA</v>
      </c>
      <c r="AP149" s="37">
        <f t="shared" si="77"/>
        <v>0</v>
      </c>
      <c r="AQ149" s="37">
        <f t="shared" si="77"/>
        <v>0</v>
      </c>
    </row>
    <row r="150" spans="2:44" x14ac:dyDescent="0.25">
      <c r="B150" s="2" t="s">
        <v>9</v>
      </c>
      <c r="C150" s="2">
        <v>2025</v>
      </c>
      <c r="D150" s="1">
        <v>34365</v>
      </c>
      <c r="E150" s="11">
        <v>5004676</v>
      </c>
      <c r="F150" s="1">
        <v>12240</v>
      </c>
      <c r="G150" s="11">
        <v>2185626</v>
      </c>
      <c r="H150" s="1">
        <v>58342</v>
      </c>
      <c r="I150" s="11">
        <v>8989211</v>
      </c>
      <c r="J150" s="1">
        <v>382803</v>
      </c>
      <c r="K150" s="11">
        <v>78130949</v>
      </c>
      <c r="L150" s="1">
        <v>17107</v>
      </c>
      <c r="M150" s="11">
        <v>3620609</v>
      </c>
      <c r="N150" s="1">
        <v>56258</v>
      </c>
      <c r="O150" s="11">
        <v>9011286</v>
      </c>
      <c r="P150" s="1">
        <v>6</v>
      </c>
      <c r="Q150" s="11">
        <v>992</v>
      </c>
      <c r="R150" s="1">
        <v>3973</v>
      </c>
      <c r="S150" s="11">
        <v>515387</v>
      </c>
      <c r="T150" s="53">
        <f t="shared" si="70"/>
        <v>565094</v>
      </c>
      <c r="U150" s="54">
        <f t="shared" si="71"/>
        <v>107458736</v>
      </c>
      <c r="V150" s="2" t="s">
        <v>61</v>
      </c>
      <c r="W150" s="66"/>
      <c r="X150" s="13"/>
      <c r="Y150" s="2" t="s">
        <v>9</v>
      </c>
      <c r="Z150" s="2">
        <v>2025</v>
      </c>
      <c r="AA150" s="1">
        <f t="shared" si="72"/>
        <v>104947</v>
      </c>
      <c r="AB150" s="11">
        <f t="shared" si="73"/>
        <v>16179513</v>
      </c>
      <c r="AC150" s="1">
        <f t="shared" si="74"/>
        <v>382803</v>
      </c>
      <c r="AD150" s="11">
        <f t="shared" si="74"/>
        <v>78130949</v>
      </c>
      <c r="AE150" s="8">
        <f t="shared" si="74"/>
        <v>17107</v>
      </c>
      <c r="AF150" s="11">
        <f t="shared" si="74"/>
        <v>3620609</v>
      </c>
      <c r="AG150" s="8">
        <f t="shared" si="74"/>
        <v>56258</v>
      </c>
      <c r="AH150" s="11">
        <f t="shared" si="74"/>
        <v>9011286</v>
      </c>
      <c r="AI150" s="8">
        <f t="shared" si="74"/>
        <v>6</v>
      </c>
      <c r="AJ150" s="11">
        <f t="shared" si="74"/>
        <v>992</v>
      </c>
      <c r="AK150" s="11">
        <f t="shared" si="74"/>
        <v>3973</v>
      </c>
      <c r="AL150" s="11">
        <f t="shared" si="74"/>
        <v>515387</v>
      </c>
      <c r="AM150" s="8">
        <f t="shared" si="78"/>
        <v>565094</v>
      </c>
      <c r="AN150" s="11">
        <f t="shared" si="75"/>
        <v>107458736</v>
      </c>
      <c r="AO150" s="2" t="str">
        <f t="shared" si="76"/>
        <v>GANA</v>
      </c>
      <c r="AP150" s="37">
        <f t="shared" si="77"/>
        <v>0</v>
      </c>
      <c r="AQ150" s="37">
        <f t="shared" si="77"/>
        <v>0</v>
      </c>
    </row>
    <row r="151" spans="2:44" x14ac:dyDescent="0.25">
      <c r="B151" s="2" t="s">
        <v>10</v>
      </c>
      <c r="C151" s="2">
        <v>2025</v>
      </c>
      <c r="D151" s="1">
        <v>31763</v>
      </c>
      <c r="E151" s="11">
        <v>4692387</v>
      </c>
      <c r="F151" s="1">
        <v>11706</v>
      </c>
      <c r="G151" s="11">
        <v>2095216</v>
      </c>
      <c r="H151" s="1">
        <v>56342</v>
      </c>
      <c r="I151" s="11">
        <v>8677721</v>
      </c>
      <c r="J151" s="1">
        <v>369265</v>
      </c>
      <c r="K151" s="11">
        <v>76372390</v>
      </c>
      <c r="L151" s="1">
        <v>16531</v>
      </c>
      <c r="M151" s="11">
        <v>3496700</v>
      </c>
      <c r="N151" s="1">
        <v>54707</v>
      </c>
      <c r="O151" s="11">
        <v>9018263</v>
      </c>
      <c r="P151" s="1">
        <v>4</v>
      </c>
      <c r="Q151" s="11">
        <v>944</v>
      </c>
      <c r="R151" s="1">
        <v>3623</v>
      </c>
      <c r="S151" s="11">
        <v>466855</v>
      </c>
      <c r="T151" s="53">
        <f t="shared" si="70"/>
        <v>543941</v>
      </c>
      <c r="U151" s="54">
        <f t="shared" si="71"/>
        <v>104820476</v>
      </c>
      <c r="V151" s="2" t="s">
        <v>61</v>
      </c>
      <c r="W151" s="66"/>
      <c r="Y151" s="2" t="s">
        <v>10</v>
      </c>
      <c r="Z151" s="2">
        <v>2025</v>
      </c>
      <c r="AA151" s="1">
        <f t="shared" si="72"/>
        <v>99811</v>
      </c>
      <c r="AB151" s="11">
        <f t="shared" si="73"/>
        <v>15465324</v>
      </c>
      <c r="AC151" s="1">
        <f t="shared" si="74"/>
        <v>369265</v>
      </c>
      <c r="AD151" s="11">
        <f t="shared" si="74"/>
        <v>76372390</v>
      </c>
      <c r="AE151" s="8">
        <f t="shared" si="74"/>
        <v>16531</v>
      </c>
      <c r="AF151" s="11">
        <f t="shared" si="74"/>
        <v>3496700</v>
      </c>
      <c r="AG151" s="8">
        <f t="shared" si="74"/>
        <v>54707</v>
      </c>
      <c r="AH151" s="11">
        <f t="shared" si="74"/>
        <v>9018263</v>
      </c>
      <c r="AI151" s="8">
        <f t="shared" si="74"/>
        <v>4</v>
      </c>
      <c r="AJ151" s="11">
        <f t="shared" si="74"/>
        <v>944</v>
      </c>
      <c r="AK151" s="11">
        <f t="shared" si="74"/>
        <v>3623</v>
      </c>
      <c r="AL151" s="11">
        <f t="shared" si="74"/>
        <v>466855</v>
      </c>
      <c r="AM151" s="8">
        <f t="shared" si="78"/>
        <v>543941</v>
      </c>
      <c r="AN151" s="11">
        <f t="shared" si="75"/>
        <v>104820476</v>
      </c>
      <c r="AO151" s="2" t="str">
        <f t="shared" si="76"/>
        <v>GANA</v>
      </c>
      <c r="AP151" s="37">
        <f t="shared" si="77"/>
        <v>0</v>
      </c>
      <c r="AQ151" s="37">
        <f t="shared" si="77"/>
        <v>0</v>
      </c>
    </row>
    <row r="152" spans="2:44" x14ac:dyDescent="0.25">
      <c r="B152" s="2" t="s">
        <v>11</v>
      </c>
      <c r="C152" s="2">
        <v>2025</v>
      </c>
      <c r="D152" s="1">
        <v>38050</v>
      </c>
      <c r="E152" s="11">
        <v>5534936</v>
      </c>
      <c r="F152" s="1">
        <v>12530</v>
      </c>
      <c r="G152" s="11">
        <v>2169148</v>
      </c>
      <c r="H152" s="1">
        <v>59423</v>
      </c>
      <c r="I152" s="11">
        <v>9163440</v>
      </c>
      <c r="J152" s="1">
        <v>406069</v>
      </c>
      <c r="K152" s="11">
        <v>82101472</v>
      </c>
      <c r="L152" s="1">
        <v>18047</v>
      </c>
      <c r="M152" s="11">
        <v>3748782</v>
      </c>
      <c r="N152" s="1">
        <v>59075</v>
      </c>
      <c r="O152" s="11">
        <v>9589256</v>
      </c>
      <c r="P152" s="1">
        <v>6</v>
      </c>
      <c r="Q152" s="11">
        <v>894</v>
      </c>
      <c r="R152" s="1">
        <v>4378</v>
      </c>
      <c r="S152" s="11">
        <v>577751</v>
      </c>
      <c r="T152" s="53">
        <f t="shared" si="70"/>
        <v>597578</v>
      </c>
      <c r="U152" s="54">
        <f t="shared" si="71"/>
        <v>112885679</v>
      </c>
      <c r="V152" s="2" t="s">
        <v>61</v>
      </c>
      <c r="W152" s="66"/>
      <c r="Y152" s="2" t="s">
        <v>11</v>
      </c>
      <c r="Z152" s="2">
        <v>2025</v>
      </c>
      <c r="AA152" s="1">
        <f t="shared" si="72"/>
        <v>110003</v>
      </c>
      <c r="AB152" s="11">
        <f t="shared" si="73"/>
        <v>16867524</v>
      </c>
      <c r="AC152" s="1">
        <f t="shared" si="74"/>
        <v>406069</v>
      </c>
      <c r="AD152" s="11">
        <f t="shared" si="74"/>
        <v>82101472</v>
      </c>
      <c r="AE152" s="8">
        <f t="shared" si="74"/>
        <v>18047</v>
      </c>
      <c r="AF152" s="11">
        <f t="shared" si="74"/>
        <v>3748782</v>
      </c>
      <c r="AG152" s="8">
        <f t="shared" si="74"/>
        <v>59075</v>
      </c>
      <c r="AH152" s="11">
        <f t="shared" si="74"/>
        <v>9589256</v>
      </c>
      <c r="AI152" s="8">
        <f t="shared" si="74"/>
        <v>6</v>
      </c>
      <c r="AJ152" s="11">
        <f t="shared" si="74"/>
        <v>894</v>
      </c>
      <c r="AK152" s="11">
        <f t="shared" si="74"/>
        <v>4378</v>
      </c>
      <c r="AL152" s="11">
        <f t="shared" si="74"/>
        <v>577751</v>
      </c>
      <c r="AM152" s="8">
        <f t="shared" si="78"/>
        <v>597578</v>
      </c>
      <c r="AN152" s="11">
        <f t="shared" si="75"/>
        <v>112885679</v>
      </c>
      <c r="AO152" s="2" t="str">
        <f t="shared" si="76"/>
        <v>GANA</v>
      </c>
      <c r="AP152" s="37">
        <f t="shared" si="77"/>
        <v>0</v>
      </c>
      <c r="AQ152" s="37">
        <f t="shared" si="77"/>
        <v>0</v>
      </c>
    </row>
    <row r="153" spans="2:44" x14ac:dyDescent="0.25">
      <c r="B153" s="2" t="s">
        <v>4</v>
      </c>
      <c r="C153" s="2">
        <v>2025</v>
      </c>
      <c r="D153" s="1">
        <v>40734</v>
      </c>
      <c r="E153" s="11">
        <v>5823716</v>
      </c>
      <c r="F153" s="1">
        <v>12210</v>
      </c>
      <c r="G153" s="11">
        <v>2096693</v>
      </c>
      <c r="H153" s="1">
        <v>58650</v>
      </c>
      <c r="I153" s="11">
        <v>9222532</v>
      </c>
      <c r="J153" s="1">
        <v>417384</v>
      </c>
      <c r="K153" s="11">
        <v>84262025</v>
      </c>
      <c r="L153" s="1">
        <v>19124</v>
      </c>
      <c r="M153" s="11">
        <v>3892874</v>
      </c>
      <c r="N153" s="1">
        <v>61704</v>
      </c>
      <c r="O153" s="11">
        <v>9953642</v>
      </c>
      <c r="P153" s="1">
        <v>4</v>
      </c>
      <c r="Q153" s="11">
        <v>741</v>
      </c>
      <c r="R153" s="1">
        <v>4944</v>
      </c>
      <c r="S153" s="11">
        <v>666107</v>
      </c>
      <c r="T153" s="53">
        <f t="shared" si="70"/>
        <v>614754</v>
      </c>
      <c r="U153" s="54">
        <f t="shared" si="71"/>
        <v>115918330</v>
      </c>
      <c r="V153" s="2" t="s">
        <v>61</v>
      </c>
      <c r="W153" s="66"/>
      <c r="Y153" s="2" t="s">
        <v>4</v>
      </c>
      <c r="Z153" s="2">
        <v>2025</v>
      </c>
      <c r="AA153" s="1">
        <f t="shared" si="72"/>
        <v>111594</v>
      </c>
      <c r="AB153" s="11">
        <f t="shared" si="73"/>
        <v>17142941</v>
      </c>
      <c r="AC153" s="1">
        <f t="shared" si="74"/>
        <v>417384</v>
      </c>
      <c r="AD153" s="11">
        <f t="shared" si="74"/>
        <v>84262025</v>
      </c>
      <c r="AE153" s="8">
        <f t="shared" si="74"/>
        <v>19124</v>
      </c>
      <c r="AF153" s="11">
        <f t="shared" si="74"/>
        <v>3892874</v>
      </c>
      <c r="AG153" s="8">
        <f t="shared" si="74"/>
        <v>61704</v>
      </c>
      <c r="AH153" s="11">
        <f t="shared" si="74"/>
        <v>9953642</v>
      </c>
      <c r="AI153" s="8">
        <f t="shared" si="74"/>
        <v>4</v>
      </c>
      <c r="AJ153" s="11">
        <f t="shared" si="74"/>
        <v>741</v>
      </c>
      <c r="AK153" s="11">
        <f t="shared" si="74"/>
        <v>4944</v>
      </c>
      <c r="AL153" s="11">
        <f t="shared" si="74"/>
        <v>666107</v>
      </c>
      <c r="AM153" s="27">
        <f t="shared" si="78"/>
        <v>614754</v>
      </c>
      <c r="AN153" s="14">
        <f t="shared" si="75"/>
        <v>115918330</v>
      </c>
      <c r="AO153" s="2" t="str">
        <f t="shared" si="76"/>
        <v>GANA</v>
      </c>
      <c r="AP153" s="37">
        <f t="shared" si="77"/>
        <v>0</v>
      </c>
      <c r="AQ153" s="37">
        <f t="shared" si="77"/>
        <v>0</v>
      </c>
      <c r="AR153" s="13"/>
    </row>
    <row r="154" spans="2:44" x14ac:dyDescent="0.25">
      <c r="B154" s="2" t="s">
        <v>28</v>
      </c>
      <c r="C154" s="2">
        <v>2025</v>
      </c>
      <c r="D154" s="1">
        <v>33112</v>
      </c>
      <c r="E154" s="11">
        <v>4704159</v>
      </c>
      <c r="F154" s="1">
        <v>11588</v>
      </c>
      <c r="G154" s="11">
        <v>2030415</v>
      </c>
      <c r="H154" s="1">
        <v>48937</v>
      </c>
      <c r="I154" s="11">
        <v>7349636</v>
      </c>
      <c r="J154" s="1">
        <v>386658</v>
      </c>
      <c r="K154" s="11">
        <v>79825858</v>
      </c>
      <c r="L154" s="1">
        <v>17566</v>
      </c>
      <c r="M154" s="11">
        <v>3631021</v>
      </c>
      <c r="N154" s="1">
        <v>65784</v>
      </c>
      <c r="O154" s="11">
        <v>10715094</v>
      </c>
      <c r="P154" s="1">
        <v>2</v>
      </c>
      <c r="Q154" s="11">
        <v>561</v>
      </c>
      <c r="R154" s="1">
        <v>4459</v>
      </c>
      <c r="S154" s="11">
        <v>607168</v>
      </c>
      <c r="T154" s="53">
        <f t="shared" si="70"/>
        <v>568106</v>
      </c>
      <c r="U154" s="54">
        <f t="shared" si="71"/>
        <v>108863912</v>
      </c>
      <c r="V154" s="2" t="s">
        <v>61</v>
      </c>
      <c r="W154" s="66"/>
      <c r="Y154" s="2" t="s">
        <v>28</v>
      </c>
      <c r="Z154" s="2">
        <v>2025</v>
      </c>
      <c r="AA154" s="1">
        <f t="shared" si="72"/>
        <v>93637</v>
      </c>
      <c r="AB154" s="11">
        <f t="shared" si="73"/>
        <v>14084210</v>
      </c>
      <c r="AC154" s="1">
        <f t="shared" si="74"/>
        <v>386658</v>
      </c>
      <c r="AD154" s="11">
        <f t="shared" si="74"/>
        <v>79825858</v>
      </c>
      <c r="AE154" s="8">
        <f t="shared" si="74"/>
        <v>17566</v>
      </c>
      <c r="AF154" s="11">
        <f t="shared" si="74"/>
        <v>3631021</v>
      </c>
      <c r="AG154" s="8">
        <f t="shared" si="74"/>
        <v>65784</v>
      </c>
      <c r="AH154" s="11">
        <f t="shared" si="74"/>
        <v>10715094</v>
      </c>
      <c r="AI154" s="8">
        <f t="shared" si="74"/>
        <v>2</v>
      </c>
      <c r="AJ154" s="11">
        <f t="shared" si="74"/>
        <v>561</v>
      </c>
      <c r="AK154" s="11">
        <f t="shared" si="74"/>
        <v>4459</v>
      </c>
      <c r="AL154" s="11">
        <f t="shared" si="74"/>
        <v>607168</v>
      </c>
      <c r="AM154" s="8">
        <f t="shared" si="78"/>
        <v>568106</v>
      </c>
      <c r="AN154" s="11">
        <f t="shared" si="75"/>
        <v>108863912</v>
      </c>
      <c r="AO154" s="2" t="str">
        <f t="shared" si="76"/>
        <v>GANA</v>
      </c>
      <c r="AP154" s="37">
        <f t="shared" si="77"/>
        <v>0</v>
      </c>
      <c r="AQ154" s="37">
        <f t="shared" si="77"/>
        <v>0</v>
      </c>
      <c r="AR154" s="13"/>
    </row>
    <row r="155" spans="2:44" x14ac:dyDescent="0.25">
      <c r="B155" s="2" t="s">
        <v>29</v>
      </c>
      <c r="C155" s="2">
        <v>2025</v>
      </c>
      <c r="D155" s="1">
        <v>35123</v>
      </c>
      <c r="E155" s="11">
        <v>5140061</v>
      </c>
      <c r="F155" s="1">
        <v>12885</v>
      </c>
      <c r="G155" s="11">
        <v>2280340</v>
      </c>
      <c r="H155" s="1">
        <v>53925</v>
      </c>
      <c r="I155" s="11">
        <v>8030739</v>
      </c>
      <c r="J155" s="1">
        <v>397807</v>
      </c>
      <c r="K155" s="11">
        <v>81968388</v>
      </c>
      <c r="L155" s="1">
        <v>18122</v>
      </c>
      <c r="M155" s="11">
        <v>3731997</v>
      </c>
      <c r="N155" s="1">
        <v>70848</v>
      </c>
      <c r="O155" s="11">
        <v>11701648</v>
      </c>
      <c r="P155" s="1">
        <v>4</v>
      </c>
      <c r="Q155" s="11">
        <v>578</v>
      </c>
      <c r="R155" s="1">
        <v>4806</v>
      </c>
      <c r="S155" s="11">
        <v>667266</v>
      </c>
      <c r="T155" s="53">
        <f t="shared" si="70"/>
        <v>593520</v>
      </c>
      <c r="U155" s="54">
        <f t="shared" si="71"/>
        <v>113521017</v>
      </c>
      <c r="V155" s="2" t="s">
        <v>61</v>
      </c>
      <c r="W155" s="66"/>
      <c r="Y155" s="2" t="s">
        <v>29</v>
      </c>
      <c r="Z155" s="2">
        <v>2025</v>
      </c>
      <c r="AA155" s="1">
        <f t="shared" si="72"/>
        <v>101933</v>
      </c>
      <c r="AB155" s="11">
        <f t="shared" si="73"/>
        <v>15451140</v>
      </c>
      <c r="AC155" s="1">
        <f t="shared" si="74"/>
        <v>397807</v>
      </c>
      <c r="AD155" s="11">
        <f t="shared" si="74"/>
        <v>81968388</v>
      </c>
      <c r="AE155" s="8">
        <f t="shared" si="74"/>
        <v>18122</v>
      </c>
      <c r="AF155" s="11">
        <f t="shared" si="74"/>
        <v>3731997</v>
      </c>
      <c r="AG155" s="8">
        <f t="shared" si="74"/>
        <v>70848</v>
      </c>
      <c r="AH155" s="11">
        <f t="shared" si="74"/>
        <v>11701648</v>
      </c>
      <c r="AI155" s="8">
        <f t="shared" si="74"/>
        <v>4</v>
      </c>
      <c r="AJ155" s="11">
        <f t="shared" si="74"/>
        <v>578</v>
      </c>
      <c r="AK155" s="11">
        <f t="shared" si="74"/>
        <v>4806</v>
      </c>
      <c r="AL155" s="11">
        <f t="shared" si="74"/>
        <v>667266</v>
      </c>
      <c r="AM155" s="8">
        <f t="shared" si="78"/>
        <v>593520</v>
      </c>
      <c r="AN155" s="11">
        <f t="shared" si="75"/>
        <v>113521017</v>
      </c>
      <c r="AO155" s="2" t="str">
        <f t="shared" si="76"/>
        <v>GANA</v>
      </c>
      <c r="AP155" s="37">
        <f t="shared" si="77"/>
        <v>0</v>
      </c>
      <c r="AQ155" s="37">
        <f t="shared" si="77"/>
        <v>0</v>
      </c>
      <c r="AR155" s="13"/>
    </row>
    <row r="156" spans="2:44" x14ac:dyDescent="0.25">
      <c r="B156" s="2" t="s">
        <v>30</v>
      </c>
      <c r="C156" s="2">
        <v>2025</v>
      </c>
      <c r="D156" s="1">
        <v>34724</v>
      </c>
      <c r="E156" s="11">
        <v>5030826</v>
      </c>
      <c r="F156" s="1">
        <v>11877</v>
      </c>
      <c r="G156" s="11">
        <v>2070868</v>
      </c>
      <c r="H156" s="1">
        <v>49773</v>
      </c>
      <c r="I156" s="11">
        <v>7608537</v>
      </c>
      <c r="J156" s="1">
        <v>382077</v>
      </c>
      <c r="K156" s="11">
        <v>77888279</v>
      </c>
      <c r="L156" s="1">
        <v>16691</v>
      </c>
      <c r="M156" s="11">
        <v>3372379</v>
      </c>
      <c r="N156" s="1">
        <v>69293</v>
      </c>
      <c r="O156" s="11">
        <v>11232405</v>
      </c>
      <c r="P156" s="1">
        <v>2</v>
      </c>
      <c r="Q156" s="11">
        <v>374</v>
      </c>
      <c r="R156" s="1">
        <v>4593</v>
      </c>
      <c r="S156" s="11">
        <v>636576</v>
      </c>
      <c r="T156" s="53">
        <f t="shared" si="70"/>
        <v>569030</v>
      </c>
      <c r="U156" s="54">
        <f t="shared" si="71"/>
        <v>107840244</v>
      </c>
      <c r="V156" s="2" t="s">
        <v>61</v>
      </c>
      <c r="W156" s="66"/>
      <c r="Y156" s="2" t="s">
        <v>30</v>
      </c>
      <c r="Z156" s="2">
        <v>2025</v>
      </c>
      <c r="AA156" s="1">
        <f t="shared" si="72"/>
        <v>96374</v>
      </c>
      <c r="AB156" s="11">
        <f t="shared" si="73"/>
        <v>14710231</v>
      </c>
      <c r="AC156" s="1">
        <f t="shared" si="74"/>
        <v>382077</v>
      </c>
      <c r="AD156" s="11">
        <f t="shared" si="74"/>
        <v>77888279</v>
      </c>
      <c r="AE156" s="8">
        <f t="shared" si="74"/>
        <v>16691</v>
      </c>
      <c r="AF156" s="11">
        <f t="shared" si="74"/>
        <v>3372379</v>
      </c>
      <c r="AG156" s="8">
        <f t="shared" si="74"/>
        <v>69293</v>
      </c>
      <c r="AH156" s="11">
        <f t="shared" si="74"/>
        <v>11232405</v>
      </c>
      <c r="AI156" s="8">
        <f t="shared" si="74"/>
        <v>2</v>
      </c>
      <c r="AJ156" s="11">
        <f t="shared" si="74"/>
        <v>374</v>
      </c>
      <c r="AK156" s="11">
        <f t="shared" si="74"/>
        <v>4593</v>
      </c>
      <c r="AL156" s="11">
        <f t="shared" si="74"/>
        <v>636576</v>
      </c>
      <c r="AM156" s="79">
        <f t="shared" si="78"/>
        <v>569030</v>
      </c>
      <c r="AN156" s="80">
        <f t="shared" si="75"/>
        <v>107840244</v>
      </c>
      <c r="AO156" s="2" t="str">
        <f t="shared" si="76"/>
        <v>GANA</v>
      </c>
      <c r="AP156" s="37">
        <f t="shared" si="77"/>
        <v>0</v>
      </c>
      <c r="AQ156" s="37">
        <f t="shared" si="77"/>
        <v>0</v>
      </c>
    </row>
    <row r="157" spans="2:44" x14ac:dyDescent="0.25">
      <c r="B157" s="2" t="s">
        <v>31</v>
      </c>
      <c r="C157" s="2">
        <v>2025</v>
      </c>
      <c r="D157" s="1">
        <v>39348</v>
      </c>
      <c r="E157" s="11">
        <v>5607431</v>
      </c>
      <c r="F157" s="1">
        <v>12910</v>
      </c>
      <c r="G157" s="11">
        <v>2241160</v>
      </c>
      <c r="H157" s="1">
        <v>47927</v>
      </c>
      <c r="I157" s="11">
        <v>7749605</v>
      </c>
      <c r="J157" s="1">
        <v>408219</v>
      </c>
      <c r="K157" s="11">
        <v>81307011</v>
      </c>
      <c r="L157" s="1">
        <v>17370</v>
      </c>
      <c r="M157" s="11">
        <v>3505579</v>
      </c>
      <c r="N157" s="1">
        <v>69460</v>
      </c>
      <c r="O157" s="11">
        <v>11207685</v>
      </c>
      <c r="P157" s="1">
        <v>1</v>
      </c>
      <c r="Q157" s="11">
        <v>107</v>
      </c>
      <c r="R157" s="1">
        <v>5160</v>
      </c>
      <c r="S157" s="11">
        <v>715441</v>
      </c>
      <c r="T157" s="53">
        <f t="shared" si="70"/>
        <v>600395</v>
      </c>
      <c r="U157" s="54">
        <f t="shared" si="71"/>
        <v>112334019</v>
      </c>
      <c r="V157" s="2" t="s">
        <v>61</v>
      </c>
      <c r="W157" s="66"/>
      <c r="Y157" s="2" t="s">
        <v>31</v>
      </c>
      <c r="Z157" s="2">
        <v>2025</v>
      </c>
      <c r="AA157" s="1">
        <f t="shared" si="72"/>
        <v>100185</v>
      </c>
      <c r="AB157" s="11">
        <f t="shared" si="73"/>
        <v>15598196</v>
      </c>
      <c r="AC157" s="1">
        <f t="shared" si="74"/>
        <v>408219</v>
      </c>
      <c r="AD157" s="11">
        <f t="shared" si="74"/>
        <v>81307011</v>
      </c>
      <c r="AE157" s="8">
        <f t="shared" si="74"/>
        <v>17370</v>
      </c>
      <c r="AF157" s="11">
        <f t="shared" si="74"/>
        <v>3505579</v>
      </c>
      <c r="AG157" s="8">
        <f t="shared" si="74"/>
        <v>69460</v>
      </c>
      <c r="AH157" s="11">
        <f t="shared" si="74"/>
        <v>11207685</v>
      </c>
      <c r="AI157" s="8">
        <f t="shared" si="74"/>
        <v>1</v>
      </c>
      <c r="AJ157" s="11">
        <f t="shared" si="74"/>
        <v>107</v>
      </c>
      <c r="AK157" s="11">
        <f t="shared" si="74"/>
        <v>5160</v>
      </c>
      <c r="AL157" s="11">
        <f t="shared" si="74"/>
        <v>715441</v>
      </c>
      <c r="AM157" s="8">
        <f t="shared" si="78"/>
        <v>600395</v>
      </c>
      <c r="AN157" s="11">
        <f t="shared" si="75"/>
        <v>112334019</v>
      </c>
      <c r="AO157" s="2" t="str">
        <f t="shared" si="76"/>
        <v>GANA</v>
      </c>
      <c r="AP157" s="37">
        <f t="shared" si="77"/>
        <v>0</v>
      </c>
      <c r="AQ157" s="37">
        <f t="shared" si="77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79">SUM(D146:D158)</f>
        <v>425487</v>
      </c>
      <c r="E159" s="12">
        <f t="shared" si="79"/>
        <v>62011396</v>
      </c>
      <c r="F159" s="4">
        <f t="shared" si="79"/>
        <v>147889</v>
      </c>
      <c r="G159" s="12">
        <f t="shared" si="79"/>
        <v>26809732</v>
      </c>
      <c r="H159" s="4">
        <f t="shared" si="79"/>
        <v>654583</v>
      </c>
      <c r="I159" s="12">
        <f t="shared" si="79"/>
        <v>99758266</v>
      </c>
      <c r="J159" s="4">
        <f t="shared" si="79"/>
        <v>4757783</v>
      </c>
      <c r="K159" s="12">
        <f t="shared" si="79"/>
        <v>986468982</v>
      </c>
      <c r="L159" s="4">
        <f t="shared" si="79"/>
        <v>208168</v>
      </c>
      <c r="M159" s="12">
        <f t="shared" si="79"/>
        <v>44061347</v>
      </c>
      <c r="N159" s="4">
        <f t="shared" si="79"/>
        <v>723602</v>
      </c>
      <c r="O159" s="12">
        <f t="shared" si="79"/>
        <v>118926991</v>
      </c>
      <c r="P159" s="4">
        <f t="shared" si="79"/>
        <v>55</v>
      </c>
      <c r="Q159" s="12">
        <f t="shared" si="79"/>
        <v>12025</v>
      </c>
      <c r="R159" s="4">
        <f t="shared" si="79"/>
        <v>46787</v>
      </c>
      <c r="S159" s="12">
        <f t="shared" si="79"/>
        <v>6251900</v>
      </c>
      <c r="T159" s="4">
        <f t="shared" si="79"/>
        <v>6964354</v>
      </c>
      <c r="U159" s="12">
        <f t="shared" si="79"/>
        <v>1344300639</v>
      </c>
      <c r="Y159" s="3" t="s">
        <v>12</v>
      </c>
      <c r="Z159" s="3"/>
      <c r="AA159" s="4">
        <f t="shared" ref="AA159:AN159" si="80">SUM(AA146:AA158)</f>
        <v>1227959</v>
      </c>
      <c r="AB159" s="12">
        <f t="shared" si="80"/>
        <v>188579394</v>
      </c>
      <c r="AC159" s="4">
        <f t="shared" si="80"/>
        <v>4757783</v>
      </c>
      <c r="AD159" s="12">
        <f t="shared" si="80"/>
        <v>986468982</v>
      </c>
      <c r="AE159" s="4">
        <f t="shared" si="80"/>
        <v>208168</v>
      </c>
      <c r="AF159" s="12">
        <f t="shared" si="80"/>
        <v>44061347</v>
      </c>
      <c r="AG159" s="4">
        <f t="shared" si="80"/>
        <v>723602</v>
      </c>
      <c r="AH159" s="12">
        <f t="shared" si="80"/>
        <v>118926991</v>
      </c>
      <c r="AI159" s="4">
        <f t="shared" si="80"/>
        <v>55</v>
      </c>
      <c r="AJ159" s="12">
        <f t="shared" si="80"/>
        <v>12025</v>
      </c>
      <c r="AK159" s="4">
        <f t="shared" si="80"/>
        <v>46787</v>
      </c>
      <c r="AL159" s="12">
        <f t="shared" si="80"/>
        <v>6251900</v>
      </c>
      <c r="AM159" s="4">
        <f t="shared" si="80"/>
        <v>6964354</v>
      </c>
      <c r="AN159" s="12">
        <f t="shared" si="80"/>
        <v>1344300639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17259.5</v>
      </c>
      <c r="M160" s="60">
        <f>AVERAGE(M146:M147)</f>
        <v>3917035.5</v>
      </c>
      <c r="T160" s="15">
        <f t="shared" ref="T160:U160" si="81">AVERAGE(T146:T147)</f>
        <v>594480</v>
      </c>
      <c r="U160" s="28">
        <f t="shared" si="81"/>
        <v>122453611</v>
      </c>
    </row>
    <row r="161" spans="1:43" x14ac:dyDescent="0.25">
      <c r="A161" s="67" t="s">
        <v>14</v>
      </c>
      <c r="H161" s="39">
        <f>H159+F159+D159</f>
        <v>1227959</v>
      </c>
      <c r="J161" s="46" t="str">
        <f>+$A$141</f>
        <v>Aforo e Ingreso - GANA</v>
      </c>
      <c r="K161" s="9" t="s">
        <v>85</v>
      </c>
      <c r="L161" s="26">
        <f>+L160/$L$371</f>
        <v>0.11574545991040532</v>
      </c>
      <c r="M161" s="36">
        <f>+M160/$M$371</f>
        <v>0.15072954099991998</v>
      </c>
      <c r="N161" s="26"/>
      <c r="O161" s="19"/>
      <c r="P161" s="19"/>
      <c r="Q161" s="19"/>
      <c r="R161" s="19"/>
      <c r="S161" s="19"/>
      <c r="T161" s="36">
        <f>+L160/T160</f>
        <v>2.9032936347732474E-2</v>
      </c>
      <c r="U161" s="62">
        <f>+M160/U160</f>
        <v>3.1987913365821442E-2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0"/>
      <c r="F164" s="89" t="s">
        <v>71</v>
      </c>
      <c r="G164" s="90"/>
      <c r="H164" s="89" t="s">
        <v>16</v>
      </c>
      <c r="I164" s="90"/>
      <c r="J164" s="89" t="s">
        <v>17</v>
      </c>
      <c r="K164" s="93"/>
      <c r="L164" s="89" t="s">
        <v>18</v>
      </c>
      <c r="M164" s="93"/>
      <c r="N164" s="89" t="s">
        <v>13</v>
      </c>
      <c r="O164" s="93"/>
      <c r="P164" s="89" t="s">
        <v>34</v>
      </c>
      <c r="Q164" s="93"/>
      <c r="R164" s="89" t="s">
        <v>87</v>
      </c>
      <c r="S164" s="93"/>
      <c r="T164" s="89" t="s">
        <v>12</v>
      </c>
      <c r="U164" s="93"/>
      <c r="AA164" s="89" t="s">
        <v>69</v>
      </c>
      <c r="AB164" s="90"/>
      <c r="AC164" s="89" t="s">
        <v>17</v>
      </c>
      <c r="AD164" s="93"/>
      <c r="AE164" s="89" t="s">
        <v>18</v>
      </c>
      <c r="AF164" s="93"/>
      <c r="AG164" s="89" t="s">
        <v>13</v>
      </c>
      <c r="AH164" s="93"/>
      <c r="AI164" s="89" t="s">
        <v>34</v>
      </c>
      <c r="AJ164" s="93"/>
      <c r="AK164" s="89" t="s">
        <v>87</v>
      </c>
      <c r="AL164" s="93"/>
      <c r="AM164" s="89" t="s">
        <v>12</v>
      </c>
      <c r="AN164" s="93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2025</v>
      </c>
      <c r="D167" s="1">
        <v>32543</v>
      </c>
      <c r="E167" s="11">
        <v>4648256</v>
      </c>
      <c r="F167" s="1">
        <v>12295</v>
      </c>
      <c r="G167" s="11">
        <v>2247195</v>
      </c>
      <c r="H167" s="1">
        <v>11028</v>
      </c>
      <c r="I167" s="11">
        <v>2133124</v>
      </c>
      <c r="J167" s="45">
        <v>0</v>
      </c>
      <c r="K167" s="11">
        <v>0</v>
      </c>
      <c r="L167" s="45">
        <v>0</v>
      </c>
      <c r="M167" s="11">
        <v>0</v>
      </c>
      <c r="N167" s="1">
        <v>19127</v>
      </c>
      <c r="O167" s="11">
        <v>4285023</v>
      </c>
      <c r="P167" s="1">
        <v>238</v>
      </c>
      <c r="Q167" s="11">
        <v>60491</v>
      </c>
      <c r="R167" s="1">
        <v>4087</v>
      </c>
      <c r="S167" s="11">
        <v>421878</v>
      </c>
      <c r="T167" s="53">
        <f t="shared" ref="T167:T178" si="82">N167+L167+J167+H167+D167+P167+F167+R167</f>
        <v>79318</v>
      </c>
      <c r="U167" s="54">
        <f t="shared" ref="U167:U178" si="83">O167+M167+K167+I167+E167+Q167+G167+S167</f>
        <v>13795967</v>
      </c>
      <c r="V167" s="2" t="s">
        <v>62</v>
      </c>
      <c r="Y167" s="2" t="s">
        <v>5</v>
      </c>
      <c r="Z167" s="2">
        <v>2025</v>
      </c>
      <c r="AA167" s="1">
        <f t="shared" ref="AA167:AA178" si="84">D167+H167+F167</f>
        <v>55866</v>
      </c>
      <c r="AB167" s="11">
        <f t="shared" ref="AB167:AB178" si="85">E167+I167+G167</f>
        <v>9028575</v>
      </c>
      <c r="AC167" s="1">
        <f t="shared" ref="AC167:AL178" si="86">+J167</f>
        <v>0</v>
      </c>
      <c r="AD167" s="11">
        <f t="shared" si="86"/>
        <v>0</v>
      </c>
      <c r="AE167" s="8">
        <f t="shared" si="86"/>
        <v>0</v>
      </c>
      <c r="AF167" s="11">
        <f t="shared" si="86"/>
        <v>0</v>
      </c>
      <c r="AG167" s="8">
        <f t="shared" si="86"/>
        <v>19127</v>
      </c>
      <c r="AH167" s="11">
        <f t="shared" si="86"/>
        <v>4285023</v>
      </c>
      <c r="AI167" s="8">
        <f t="shared" si="86"/>
        <v>238</v>
      </c>
      <c r="AJ167" s="11">
        <f t="shared" si="86"/>
        <v>60491</v>
      </c>
      <c r="AK167" s="11">
        <f t="shared" si="86"/>
        <v>4087</v>
      </c>
      <c r="AL167" s="11">
        <f t="shared" si="86"/>
        <v>421878</v>
      </c>
      <c r="AM167" s="8">
        <f>AI167+AG167+AE167+AC167+AA167+AK167</f>
        <v>79318</v>
      </c>
      <c r="AN167" s="11">
        <f t="shared" ref="AN167:AN178" si="87">AJ167+AH167+AF167+AD167+AB167+AL167</f>
        <v>13795967</v>
      </c>
      <c r="AO167" s="2" t="str">
        <f t="shared" ref="AO167:AO178" si="88">+V167</f>
        <v>CAMS</v>
      </c>
      <c r="AP167" s="37">
        <f t="shared" ref="AP167:AQ178" si="89">+AM167-T167</f>
        <v>0</v>
      </c>
      <c r="AQ167" s="37">
        <f t="shared" si="89"/>
        <v>0</v>
      </c>
    </row>
    <row r="168" spans="1:43" x14ac:dyDescent="0.25">
      <c r="B168" s="2" t="s">
        <v>6</v>
      </c>
      <c r="C168" s="2">
        <v>2025</v>
      </c>
      <c r="D168" s="1">
        <v>30780</v>
      </c>
      <c r="E168" s="11">
        <v>4579636</v>
      </c>
      <c r="F168" s="1">
        <v>11622</v>
      </c>
      <c r="G168" s="11">
        <v>2194191</v>
      </c>
      <c r="H168" s="1">
        <v>12743</v>
      </c>
      <c r="I168" s="11">
        <v>2588910</v>
      </c>
      <c r="J168" s="45">
        <v>0</v>
      </c>
      <c r="K168" s="11">
        <v>0</v>
      </c>
      <c r="L168" s="45">
        <v>0</v>
      </c>
      <c r="M168" s="11">
        <v>0</v>
      </c>
      <c r="N168" s="1">
        <v>17097</v>
      </c>
      <c r="O168" s="11">
        <v>3822002</v>
      </c>
      <c r="P168" s="1">
        <v>235</v>
      </c>
      <c r="Q168" s="11">
        <v>60034</v>
      </c>
      <c r="R168" s="1">
        <v>3788</v>
      </c>
      <c r="S168" s="11">
        <v>410658</v>
      </c>
      <c r="T168" s="53">
        <f t="shared" si="82"/>
        <v>76265</v>
      </c>
      <c r="U168" s="54">
        <f t="shared" si="83"/>
        <v>13655431</v>
      </c>
      <c r="V168" s="2" t="s">
        <v>62</v>
      </c>
      <c r="Y168" s="2" t="s">
        <v>6</v>
      </c>
      <c r="Z168" s="2">
        <v>2025</v>
      </c>
      <c r="AA168" s="1">
        <f t="shared" si="84"/>
        <v>55145</v>
      </c>
      <c r="AB168" s="11">
        <f t="shared" si="85"/>
        <v>9362737</v>
      </c>
      <c r="AC168" s="1">
        <f t="shared" si="86"/>
        <v>0</v>
      </c>
      <c r="AD168" s="11">
        <f t="shared" si="86"/>
        <v>0</v>
      </c>
      <c r="AE168" s="8">
        <f t="shared" si="86"/>
        <v>0</v>
      </c>
      <c r="AF168" s="11">
        <f t="shared" si="86"/>
        <v>0</v>
      </c>
      <c r="AG168" s="8">
        <f t="shared" si="86"/>
        <v>17097</v>
      </c>
      <c r="AH168" s="11">
        <f t="shared" si="86"/>
        <v>3822002</v>
      </c>
      <c r="AI168" s="8">
        <f t="shared" si="86"/>
        <v>235</v>
      </c>
      <c r="AJ168" s="11">
        <f t="shared" si="86"/>
        <v>60034</v>
      </c>
      <c r="AK168" s="11">
        <f t="shared" si="86"/>
        <v>3788</v>
      </c>
      <c r="AL168" s="11">
        <f t="shared" si="86"/>
        <v>410658</v>
      </c>
      <c r="AM168" s="8">
        <f t="shared" ref="AM168:AM178" si="90">AI168+AG168+AE168+AC168+AA168+AK168</f>
        <v>76265</v>
      </c>
      <c r="AN168" s="11">
        <f t="shared" si="87"/>
        <v>13655431</v>
      </c>
      <c r="AO168" s="2" t="str">
        <f t="shared" si="88"/>
        <v>CAMS</v>
      </c>
      <c r="AP168" s="37">
        <f t="shared" si="89"/>
        <v>0</v>
      </c>
      <c r="AQ168" s="37">
        <f t="shared" si="89"/>
        <v>0</v>
      </c>
    </row>
    <row r="169" spans="1:43" x14ac:dyDescent="0.25">
      <c r="B169" s="2" t="s">
        <v>7</v>
      </c>
      <c r="C169" s="2">
        <v>2025</v>
      </c>
      <c r="D169" s="1">
        <v>35390</v>
      </c>
      <c r="E169" s="11">
        <v>5157591</v>
      </c>
      <c r="F169" s="1">
        <v>13758</v>
      </c>
      <c r="G169" s="11">
        <v>2530407</v>
      </c>
      <c r="H169" s="1">
        <v>15276</v>
      </c>
      <c r="I169" s="11">
        <v>3217707</v>
      </c>
      <c r="J169" s="45">
        <v>0</v>
      </c>
      <c r="K169" s="11">
        <v>0</v>
      </c>
      <c r="L169" s="45">
        <v>0</v>
      </c>
      <c r="M169" s="11">
        <v>0</v>
      </c>
      <c r="N169" s="1">
        <v>18241</v>
      </c>
      <c r="O169" s="11">
        <v>4061123</v>
      </c>
      <c r="P169" s="1">
        <v>268</v>
      </c>
      <c r="Q169" s="11">
        <v>65711</v>
      </c>
      <c r="R169" s="1">
        <v>5133</v>
      </c>
      <c r="S169" s="11">
        <v>569975</v>
      </c>
      <c r="T169" s="53">
        <f t="shared" si="82"/>
        <v>88066</v>
      </c>
      <c r="U169" s="54">
        <f t="shared" si="83"/>
        <v>15602514</v>
      </c>
      <c r="V169" s="2" t="s">
        <v>62</v>
      </c>
      <c r="Y169" s="2" t="s">
        <v>7</v>
      </c>
      <c r="Z169" s="2">
        <v>2025</v>
      </c>
      <c r="AA169" s="1">
        <f t="shared" si="84"/>
        <v>64424</v>
      </c>
      <c r="AB169" s="11">
        <f t="shared" si="85"/>
        <v>10905705</v>
      </c>
      <c r="AC169" s="1">
        <f t="shared" si="86"/>
        <v>0</v>
      </c>
      <c r="AD169" s="11">
        <f t="shared" si="86"/>
        <v>0</v>
      </c>
      <c r="AE169" s="8">
        <f t="shared" si="86"/>
        <v>0</v>
      </c>
      <c r="AF169" s="11">
        <f t="shared" si="86"/>
        <v>0</v>
      </c>
      <c r="AG169" s="8">
        <f t="shared" si="86"/>
        <v>18241</v>
      </c>
      <c r="AH169" s="11">
        <f t="shared" si="86"/>
        <v>4061123</v>
      </c>
      <c r="AI169" s="8">
        <f t="shared" si="86"/>
        <v>268</v>
      </c>
      <c r="AJ169" s="11">
        <f t="shared" si="86"/>
        <v>65711</v>
      </c>
      <c r="AK169" s="11">
        <f t="shared" si="86"/>
        <v>5133</v>
      </c>
      <c r="AL169" s="11">
        <f t="shared" si="86"/>
        <v>569975</v>
      </c>
      <c r="AM169" s="8">
        <f t="shared" si="90"/>
        <v>88066</v>
      </c>
      <c r="AN169" s="11">
        <f t="shared" si="87"/>
        <v>15602514</v>
      </c>
      <c r="AO169" s="2" t="str">
        <f t="shared" si="88"/>
        <v>CAMS</v>
      </c>
      <c r="AP169" s="37">
        <f t="shared" si="89"/>
        <v>0</v>
      </c>
      <c r="AQ169" s="37">
        <f t="shared" si="89"/>
        <v>0</v>
      </c>
    </row>
    <row r="170" spans="1:43" x14ac:dyDescent="0.25">
      <c r="B170" s="2" t="s">
        <v>8</v>
      </c>
      <c r="C170" s="2">
        <v>2025</v>
      </c>
      <c r="D170" s="1">
        <v>37524</v>
      </c>
      <c r="E170" s="11">
        <v>5262155</v>
      </c>
      <c r="F170" s="1">
        <v>12825</v>
      </c>
      <c r="G170" s="11">
        <v>2328221</v>
      </c>
      <c r="H170" s="1">
        <v>12144</v>
      </c>
      <c r="I170" s="11">
        <v>2406926</v>
      </c>
      <c r="J170" s="45">
        <v>0</v>
      </c>
      <c r="K170" s="11">
        <v>0</v>
      </c>
      <c r="L170" s="45">
        <v>0</v>
      </c>
      <c r="M170" s="11">
        <v>0</v>
      </c>
      <c r="N170" s="1">
        <v>16557</v>
      </c>
      <c r="O170" s="11">
        <v>3637927</v>
      </c>
      <c r="P170" s="1">
        <v>300</v>
      </c>
      <c r="Q170" s="11">
        <v>70769</v>
      </c>
      <c r="R170" s="1">
        <v>5446</v>
      </c>
      <c r="S170" s="11">
        <v>589306</v>
      </c>
      <c r="T170" s="53">
        <f t="shared" si="82"/>
        <v>84796</v>
      </c>
      <c r="U170" s="54">
        <f t="shared" si="83"/>
        <v>14295304</v>
      </c>
      <c r="V170" s="2" t="s">
        <v>62</v>
      </c>
      <c r="Y170" s="2" t="s">
        <v>8</v>
      </c>
      <c r="Z170" s="2">
        <v>2025</v>
      </c>
      <c r="AA170" s="1">
        <f t="shared" si="84"/>
        <v>62493</v>
      </c>
      <c r="AB170" s="11">
        <f t="shared" si="85"/>
        <v>9997302</v>
      </c>
      <c r="AC170" s="1">
        <f t="shared" si="86"/>
        <v>0</v>
      </c>
      <c r="AD170" s="11">
        <f t="shared" si="86"/>
        <v>0</v>
      </c>
      <c r="AE170" s="8">
        <f t="shared" si="86"/>
        <v>0</v>
      </c>
      <c r="AF170" s="11">
        <f t="shared" si="86"/>
        <v>0</v>
      </c>
      <c r="AG170" s="8">
        <f t="shared" si="86"/>
        <v>16557</v>
      </c>
      <c r="AH170" s="11">
        <f t="shared" si="86"/>
        <v>3637927</v>
      </c>
      <c r="AI170" s="8">
        <f t="shared" si="86"/>
        <v>300</v>
      </c>
      <c r="AJ170" s="11">
        <f t="shared" si="86"/>
        <v>70769</v>
      </c>
      <c r="AK170" s="11">
        <f t="shared" si="86"/>
        <v>5446</v>
      </c>
      <c r="AL170" s="11">
        <f t="shared" si="86"/>
        <v>589306</v>
      </c>
      <c r="AM170" s="8">
        <f t="shared" si="90"/>
        <v>84796</v>
      </c>
      <c r="AN170" s="11">
        <f t="shared" si="87"/>
        <v>14295304</v>
      </c>
      <c r="AO170" s="2" t="str">
        <f t="shared" si="88"/>
        <v>CAMS</v>
      </c>
      <c r="AP170" s="37">
        <f t="shared" si="89"/>
        <v>0</v>
      </c>
      <c r="AQ170" s="37">
        <f t="shared" si="89"/>
        <v>0</v>
      </c>
    </row>
    <row r="171" spans="1:43" x14ac:dyDescent="0.25">
      <c r="B171" s="2" t="s">
        <v>9</v>
      </c>
      <c r="C171" s="2">
        <v>2025</v>
      </c>
      <c r="D171" s="1">
        <v>36481</v>
      </c>
      <c r="E171" s="11">
        <v>5318982</v>
      </c>
      <c r="F171" s="1">
        <v>13263</v>
      </c>
      <c r="G171" s="11">
        <v>2489633</v>
      </c>
      <c r="H171" s="1">
        <v>12434</v>
      </c>
      <c r="I171" s="11">
        <v>2456290</v>
      </c>
      <c r="J171" s="45">
        <v>0</v>
      </c>
      <c r="K171" s="11">
        <v>0</v>
      </c>
      <c r="L171" s="45">
        <v>0</v>
      </c>
      <c r="M171" s="11">
        <v>0</v>
      </c>
      <c r="N171" s="1">
        <v>17544</v>
      </c>
      <c r="O171" s="11">
        <v>3859972</v>
      </c>
      <c r="P171" s="1">
        <v>494</v>
      </c>
      <c r="Q171" s="11">
        <v>123046</v>
      </c>
      <c r="R171" s="1">
        <v>5208</v>
      </c>
      <c r="S171" s="11">
        <v>553221</v>
      </c>
      <c r="T171" s="53">
        <f t="shared" si="82"/>
        <v>85424</v>
      </c>
      <c r="U171" s="54">
        <f t="shared" si="83"/>
        <v>14801144</v>
      </c>
      <c r="V171" s="2" t="s">
        <v>62</v>
      </c>
      <c r="Y171" s="2" t="s">
        <v>9</v>
      </c>
      <c r="Z171" s="2">
        <v>2025</v>
      </c>
      <c r="AA171" s="1">
        <f t="shared" si="84"/>
        <v>62178</v>
      </c>
      <c r="AB171" s="11">
        <f t="shared" si="85"/>
        <v>10264905</v>
      </c>
      <c r="AC171" s="1">
        <f t="shared" si="86"/>
        <v>0</v>
      </c>
      <c r="AD171" s="11">
        <f t="shared" si="86"/>
        <v>0</v>
      </c>
      <c r="AE171" s="8">
        <f t="shared" si="86"/>
        <v>0</v>
      </c>
      <c r="AF171" s="11">
        <f t="shared" si="86"/>
        <v>0</v>
      </c>
      <c r="AG171" s="8">
        <f t="shared" si="86"/>
        <v>17544</v>
      </c>
      <c r="AH171" s="11">
        <f t="shared" si="86"/>
        <v>3859972</v>
      </c>
      <c r="AI171" s="8">
        <f t="shared" si="86"/>
        <v>494</v>
      </c>
      <c r="AJ171" s="11">
        <f t="shared" si="86"/>
        <v>123046</v>
      </c>
      <c r="AK171" s="11">
        <f t="shared" si="86"/>
        <v>5208</v>
      </c>
      <c r="AL171" s="11">
        <f t="shared" si="86"/>
        <v>553221</v>
      </c>
      <c r="AM171" s="8">
        <f t="shared" si="90"/>
        <v>85424</v>
      </c>
      <c r="AN171" s="11">
        <f t="shared" si="87"/>
        <v>14801144</v>
      </c>
      <c r="AO171" s="2" t="str">
        <f t="shared" si="88"/>
        <v>CAMS</v>
      </c>
      <c r="AP171" s="37">
        <f t="shared" si="89"/>
        <v>0</v>
      </c>
      <c r="AQ171" s="37">
        <f t="shared" si="89"/>
        <v>0</v>
      </c>
    </row>
    <row r="172" spans="1:43" x14ac:dyDescent="0.25">
      <c r="B172" s="2" t="s">
        <v>10</v>
      </c>
      <c r="C172" s="2">
        <v>2025</v>
      </c>
      <c r="D172" s="1">
        <v>36508</v>
      </c>
      <c r="E172" s="11">
        <v>5494946</v>
      </c>
      <c r="F172" s="1">
        <v>13369</v>
      </c>
      <c r="G172" s="11">
        <v>2439523</v>
      </c>
      <c r="H172" s="1">
        <v>13439</v>
      </c>
      <c r="I172" s="11">
        <v>2766490</v>
      </c>
      <c r="J172" s="45">
        <v>0</v>
      </c>
      <c r="K172" s="11">
        <v>0</v>
      </c>
      <c r="L172" s="45">
        <v>0</v>
      </c>
      <c r="M172" s="11">
        <v>0</v>
      </c>
      <c r="N172" s="1">
        <v>16833</v>
      </c>
      <c r="O172" s="11">
        <v>3733244</v>
      </c>
      <c r="P172" s="1">
        <v>620</v>
      </c>
      <c r="Q172" s="11">
        <v>149840</v>
      </c>
      <c r="R172" s="1">
        <v>5376</v>
      </c>
      <c r="S172" s="11">
        <v>609063</v>
      </c>
      <c r="T172" s="53">
        <f t="shared" si="82"/>
        <v>86145</v>
      </c>
      <c r="U172" s="54">
        <f t="shared" si="83"/>
        <v>15193106</v>
      </c>
      <c r="V172" s="2" t="s">
        <v>62</v>
      </c>
      <c r="Y172" s="2" t="s">
        <v>10</v>
      </c>
      <c r="Z172" s="2">
        <v>2025</v>
      </c>
      <c r="AA172" s="1">
        <f t="shared" si="84"/>
        <v>63316</v>
      </c>
      <c r="AB172" s="11">
        <f t="shared" si="85"/>
        <v>10700959</v>
      </c>
      <c r="AC172" s="1">
        <f t="shared" si="86"/>
        <v>0</v>
      </c>
      <c r="AD172" s="11">
        <f t="shared" si="86"/>
        <v>0</v>
      </c>
      <c r="AE172" s="8">
        <f t="shared" si="86"/>
        <v>0</v>
      </c>
      <c r="AF172" s="11">
        <f t="shared" si="86"/>
        <v>0</v>
      </c>
      <c r="AG172" s="8">
        <f t="shared" si="86"/>
        <v>16833</v>
      </c>
      <c r="AH172" s="11">
        <f t="shared" si="86"/>
        <v>3733244</v>
      </c>
      <c r="AI172" s="8">
        <f t="shared" si="86"/>
        <v>620</v>
      </c>
      <c r="AJ172" s="11">
        <f t="shared" si="86"/>
        <v>149840</v>
      </c>
      <c r="AK172" s="11">
        <f t="shared" si="86"/>
        <v>5376</v>
      </c>
      <c r="AL172" s="11">
        <f t="shared" si="86"/>
        <v>609063</v>
      </c>
      <c r="AM172" s="8">
        <f t="shared" si="90"/>
        <v>86145</v>
      </c>
      <c r="AN172" s="11">
        <f t="shared" si="87"/>
        <v>15193106</v>
      </c>
      <c r="AO172" s="2" t="str">
        <f t="shared" si="88"/>
        <v>CAMS</v>
      </c>
      <c r="AP172" s="37">
        <f t="shared" si="89"/>
        <v>0</v>
      </c>
      <c r="AQ172" s="37">
        <f t="shared" si="89"/>
        <v>0</v>
      </c>
    </row>
    <row r="173" spans="1:43" x14ac:dyDescent="0.25">
      <c r="B173" s="2" t="s">
        <v>11</v>
      </c>
      <c r="C173" s="2">
        <v>2025</v>
      </c>
      <c r="D173" s="1">
        <v>39490</v>
      </c>
      <c r="E173" s="11">
        <v>5780494</v>
      </c>
      <c r="F173" s="1">
        <v>13222</v>
      </c>
      <c r="G173" s="11">
        <v>2410626</v>
      </c>
      <c r="H173" s="1">
        <v>13791</v>
      </c>
      <c r="I173" s="11">
        <v>2839621</v>
      </c>
      <c r="J173" s="45">
        <v>0</v>
      </c>
      <c r="K173" s="11">
        <v>0</v>
      </c>
      <c r="L173" s="45">
        <v>0</v>
      </c>
      <c r="M173" s="11">
        <v>0</v>
      </c>
      <c r="N173" s="1">
        <v>18453</v>
      </c>
      <c r="O173" s="11">
        <v>4083865</v>
      </c>
      <c r="P173" s="1">
        <v>567</v>
      </c>
      <c r="Q173" s="11">
        <v>135319</v>
      </c>
      <c r="R173" s="1">
        <v>7071</v>
      </c>
      <c r="S173" s="11">
        <v>821780</v>
      </c>
      <c r="T173" s="53">
        <f t="shared" si="82"/>
        <v>92594</v>
      </c>
      <c r="U173" s="54">
        <f t="shared" si="83"/>
        <v>16071705</v>
      </c>
      <c r="V173" s="2" t="s">
        <v>62</v>
      </c>
      <c r="Y173" s="2" t="s">
        <v>11</v>
      </c>
      <c r="Z173" s="2">
        <v>2025</v>
      </c>
      <c r="AA173" s="1">
        <f t="shared" si="84"/>
        <v>66503</v>
      </c>
      <c r="AB173" s="11">
        <f t="shared" si="85"/>
        <v>11030741</v>
      </c>
      <c r="AC173" s="1">
        <f t="shared" si="86"/>
        <v>0</v>
      </c>
      <c r="AD173" s="11">
        <f t="shared" si="86"/>
        <v>0</v>
      </c>
      <c r="AE173" s="8">
        <f t="shared" si="86"/>
        <v>0</v>
      </c>
      <c r="AF173" s="11">
        <f t="shared" si="86"/>
        <v>0</v>
      </c>
      <c r="AG173" s="8">
        <f t="shared" si="86"/>
        <v>18453</v>
      </c>
      <c r="AH173" s="11">
        <f t="shared" si="86"/>
        <v>4083865</v>
      </c>
      <c r="AI173" s="8">
        <f t="shared" si="86"/>
        <v>567</v>
      </c>
      <c r="AJ173" s="11">
        <f t="shared" si="86"/>
        <v>135319</v>
      </c>
      <c r="AK173" s="11">
        <f t="shared" si="86"/>
        <v>7071</v>
      </c>
      <c r="AL173" s="11">
        <f t="shared" si="86"/>
        <v>821780</v>
      </c>
      <c r="AM173" s="8">
        <f t="shared" si="90"/>
        <v>92594</v>
      </c>
      <c r="AN173" s="11">
        <f t="shared" si="87"/>
        <v>16071705</v>
      </c>
      <c r="AO173" s="2" t="str">
        <f t="shared" si="88"/>
        <v>CAMS</v>
      </c>
      <c r="AP173" s="37">
        <f t="shared" si="89"/>
        <v>0</v>
      </c>
      <c r="AQ173" s="37">
        <f t="shared" si="89"/>
        <v>0</v>
      </c>
    </row>
    <row r="174" spans="1:43" x14ac:dyDescent="0.25">
      <c r="B174" s="2" t="s">
        <v>4</v>
      </c>
      <c r="C174" s="2">
        <v>2025</v>
      </c>
      <c r="D174" s="1">
        <v>39664</v>
      </c>
      <c r="E174" s="11">
        <v>5790800</v>
      </c>
      <c r="F174" s="1">
        <v>13321</v>
      </c>
      <c r="G174" s="11">
        <v>2442210</v>
      </c>
      <c r="H174" s="1">
        <v>16335</v>
      </c>
      <c r="I174" s="11">
        <v>3482813</v>
      </c>
      <c r="J174" s="45">
        <v>0</v>
      </c>
      <c r="K174" s="11">
        <v>0</v>
      </c>
      <c r="L174" s="45">
        <v>0</v>
      </c>
      <c r="M174" s="11">
        <v>0</v>
      </c>
      <c r="N174" s="1">
        <v>18113</v>
      </c>
      <c r="O174" s="11">
        <v>3993518</v>
      </c>
      <c r="P174" s="1">
        <v>577</v>
      </c>
      <c r="Q174" s="11">
        <v>131975</v>
      </c>
      <c r="R174" s="1">
        <v>7930</v>
      </c>
      <c r="S174" s="11">
        <v>904401</v>
      </c>
      <c r="T174" s="53">
        <f t="shared" si="82"/>
        <v>95940</v>
      </c>
      <c r="U174" s="54">
        <f t="shared" si="83"/>
        <v>16745717</v>
      </c>
      <c r="V174" s="2" t="s">
        <v>62</v>
      </c>
      <c r="Y174" s="2" t="s">
        <v>4</v>
      </c>
      <c r="Z174" s="2">
        <v>2025</v>
      </c>
      <c r="AA174" s="1">
        <f t="shared" si="84"/>
        <v>69320</v>
      </c>
      <c r="AB174" s="11">
        <f t="shared" si="85"/>
        <v>11715823</v>
      </c>
      <c r="AC174" s="1">
        <f t="shared" si="86"/>
        <v>0</v>
      </c>
      <c r="AD174" s="11">
        <f t="shared" si="86"/>
        <v>0</v>
      </c>
      <c r="AE174" s="8">
        <f t="shared" si="86"/>
        <v>0</v>
      </c>
      <c r="AF174" s="11">
        <f t="shared" si="86"/>
        <v>0</v>
      </c>
      <c r="AG174" s="8">
        <f t="shared" si="86"/>
        <v>18113</v>
      </c>
      <c r="AH174" s="11">
        <f t="shared" si="86"/>
        <v>3993518</v>
      </c>
      <c r="AI174" s="8">
        <f t="shared" si="86"/>
        <v>577</v>
      </c>
      <c r="AJ174" s="11">
        <f t="shared" si="86"/>
        <v>131975</v>
      </c>
      <c r="AK174" s="11">
        <f t="shared" si="86"/>
        <v>7930</v>
      </c>
      <c r="AL174" s="11">
        <f t="shared" si="86"/>
        <v>904401</v>
      </c>
      <c r="AM174" s="27">
        <f t="shared" si="90"/>
        <v>95940</v>
      </c>
      <c r="AN174" s="14">
        <f t="shared" si="87"/>
        <v>16745717</v>
      </c>
      <c r="AO174" s="2" t="str">
        <f t="shared" si="88"/>
        <v>CAMS</v>
      </c>
      <c r="AP174" s="37">
        <f t="shared" si="89"/>
        <v>0</v>
      </c>
      <c r="AQ174" s="37">
        <f t="shared" si="89"/>
        <v>0</v>
      </c>
    </row>
    <row r="175" spans="1:43" x14ac:dyDescent="0.25">
      <c r="B175" s="2" t="s">
        <v>28</v>
      </c>
      <c r="C175" s="2">
        <v>2025</v>
      </c>
      <c r="D175" s="1">
        <v>35933</v>
      </c>
      <c r="E175" s="11">
        <v>5360973</v>
      </c>
      <c r="F175" s="1">
        <v>13172</v>
      </c>
      <c r="G175" s="11">
        <v>2442751</v>
      </c>
      <c r="H175" s="1">
        <v>12545</v>
      </c>
      <c r="I175" s="11">
        <v>2451466</v>
      </c>
      <c r="J175" s="45">
        <v>0</v>
      </c>
      <c r="K175" s="11">
        <v>0</v>
      </c>
      <c r="L175" s="45">
        <v>0</v>
      </c>
      <c r="M175" s="11">
        <v>0</v>
      </c>
      <c r="N175" s="1">
        <v>17507</v>
      </c>
      <c r="O175" s="11">
        <v>3809096</v>
      </c>
      <c r="P175" s="1">
        <v>695</v>
      </c>
      <c r="Q175" s="11">
        <v>169119</v>
      </c>
      <c r="R175" s="1">
        <v>7729</v>
      </c>
      <c r="S175" s="11">
        <v>937780</v>
      </c>
      <c r="T175" s="53">
        <f t="shared" si="82"/>
        <v>87581</v>
      </c>
      <c r="U175" s="54">
        <f t="shared" si="83"/>
        <v>15171185</v>
      </c>
      <c r="V175" s="2" t="s">
        <v>62</v>
      </c>
      <c r="Y175" s="2" t="s">
        <v>28</v>
      </c>
      <c r="Z175" s="2">
        <v>2025</v>
      </c>
      <c r="AA175" s="1">
        <f t="shared" si="84"/>
        <v>61650</v>
      </c>
      <c r="AB175" s="11">
        <f t="shared" si="85"/>
        <v>10255190</v>
      </c>
      <c r="AC175" s="1">
        <f t="shared" si="86"/>
        <v>0</v>
      </c>
      <c r="AD175" s="11">
        <f t="shared" si="86"/>
        <v>0</v>
      </c>
      <c r="AE175" s="8">
        <f t="shared" si="86"/>
        <v>0</v>
      </c>
      <c r="AF175" s="11">
        <f t="shared" si="86"/>
        <v>0</v>
      </c>
      <c r="AG175" s="8">
        <f t="shared" si="86"/>
        <v>17507</v>
      </c>
      <c r="AH175" s="11">
        <f t="shared" si="86"/>
        <v>3809096</v>
      </c>
      <c r="AI175" s="8">
        <f t="shared" si="86"/>
        <v>695</v>
      </c>
      <c r="AJ175" s="11">
        <f t="shared" si="86"/>
        <v>169119</v>
      </c>
      <c r="AK175" s="11">
        <f t="shared" si="86"/>
        <v>7729</v>
      </c>
      <c r="AL175" s="11">
        <f t="shared" si="86"/>
        <v>937780</v>
      </c>
      <c r="AM175" s="8">
        <f t="shared" si="90"/>
        <v>87581</v>
      </c>
      <c r="AN175" s="11">
        <f t="shared" si="87"/>
        <v>15171185</v>
      </c>
      <c r="AO175" s="2" t="str">
        <f t="shared" si="88"/>
        <v>CAMS</v>
      </c>
      <c r="AP175" s="37">
        <f t="shared" si="89"/>
        <v>0</v>
      </c>
      <c r="AQ175" s="37">
        <f t="shared" si="89"/>
        <v>0</v>
      </c>
    </row>
    <row r="176" spans="1:43" x14ac:dyDescent="0.25">
      <c r="B176" s="2" t="s">
        <v>29</v>
      </c>
      <c r="C176" s="2">
        <v>2025</v>
      </c>
      <c r="D176" s="1">
        <v>38966</v>
      </c>
      <c r="E176" s="11">
        <v>5791735</v>
      </c>
      <c r="F176" s="1">
        <v>14271</v>
      </c>
      <c r="G176" s="11">
        <v>2672565</v>
      </c>
      <c r="H176" s="1">
        <v>11767</v>
      </c>
      <c r="I176" s="11">
        <v>2159982</v>
      </c>
      <c r="J176" s="45">
        <v>0</v>
      </c>
      <c r="K176" s="11">
        <v>0</v>
      </c>
      <c r="L176" s="45">
        <v>0</v>
      </c>
      <c r="M176" s="11">
        <v>0</v>
      </c>
      <c r="N176" s="1">
        <v>18351</v>
      </c>
      <c r="O176" s="11">
        <v>4008866</v>
      </c>
      <c r="P176" s="1">
        <v>775</v>
      </c>
      <c r="Q176" s="11">
        <v>189379</v>
      </c>
      <c r="R176" s="1">
        <v>9058</v>
      </c>
      <c r="S176" s="11">
        <v>1144986</v>
      </c>
      <c r="T176" s="53">
        <f t="shared" si="82"/>
        <v>93188</v>
      </c>
      <c r="U176" s="54">
        <f t="shared" si="83"/>
        <v>15967513</v>
      </c>
      <c r="V176" s="2" t="s">
        <v>62</v>
      </c>
      <c r="Y176" s="2" t="s">
        <v>29</v>
      </c>
      <c r="Z176" s="2">
        <v>2025</v>
      </c>
      <c r="AA176" s="1">
        <f t="shared" si="84"/>
        <v>65004</v>
      </c>
      <c r="AB176" s="11">
        <f t="shared" si="85"/>
        <v>10624282</v>
      </c>
      <c r="AC176" s="1">
        <f t="shared" si="86"/>
        <v>0</v>
      </c>
      <c r="AD176" s="11">
        <f t="shared" si="86"/>
        <v>0</v>
      </c>
      <c r="AE176" s="8">
        <f t="shared" si="86"/>
        <v>0</v>
      </c>
      <c r="AF176" s="11">
        <f t="shared" si="86"/>
        <v>0</v>
      </c>
      <c r="AG176" s="8">
        <f t="shared" si="86"/>
        <v>18351</v>
      </c>
      <c r="AH176" s="11">
        <f t="shared" si="86"/>
        <v>4008866</v>
      </c>
      <c r="AI176" s="8">
        <f t="shared" si="86"/>
        <v>775</v>
      </c>
      <c r="AJ176" s="11">
        <f t="shared" si="86"/>
        <v>189379</v>
      </c>
      <c r="AK176" s="11">
        <f t="shared" si="86"/>
        <v>9058</v>
      </c>
      <c r="AL176" s="11">
        <f t="shared" si="86"/>
        <v>1144986</v>
      </c>
      <c r="AM176" s="8">
        <f t="shared" si="90"/>
        <v>93188</v>
      </c>
      <c r="AN176" s="11">
        <f t="shared" si="87"/>
        <v>15967513</v>
      </c>
      <c r="AO176" s="2" t="str">
        <f t="shared" si="88"/>
        <v>CAMS</v>
      </c>
      <c r="AP176" s="37">
        <f t="shared" si="89"/>
        <v>0</v>
      </c>
      <c r="AQ176" s="37">
        <f t="shared" si="89"/>
        <v>0</v>
      </c>
    </row>
    <row r="177" spans="1:43" x14ac:dyDescent="0.25">
      <c r="B177" s="2" t="s">
        <v>30</v>
      </c>
      <c r="C177" s="2">
        <v>2025</v>
      </c>
      <c r="D177" s="1">
        <v>37398</v>
      </c>
      <c r="E177" s="11">
        <v>5552662</v>
      </c>
      <c r="F177" s="1">
        <v>13427</v>
      </c>
      <c r="G177" s="11">
        <v>2500427</v>
      </c>
      <c r="H177" s="1">
        <v>12111</v>
      </c>
      <c r="I177" s="11">
        <v>2222465</v>
      </c>
      <c r="J177" s="1">
        <v>0</v>
      </c>
      <c r="K177" s="11">
        <v>0</v>
      </c>
      <c r="L177" s="1">
        <v>0</v>
      </c>
      <c r="M177" s="11">
        <v>0</v>
      </c>
      <c r="N177" s="1">
        <v>17245</v>
      </c>
      <c r="O177" s="11">
        <v>3729730</v>
      </c>
      <c r="P177" s="1">
        <v>796</v>
      </c>
      <c r="Q177" s="11">
        <v>186797</v>
      </c>
      <c r="R177" s="1">
        <v>9178</v>
      </c>
      <c r="S177" s="11">
        <v>1192248</v>
      </c>
      <c r="T177" s="53">
        <f t="shared" si="82"/>
        <v>90155</v>
      </c>
      <c r="U177" s="54">
        <f t="shared" si="83"/>
        <v>15384329</v>
      </c>
      <c r="V177" s="2" t="s">
        <v>62</v>
      </c>
      <c r="Y177" s="2" t="s">
        <v>30</v>
      </c>
      <c r="Z177" s="2">
        <v>2025</v>
      </c>
      <c r="AA177" s="1">
        <f t="shared" si="84"/>
        <v>62936</v>
      </c>
      <c r="AB177" s="11">
        <f t="shared" si="85"/>
        <v>10275554</v>
      </c>
      <c r="AC177" s="1">
        <f t="shared" si="86"/>
        <v>0</v>
      </c>
      <c r="AD177" s="11">
        <f t="shared" si="86"/>
        <v>0</v>
      </c>
      <c r="AE177" s="8">
        <f t="shared" si="86"/>
        <v>0</v>
      </c>
      <c r="AF177" s="11">
        <f t="shared" si="86"/>
        <v>0</v>
      </c>
      <c r="AG177" s="8">
        <f t="shared" si="86"/>
        <v>17245</v>
      </c>
      <c r="AH177" s="11">
        <f t="shared" si="86"/>
        <v>3729730</v>
      </c>
      <c r="AI177" s="8">
        <f t="shared" si="86"/>
        <v>796</v>
      </c>
      <c r="AJ177" s="11">
        <f t="shared" si="86"/>
        <v>186797</v>
      </c>
      <c r="AK177" s="11">
        <f t="shared" si="86"/>
        <v>9178</v>
      </c>
      <c r="AL177" s="11">
        <f t="shared" si="86"/>
        <v>1192248</v>
      </c>
      <c r="AM177" s="79">
        <f t="shared" si="90"/>
        <v>90155</v>
      </c>
      <c r="AN177" s="80">
        <f t="shared" si="87"/>
        <v>15384329</v>
      </c>
      <c r="AO177" s="2" t="str">
        <f t="shared" si="88"/>
        <v>CAMS</v>
      </c>
      <c r="AP177" s="37">
        <f t="shared" si="89"/>
        <v>0</v>
      </c>
      <c r="AQ177" s="37">
        <f t="shared" si="89"/>
        <v>0</v>
      </c>
    </row>
    <row r="178" spans="1:43" x14ac:dyDescent="0.25">
      <c r="B178" s="2" t="s">
        <v>31</v>
      </c>
      <c r="C178" s="2">
        <v>2025</v>
      </c>
      <c r="D178" s="1">
        <v>39265</v>
      </c>
      <c r="E178" s="11">
        <v>5467689</v>
      </c>
      <c r="F178" s="1">
        <v>12434</v>
      </c>
      <c r="G178" s="11">
        <v>2314777</v>
      </c>
      <c r="H178" s="1">
        <v>11487</v>
      </c>
      <c r="I178" s="11">
        <v>2133014</v>
      </c>
      <c r="J178" s="1">
        <v>0</v>
      </c>
      <c r="K178" s="11">
        <v>0</v>
      </c>
      <c r="L178" s="1">
        <v>0</v>
      </c>
      <c r="M178" s="11">
        <v>0</v>
      </c>
      <c r="N178" s="1">
        <v>16701</v>
      </c>
      <c r="O178" s="11">
        <v>3571150</v>
      </c>
      <c r="P178" s="1">
        <v>857</v>
      </c>
      <c r="Q178" s="11">
        <v>197804</v>
      </c>
      <c r="R178" s="1">
        <v>10094</v>
      </c>
      <c r="S178" s="11">
        <v>1236887</v>
      </c>
      <c r="T178" s="53">
        <f t="shared" si="82"/>
        <v>90838</v>
      </c>
      <c r="U178" s="54">
        <f t="shared" si="83"/>
        <v>14921321</v>
      </c>
      <c r="V178" s="2" t="s">
        <v>62</v>
      </c>
      <c r="W178" s="13"/>
      <c r="Y178" s="2" t="s">
        <v>31</v>
      </c>
      <c r="Z178" s="2">
        <v>2025</v>
      </c>
      <c r="AA178" s="1">
        <f t="shared" si="84"/>
        <v>63186</v>
      </c>
      <c r="AB178" s="11">
        <f t="shared" si="85"/>
        <v>9915480</v>
      </c>
      <c r="AC178" s="1">
        <f t="shared" si="86"/>
        <v>0</v>
      </c>
      <c r="AD178" s="11">
        <f t="shared" si="86"/>
        <v>0</v>
      </c>
      <c r="AE178" s="8">
        <f t="shared" si="86"/>
        <v>0</v>
      </c>
      <c r="AF178" s="11">
        <f t="shared" si="86"/>
        <v>0</v>
      </c>
      <c r="AG178" s="8">
        <f t="shared" si="86"/>
        <v>16701</v>
      </c>
      <c r="AH178" s="11">
        <f t="shared" si="86"/>
        <v>3571150</v>
      </c>
      <c r="AI178" s="8">
        <f t="shared" si="86"/>
        <v>857</v>
      </c>
      <c r="AJ178" s="11">
        <f t="shared" si="86"/>
        <v>197804</v>
      </c>
      <c r="AK178" s="11">
        <f t="shared" si="86"/>
        <v>10094</v>
      </c>
      <c r="AL178" s="11">
        <f t="shared" si="86"/>
        <v>1236887</v>
      </c>
      <c r="AM178" s="8">
        <f t="shared" si="90"/>
        <v>90838</v>
      </c>
      <c r="AN178" s="11">
        <f t="shared" si="87"/>
        <v>14921321</v>
      </c>
      <c r="AO178" s="2" t="str">
        <f t="shared" si="88"/>
        <v>CAMS</v>
      </c>
      <c r="AP178" s="37">
        <f t="shared" si="89"/>
        <v>0</v>
      </c>
      <c r="AQ178" s="37">
        <f t="shared" si="89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91">SUM(D167:D179)</f>
        <v>439942</v>
      </c>
      <c r="E180" s="12">
        <f t="shared" si="91"/>
        <v>64205919</v>
      </c>
      <c r="F180" s="4">
        <f t="shared" si="91"/>
        <v>156979</v>
      </c>
      <c r="G180" s="12">
        <f t="shared" si="91"/>
        <v>29012526</v>
      </c>
      <c r="H180" s="4">
        <f t="shared" si="91"/>
        <v>155100</v>
      </c>
      <c r="I180" s="12">
        <f t="shared" si="91"/>
        <v>30858808</v>
      </c>
      <c r="J180" s="4">
        <f t="shared" si="91"/>
        <v>0</v>
      </c>
      <c r="K180" s="12">
        <f t="shared" si="91"/>
        <v>0</v>
      </c>
      <c r="L180" s="4">
        <f t="shared" si="91"/>
        <v>0</v>
      </c>
      <c r="M180" s="12">
        <f t="shared" si="91"/>
        <v>0</v>
      </c>
      <c r="N180" s="4">
        <f t="shared" si="91"/>
        <v>211769</v>
      </c>
      <c r="O180" s="12">
        <f t="shared" si="91"/>
        <v>46595516</v>
      </c>
      <c r="P180" s="4">
        <f>SUM(P167:P179)</f>
        <v>6422</v>
      </c>
      <c r="Q180" s="12">
        <f>SUM(Q167:Q179)</f>
        <v>1540284</v>
      </c>
      <c r="R180" s="4">
        <f>SUM(R167:R179)</f>
        <v>80098</v>
      </c>
      <c r="S180" s="12">
        <f>SUM(S167:S179)</f>
        <v>9392183</v>
      </c>
      <c r="T180" s="4">
        <f t="shared" si="91"/>
        <v>1050310</v>
      </c>
      <c r="U180" s="12">
        <f t="shared" si="91"/>
        <v>181605236</v>
      </c>
      <c r="Y180" s="3" t="s">
        <v>12</v>
      </c>
      <c r="Z180" s="3"/>
      <c r="AA180" s="4">
        <f t="shared" ref="AA180:AN180" si="92">SUM(AA167:AA179)</f>
        <v>752021</v>
      </c>
      <c r="AB180" s="12">
        <f t="shared" si="92"/>
        <v>124077253</v>
      </c>
      <c r="AC180" s="4">
        <f t="shared" si="92"/>
        <v>0</v>
      </c>
      <c r="AD180" s="12">
        <f t="shared" si="92"/>
        <v>0</v>
      </c>
      <c r="AE180" s="4">
        <f t="shared" si="92"/>
        <v>0</v>
      </c>
      <c r="AF180" s="12">
        <f t="shared" si="92"/>
        <v>0</v>
      </c>
      <c r="AG180" s="4">
        <f t="shared" si="92"/>
        <v>211769</v>
      </c>
      <c r="AH180" s="12">
        <f t="shared" si="92"/>
        <v>46595516</v>
      </c>
      <c r="AI180" s="4">
        <f t="shared" si="92"/>
        <v>6422</v>
      </c>
      <c r="AJ180" s="12">
        <f t="shared" si="92"/>
        <v>1540284</v>
      </c>
      <c r="AK180" s="4">
        <f t="shared" si="92"/>
        <v>80098</v>
      </c>
      <c r="AL180" s="12">
        <f t="shared" si="92"/>
        <v>9392183</v>
      </c>
      <c r="AM180" s="4">
        <f t="shared" si="92"/>
        <v>1050310</v>
      </c>
      <c r="AN180" s="12">
        <f t="shared" si="92"/>
        <v>181605236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77791.5</v>
      </c>
      <c r="U181" s="28">
        <f>AVERAGE(U167:U168)</f>
        <v>13725699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0"/>
      <c r="F185" s="89" t="s">
        <v>71</v>
      </c>
      <c r="G185" s="90"/>
      <c r="H185" s="89" t="s">
        <v>16</v>
      </c>
      <c r="I185" s="90"/>
      <c r="J185" s="89" t="s">
        <v>17</v>
      </c>
      <c r="K185" s="93"/>
      <c r="L185" s="89" t="s">
        <v>18</v>
      </c>
      <c r="M185" s="93"/>
      <c r="N185" s="89" t="s">
        <v>13</v>
      </c>
      <c r="O185" s="93"/>
      <c r="P185" s="89" t="s">
        <v>34</v>
      </c>
      <c r="Q185" s="93"/>
      <c r="R185" s="89" t="s">
        <v>87</v>
      </c>
      <c r="S185" s="93"/>
      <c r="T185" s="89" t="s">
        <v>12</v>
      </c>
      <c r="U185" s="93"/>
      <c r="AA185" s="89" t="s">
        <v>69</v>
      </c>
      <c r="AB185" s="90"/>
      <c r="AC185" s="89" t="s">
        <v>17</v>
      </c>
      <c r="AD185" s="93"/>
      <c r="AE185" s="89" t="s">
        <v>18</v>
      </c>
      <c r="AF185" s="93"/>
      <c r="AG185" s="89" t="s">
        <v>13</v>
      </c>
      <c r="AH185" s="93"/>
      <c r="AI185" s="89" t="s">
        <v>34</v>
      </c>
      <c r="AJ185" s="93"/>
      <c r="AK185" s="89" t="s">
        <v>87</v>
      </c>
      <c r="AL185" s="93"/>
      <c r="AM185" s="89" t="s">
        <v>12</v>
      </c>
      <c r="AN185" s="93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2025</v>
      </c>
      <c r="D188" s="1">
        <v>1532</v>
      </c>
      <c r="E188" s="11">
        <v>585707</v>
      </c>
      <c r="F188" s="8">
        <v>1328</v>
      </c>
      <c r="G188" s="11">
        <v>450849</v>
      </c>
      <c r="H188" s="1">
        <v>617</v>
      </c>
      <c r="I188" s="11">
        <v>251428</v>
      </c>
      <c r="J188" s="1">
        <v>59696</v>
      </c>
      <c r="K188" s="11">
        <v>25542328</v>
      </c>
      <c r="L188" s="1">
        <v>3501</v>
      </c>
      <c r="M188" s="11">
        <v>1571458</v>
      </c>
      <c r="N188" s="1">
        <v>2376</v>
      </c>
      <c r="O188" s="11">
        <v>972837</v>
      </c>
      <c r="P188" s="8">
        <v>1</v>
      </c>
      <c r="Q188" s="11">
        <v>497</v>
      </c>
      <c r="R188" s="8">
        <v>509</v>
      </c>
      <c r="S188" s="11">
        <v>131525</v>
      </c>
      <c r="T188" s="53">
        <f t="shared" ref="T188:T199" si="93">N188+L188+J188+H188+D188+P188+F188+R188</f>
        <v>69560</v>
      </c>
      <c r="U188" s="54">
        <f t="shared" ref="U188:U199" si="94">O188+M188+K188+I188+E188+Q188+G188+S188</f>
        <v>29506629</v>
      </c>
      <c r="V188" s="2" t="s">
        <v>63</v>
      </c>
      <c r="Y188" s="2" t="s">
        <v>5</v>
      </c>
      <c r="Z188" s="2">
        <v>2025</v>
      </c>
      <c r="AA188" s="1">
        <f t="shared" ref="AA188:AA199" si="95">D188+H188+F188</f>
        <v>3477</v>
      </c>
      <c r="AB188" s="11">
        <f t="shared" ref="AB188:AB199" si="96">E188+I188+G188</f>
        <v>1287984</v>
      </c>
      <c r="AC188" s="1">
        <f t="shared" ref="AC188:AL199" si="97">+J188</f>
        <v>59696</v>
      </c>
      <c r="AD188" s="11">
        <f t="shared" si="97"/>
        <v>25542328</v>
      </c>
      <c r="AE188" s="8">
        <f t="shared" si="97"/>
        <v>3501</v>
      </c>
      <c r="AF188" s="11">
        <f t="shared" si="97"/>
        <v>1571458</v>
      </c>
      <c r="AG188" s="8">
        <f t="shared" si="97"/>
        <v>2376</v>
      </c>
      <c r="AH188" s="11">
        <f t="shared" si="97"/>
        <v>972837</v>
      </c>
      <c r="AI188" s="8">
        <f t="shared" si="97"/>
        <v>1</v>
      </c>
      <c r="AJ188" s="11">
        <f t="shared" si="97"/>
        <v>497</v>
      </c>
      <c r="AK188" s="11">
        <f t="shared" si="97"/>
        <v>509</v>
      </c>
      <c r="AL188" s="11">
        <f t="shared" si="97"/>
        <v>131525</v>
      </c>
      <c r="AM188" s="8">
        <f>AI188+AG188+AE188+AC188+AA188+AK188</f>
        <v>69560</v>
      </c>
      <c r="AN188" s="11">
        <f t="shared" ref="AN188:AN199" si="98">AJ188+AH188+AF188+AD188+AB188+AL188</f>
        <v>29506629</v>
      </c>
      <c r="AO188" s="2" t="str">
        <f t="shared" ref="AO188:AO199" si="99">+V188</f>
        <v>CALH</v>
      </c>
      <c r="AP188" s="37">
        <f t="shared" ref="AP188:AQ199" si="100">+AM188-T188</f>
        <v>0</v>
      </c>
      <c r="AQ188" s="37">
        <f t="shared" si="100"/>
        <v>0</v>
      </c>
    </row>
    <row r="189" spans="1:43" x14ac:dyDescent="0.25">
      <c r="B189" s="2" t="s">
        <v>6</v>
      </c>
      <c r="C189" s="2">
        <v>2025</v>
      </c>
      <c r="D189" s="1">
        <v>1339</v>
      </c>
      <c r="E189" s="11">
        <v>561984</v>
      </c>
      <c r="F189" s="8">
        <v>1214</v>
      </c>
      <c r="G189" s="11">
        <v>393002</v>
      </c>
      <c r="H189" s="1">
        <v>524</v>
      </c>
      <c r="I189" s="11">
        <v>232395</v>
      </c>
      <c r="J189" s="1">
        <v>53834</v>
      </c>
      <c r="K189" s="11">
        <v>21484651</v>
      </c>
      <c r="L189" s="1">
        <v>3033</v>
      </c>
      <c r="M189" s="11">
        <v>1268655</v>
      </c>
      <c r="N189" s="1">
        <v>2243</v>
      </c>
      <c r="O189" s="11">
        <v>865620</v>
      </c>
      <c r="P189" s="8">
        <v>0</v>
      </c>
      <c r="Q189" s="11">
        <v>0</v>
      </c>
      <c r="R189" s="8">
        <v>400</v>
      </c>
      <c r="S189" s="11">
        <v>110890</v>
      </c>
      <c r="T189" s="53">
        <f t="shared" si="93"/>
        <v>62587</v>
      </c>
      <c r="U189" s="54">
        <f t="shared" si="94"/>
        <v>24917197</v>
      </c>
      <c r="V189" s="2" t="s">
        <v>63</v>
      </c>
      <c r="Y189" s="2" t="s">
        <v>6</v>
      </c>
      <c r="Z189" s="2">
        <v>2025</v>
      </c>
      <c r="AA189" s="1">
        <f t="shared" si="95"/>
        <v>3077</v>
      </c>
      <c r="AB189" s="11">
        <f t="shared" si="96"/>
        <v>1187381</v>
      </c>
      <c r="AC189" s="1">
        <f t="shared" si="97"/>
        <v>53834</v>
      </c>
      <c r="AD189" s="11">
        <f t="shared" si="97"/>
        <v>21484651</v>
      </c>
      <c r="AE189" s="8">
        <f t="shared" si="97"/>
        <v>3033</v>
      </c>
      <c r="AF189" s="11">
        <f t="shared" si="97"/>
        <v>1268655</v>
      </c>
      <c r="AG189" s="8">
        <f t="shared" si="97"/>
        <v>2243</v>
      </c>
      <c r="AH189" s="11">
        <f t="shared" si="97"/>
        <v>865620</v>
      </c>
      <c r="AI189" s="8">
        <f t="shared" si="97"/>
        <v>0</v>
      </c>
      <c r="AJ189" s="11">
        <f t="shared" si="97"/>
        <v>0</v>
      </c>
      <c r="AK189" s="11">
        <f t="shared" si="97"/>
        <v>400</v>
      </c>
      <c r="AL189" s="11">
        <f t="shared" si="97"/>
        <v>110890</v>
      </c>
      <c r="AM189" s="8">
        <f t="shared" ref="AM189:AM199" si="101">AI189+AG189+AE189+AC189+AA189+AK189</f>
        <v>62587</v>
      </c>
      <c r="AN189" s="11">
        <f t="shared" si="98"/>
        <v>24917197</v>
      </c>
      <c r="AO189" s="2" t="str">
        <f t="shared" si="99"/>
        <v>CALH</v>
      </c>
      <c r="AP189" s="37">
        <f t="shared" si="100"/>
        <v>0</v>
      </c>
      <c r="AQ189" s="37">
        <f t="shared" si="100"/>
        <v>0</v>
      </c>
    </row>
    <row r="190" spans="1:43" x14ac:dyDescent="0.25">
      <c r="B190" s="2" t="s">
        <v>7</v>
      </c>
      <c r="C190" s="2">
        <v>2025</v>
      </c>
      <c r="D190" s="1">
        <v>1459</v>
      </c>
      <c r="E190" s="11">
        <v>610615</v>
      </c>
      <c r="F190" s="8">
        <v>1267</v>
      </c>
      <c r="G190" s="11">
        <v>449853</v>
      </c>
      <c r="H190" s="1">
        <v>634</v>
      </c>
      <c r="I190" s="11">
        <v>291119</v>
      </c>
      <c r="J190" s="1">
        <v>58167</v>
      </c>
      <c r="K190" s="11">
        <v>25309578</v>
      </c>
      <c r="L190" s="1">
        <v>3484</v>
      </c>
      <c r="M190" s="11">
        <v>1608310</v>
      </c>
      <c r="N190" s="1">
        <v>2417</v>
      </c>
      <c r="O190" s="11">
        <v>1012152</v>
      </c>
      <c r="P190" s="8">
        <v>0</v>
      </c>
      <c r="Q190" s="11">
        <v>0</v>
      </c>
      <c r="R190" s="8">
        <v>453</v>
      </c>
      <c r="S190" s="11">
        <v>130858</v>
      </c>
      <c r="T190" s="53">
        <f t="shared" si="93"/>
        <v>67881</v>
      </c>
      <c r="U190" s="54">
        <f t="shared" si="94"/>
        <v>29412485</v>
      </c>
      <c r="V190" s="2" t="s">
        <v>63</v>
      </c>
      <c r="X190" s="13"/>
      <c r="Y190" s="2" t="s">
        <v>7</v>
      </c>
      <c r="Z190" s="2">
        <v>2025</v>
      </c>
      <c r="AA190" s="1">
        <f t="shared" si="95"/>
        <v>3360</v>
      </c>
      <c r="AB190" s="11">
        <f t="shared" si="96"/>
        <v>1351587</v>
      </c>
      <c r="AC190" s="1">
        <f t="shared" si="97"/>
        <v>58167</v>
      </c>
      <c r="AD190" s="11">
        <f t="shared" si="97"/>
        <v>25309578</v>
      </c>
      <c r="AE190" s="8">
        <f t="shared" si="97"/>
        <v>3484</v>
      </c>
      <c r="AF190" s="11">
        <f t="shared" si="97"/>
        <v>1608310</v>
      </c>
      <c r="AG190" s="8">
        <f t="shared" si="97"/>
        <v>2417</v>
      </c>
      <c r="AH190" s="11">
        <f t="shared" si="97"/>
        <v>1012152</v>
      </c>
      <c r="AI190" s="8">
        <f t="shared" si="97"/>
        <v>0</v>
      </c>
      <c r="AJ190" s="11">
        <f t="shared" si="97"/>
        <v>0</v>
      </c>
      <c r="AK190" s="11">
        <f t="shared" si="97"/>
        <v>453</v>
      </c>
      <c r="AL190" s="11">
        <f t="shared" si="97"/>
        <v>130858</v>
      </c>
      <c r="AM190" s="8">
        <f t="shared" si="101"/>
        <v>67881</v>
      </c>
      <c r="AN190" s="11">
        <f t="shared" si="98"/>
        <v>29412485</v>
      </c>
      <c r="AO190" s="2" t="str">
        <f t="shared" si="99"/>
        <v>CALH</v>
      </c>
      <c r="AP190" s="37">
        <f t="shared" si="100"/>
        <v>0</v>
      </c>
      <c r="AQ190" s="37">
        <f t="shared" si="100"/>
        <v>0</v>
      </c>
    </row>
    <row r="191" spans="1:43" x14ac:dyDescent="0.25">
      <c r="B191" s="2" t="s">
        <v>8</v>
      </c>
      <c r="C191" s="2">
        <v>2025</v>
      </c>
      <c r="D191" s="1">
        <v>1539</v>
      </c>
      <c r="E191" s="11">
        <v>609779</v>
      </c>
      <c r="F191" s="8">
        <v>1283</v>
      </c>
      <c r="G191" s="11">
        <v>430652</v>
      </c>
      <c r="H191" s="1">
        <v>534</v>
      </c>
      <c r="I191" s="11">
        <v>237511</v>
      </c>
      <c r="J191" s="1">
        <v>55939</v>
      </c>
      <c r="K191" s="11">
        <v>23806794</v>
      </c>
      <c r="L191" s="1">
        <v>3387</v>
      </c>
      <c r="M191" s="11">
        <v>1582802</v>
      </c>
      <c r="N191" s="1">
        <v>2207</v>
      </c>
      <c r="O191" s="11">
        <v>898317</v>
      </c>
      <c r="P191" s="8">
        <v>0</v>
      </c>
      <c r="Q191" s="11">
        <v>0</v>
      </c>
      <c r="R191" s="8">
        <v>517</v>
      </c>
      <c r="S191" s="11">
        <v>136703</v>
      </c>
      <c r="T191" s="53">
        <f t="shared" si="93"/>
        <v>65406</v>
      </c>
      <c r="U191" s="54">
        <f t="shared" si="94"/>
        <v>27702558</v>
      </c>
      <c r="V191" s="2" t="s">
        <v>63</v>
      </c>
      <c r="X191" s="13"/>
      <c r="Y191" s="2" t="s">
        <v>8</v>
      </c>
      <c r="Z191" s="2">
        <v>2025</v>
      </c>
      <c r="AA191" s="1">
        <f t="shared" si="95"/>
        <v>3356</v>
      </c>
      <c r="AB191" s="11">
        <f t="shared" si="96"/>
        <v>1277942</v>
      </c>
      <c r="AC191" s="1">
        <f t="shared" si="97"/>
        <v>55939</v>
      </c>
      <c r="AD191" s="11">
        <f t="shared" si="97"/>
        <v>23806794</v>
      </c>
      <c r="AE191" s="8">
        <f t="shared" si="97"/>
        <v>3387</v>
      </c>
      <c r="AF191" s="11">
        <f t="shared" si="97"/>
        <v>1582802</v>
      </c>
      <c r="AG191" s="8">
        <f t="shared" si="97"/>
        <v>2207</v>
      </c>
      <c r="AH191" s="11">
        <f t="shared" si="97"/>
        <v>898317</v>
      </c>
      <c r="AI191" s="8">
        <f t="shared" si="97"/>
        <v>0</v>
      </c>
      <c r="AJ191" s="11">
        <f t="shared" si="97"/>
        <v>0</v>
      </c>
      <c r="AK191" s="11">
        <f t="shared" si="97"/>
        <v>517</v>
      </c>
      <c r="AL191" s="11">
        <f t="shared" si="97"/>
        <v>136703</v>
      </c>
      <c r="AM191" s="8">
        <f t="shared" si="101"/>
        <v>65406</v>
      </c>
      <c r="AN191" s="11">
        <f t="shared" si="98"/>
        <v>27702558</v>
      </c>
      <c r="AO191" s="2" t="str">
        <f t="shared" si="99"/>
        <v>CALH</v>
      </c>
      <c r="AP191" s="37">
        <f t="shared" si="100"/>
        <v>0</v>
      </c>
      <c r="AQ191" s="37">
        <f t="shared" si="100"/>
        <v>0</v>
      </c>
    </row>
    <row r="192" spans="1:43" x14ac:dyDescent="0.25">
      <c r="B192" s="2" t="s">
        <v>9</v>
      </c>
      <c r="C192" s="2">
        <v>2025</v>
      </c>
      <c r="D192" s="1">
        <v>1614</v>
      </c>
      <c r="E192" s="11">
        <v>679463</v>
      </c>
      <c r="F192" s="8">
        <v>1493</v>
      </c>
      <c r="G192" s="11">
        <v>502638</v>
      </c>
      <c r="H192" s="1">
        <v>531</v>
      </c>
      <c r="I192" s="11">
        <v>212980</v>
      </c>
      <c r="J192" s="1">
        <v>58118</v>
      </c>
      <c r="K192" s="11">
        <v>24455654</v>
      </c>
      <c r="L192" s="1">
        <v>3481</v>
      </c>
      <c r="M192" s="11">
        <v>1643814</v>
      </c>
      <c r="N192" s="1">
        <v>2441</v>
      </c>
      <c r="O192" s="11">
        <v>1029582</v>
      </c>
      <c r="P192" s="8">
        <v>2</v>
      </c>
      <c r="Q192" s="11">
        <v>1070</v>
      </c>
      <c r="R192" s="8">
        <v>482</v>
      </c>
      <c r="S192" s="11">
        <v>149367</v>
      </c>
      <c r="T192" s="53">
        <f t="shared" si="93"/>
        <v>68162</v>
      </c>
      <c r="U192" s="54">
        <f t="shared" si="94"/>
        <v>28674568</v>
      </c>
      <c r="V192" s="2" t="s">
        <v>63</v>
      </c>
      <c r="X192" s="13"/>
      <c r="Y192" s="2" t="s">
        <v>9</v>
      </c>
      <c r="Z192" s="2">
        <v>2025</v>
      </c>
      <c r="AA192" s="1">
        <f t="shared" si="95"/>
        <v>3638</v>
      </c>
      <c r="AB192" s="11">
        <f t="shared" si="96"/>
        <v>1395081</v>
      </c>
      <c r="AC192" s="1">
        <f t="shared" si="97"/>
        <v>58118</v>
      </c>
      <c r="AD192" s="11">
        <f t="shared" si="97"/>
        <v>24455654</v>
      </c>
      <c r="AE192" s="8">
        <f t="shared" si="97"/>
        <v>3481</v>
      </c>
      <c r="AF192" s="11">
        <f t="shared" si="97"/>
        <v>1643814</v>
      </c>
      <c r="AG192" s="8">
        <f t="shared" si="97"/>
        <v>2441</v>
      </c>
      <c r="AH192" s="11">
        <f t="shared" si="97"/>
        <v>1029582</v>
      </c>
      <c r="AI192" s="8">
        <f t="shared" si="97"/>
        <v>2</v>
      </c>
      <c r="AJ192" s="11">
        <f t="shared" si="97"/>
        <v>1070</v>
      </c>
      <c r="AK192" s="11">
        <f t="shared" si="97"/>
        <v>482</v>
      </c>
      <c r="AL192" s="11">
        <f t="shared" si="97"/>
        <v>149367</v>
      </c>
      <c r="AM192" s="8">
        <f t="shared" si="101"/>
        <v>68162</v>
      </c>
      <c r="AN192" s="11">
        <f t="shared" si="98"/>
        <v>28674568</v>
      </c>
      <c r="AO192" s="2" t="str">
        <f t="shared" si="99"/>
        <v>CALH</v>
      </c>
      <c r="AP192" s="37">
        <f t="shared" si="100"/>
        <v>0</v>
      </c>
      <c r="AQ192" s="37">
        <f t="shared" si="100"/>
        <v>0</v>
      </c>
    </row>
    <row r="193" spans="1:43" x14ac:dyDescent="0.25">
      <c r="B193" s="2" t="s">
        <v>10</v>
      </c>
      <c r="C193" s="2">
        <v>2025</v>
      </c>
      <c r="D193" s="1">
        <v>1363</v>
      </c>
      <c r="E193" s="11">
        <v>554048</v>
      </c>
      <c r="F193" s="8">
        <v>1474</v>
      </c>
      <c r="G193" s="11">
        <v>497187</v>
      </c>
      <c r="H193" s="1">
        <v>540</v>
      </c>
      <c r="I193" s="11">
        <v>235738</v>
      </c>
      <c r="J193" s="1">
        <v>53660</v>
      </c>
      <c r="K193" s="11">
        <v>22154312</v>
      </c>
      <c r="L193" s="1">
        <v>3026</v>
      </c>
      <c r="M193" s="11">
        <v>1385352</v>
      </c>
      <c r="N193" s="1">
        <v>2282</v>
      </c>
      <c r="O193" s="11">
        <v>933045</v>
      </c>
      <c r="P193" s="8">
        <v>1</v>
      </c>
      <c r="Q193" s="11">
        <v>497</v>
      </c>
      <c r="R193" s="8">
        <v>445</v>
      </c>
      <c r="S193" s="11">
        <v>113920</v>
      </c>
      <c r="T193" s="53">
        <f t="shared" si="93"/>
        <v>62791</v>
      </c>
      <c r="U193" s="54">
        <f t="shared" si="94"/>
        <v>25874099</v>
      </c>
      <c r="V193" s="2" t="s">
        <v>63</v>
      </c>
      <c r="Y193" s="2" t="s">
        <v>10</v>
      </c>
      <c r="Z193" s="2">
        <v>2025</v>
      </c>
      <c r="AA193" s="1">
        <f t="shared" si="95"/>
        <v>3377</v>
      </c>
      <c r="AB193" s="11">
        <f t="shared" si="96"/>
        <v>1286973</v>
      </c>
      <c r="AC193" s="1">
        <f t="shared" si="97"/>
        <v>53660</v>
      </c>
      <c r="AD193" s="11">
        <f t="shared" si="97"/>
        <v>22154312</v>
      </c>
      <c r="AE193" s="8">
        <f t="shared" si="97"/>
        <v>3026</v>
      </c>
      <c r="AF193" s="11">
        <f t="shared" si="97"/>
        <v>1385352</v>
      </c>
      <c r="AG193" s="8">
        <f t="shared" si="97"/>
        <v>2282</v>
      </c>
      <c r="AH193" s="11">
        <f t="shared" si="97"/>
        <v>933045</v>
      </c>
      <c r="AI193" s="8">
        <f t="shared" si="97"/>
        <v>1</v>
      </c>
      <c r="AJ193" s="11">
        <f t="shared" si="97"/>
        <v>497</v>
      </c>
      <c r="AK193" s="11">
        <f t="shared" si="97"/>
        <v>445</v>
      </c>
      <c r="AL193" s="11">
        <f t="shared" si="97"/>
        <v>113920</v>
      </c>
      <c r="AM193" s="8">
        <f t="shared" si="101"/>
        <v>62791</v>
      </c>
      <c r="AN193" s="11">
        <f t="shared" si="98"/>
        <v>25874099</v>
      </c>
      <c r="AO193" s="2" t="str">
        <f t="shared" si="99"/>
        <v>CALH</v>
      </c>
      <c r="AP193" s="37">
        <f t="shared" si="100"/>
        <v>0</v>
      </c>
      <c r="AQ193" s="37">
        <f t="shared" si="100"/>
        <v>0</v>
      </c>
    </row>
    <row r="194" spans="1:43" x14ac:dyDescent="0.25">
      <c r="B194" s="2" t="s">
        <v>11</v>
      </c>
      <c r="C194" s="2">
        <v>2025</v>
      </c>
      <c r="D194" s="1">
        <v>1229</v>
      </c>
      <c r="E194" s="11">
        <v>435526</v>
      </c>
      <c r="F194" s="8">
        <v>1438</v>
      </c>
      <c r="G194" s="11">
        <v>466059</v>
      </c>
      <c r="H194" s="1">
        <v>367</v>
      </c>
      <c r="I194" s="11">
        <v>132321</v>
      </c>
      <c r="J194" s="1">
        <v>49641</v>
      </c>
      <c r="K194" s="11">
        <v>20332676</v>
      </c>
      <c r="L194" s="1">
        <v>3137</v>
      </c>
      <c r="M194" s="11">
        <v>1366695</v>
      </c>
      <c r="N194" s="1">
        <v>2252</v>
      </c>
      <c r="O194" s="11">
        <v>883795</v>
      </c>
      <c r="P194" s="8">
        <v>1</v>
      </c>
      <c r="Q194" s="11">
        <v>151</v>
      </c>
      <c r="R194" s="8">
        <v>520</v>
      </c>
      <c r="S194" s="11">
        <v>112557</v>
      </c>
      <c r="T194" s="53">
        <f t="shared" si="93"/>
        <v>58585</v>
      </c>
      <c r="U194" s="54">
        <f t="shared" si="94"/>
        <v>23729780</v>
      </c>
      <c r="V194" s="2" t="s">
        <v>63</v>
      </c>
      <c r="Y194" s="2" t="s">
        <v>11</v>
      </c>
      <c r="Z194" s="2">
        <v>2025</v>
      </c>
      <c r="AA194" s="1">
        <f t="shared" si="95"/>
        <v>3034</v>
      </c>
      <c r="AB194" s="11">
        <f t="shared" si="96"/>
        <v>1033906</v>
      </c>
      <c r="AC194" s="1">
        <f t="shared" si="97"/>
        <v>49641</v>
      </c>
      <c r="AD194" s="11">
        <f t="shared" si="97"/>
        <v>20332676</v>
      </c>
      <c r="AE194" s="8">
        <f t="shared" si="97"/>
        <v>3137</v>
      </c>
      <c r="AF194" s="11">
        <f t="shared" si="97"/>
        <v>1366695</v>
      </c>
      <c r="AG194" s="8">
        <f t="shared" si="97"/>
        <v>2252</v>
      </c>
      <c r="AH194" s="11">
        <f t="shared" si="97"/>
        <v>883795</v>
      </c>
      <c r="AI194" s="8">
        <f t="shared" si="97"/>
        <v>1</v>
      </c>
      <c r="AJ194" s="11">
        <f t="shared" si="97"/>
        <v>151</v>
      </c>
      <c r="AK194" s="11">
        <f t="shared" si="97"/>
        <v>520</v>
      </c>
      <c r="AL194" s="11">
        <f t="shared" si="97"/>
        <v>112557</v>
      </c>
      <c r="AM194" s="8">
        <f t="shared" si="101"/>
        <v>58585</v>
      </c>
      <c r="AN194" s="11">
        <f t="shared" si="98"/>
        <v>23729780</v>
      </c>
      <c r="AO194" s="2" t="str">
        <f t="shared" si="99"/>
        <v>CALH</v>
      </c>
      <c r="AP194" s="37">
        <f t="shared" si="100"/>
        <v>0</v>
      </c>
      <c r="AQ194" s="37">
        <f t="shared" si="100"/>
        <v>0</v>
      </c>
    </row>
    <row r="195" spans="1:43" x14ac:dyDescent="0.25">
      <c r="B195" s="2" t="s">
        <v>4</v>
      </c>
      <c r="C195" s="2">
        <v>2025</v>
      </c>
      <c r="D195" s="1">
        <v>1208</v>
      </c>
      <c r="E195" s="11">
        <v>438190</v>
      </c>
      <c r="F195" s="8">
        <v>1287</v>
      </c>
      <c r="G195" s="11">
        <v>423574</v>
      </c>
      <c r="H195" s="1">
        <v>364</v>
      </c>
      <c r="I195" s="11">
        <v>119884</v>
      </c>
      <c r="J195" s="1">
        <v>54644</v>
      </c>
      <c r="K195" s="11">
        <v>21802467</v>
      </c>
      <c r="L195" s="1">
        <v>3477</v>
      </c>
      <c r="M195" s="11">
        <v>1537035</v>
      </c>
      <c r="N195" s="1">
        <v>2126</v>
      </c>
      <c r="O195" s="11">
        <v>851470</v>
      </c>
      <c r="P195" s="8">
        <v>0</v>
      </c>
      <c r="Q195" s="11">
        <v>0</v>
      </c>
      <c r="R195" s="8">
        <v>513</v>
      </c>
      <c r="S195" s="11">
        <v>128425</v>
      </c>
      <c r="T195" s="53">
        <f t="shared" si="93"/>
        <v>63619</v>
      </c>
      <c r="U195" s="54">
        <f t="shared" si="94"/>
        <v>25301045</v>
      </c>
      <c r="V195" s="2" t="s">
        <v>63</v>
      </c>
      <c r="Y195" s="2" t="s">
        <v>4</v>
      </c>
      <c r="Z195" s="2">
        <v>2025</v>
      </c>
      <c r="AA195" s="1">
        <f t="shared" si="95"/>
        <v>2859</v>
      </c>
      <c r="AB195" s="11">
        <f t="shared" si="96"/>
        <v>981648</v>
      </c>
      <c r="AC195" s="1">
        <f t="shared" si="97"/>
        <v>54644</v>
      </c>
      <c r="AD195" s="11">
        <f t="shared" si="97"/>
        <v>21802467</v>
      </c>
      <c r="AE195" s="8">
        <f t="shared" si="97"/>
        <v>3477</v>
      </c>
      <c r="AF195" s="11">
        <f t="shared" si="97"/>
        <v>1537035</v>
      </c>
      <c r="AG195" s="8">
        <f t="shared" si="97"/>
        <v>2126</v>
      </c>
      <c r="AH195" s="11">
        <f t="shared" si="97"/>
        <v>851470</v>
      </c>
      <c r="AI195" s="8">
        <f t="shared" si="97"/>
        <v>0</v>
      </c>
      <c r="AJ195" s="11">
        <f t="shared" si="97"/>
        <v>0</v>
      </c>
      <c r="AK195" s="11">
        <f t="shared" si="97"/>
        <v>513</v>
      </c>
      <c r="AL195" s="11">
        <f t="shared" si="97"/>
        <v>128425</v>
      </c>
      <c r="AM195" s="27">
        <f t="shared" si="101"/>
        <v>63619</v>
      </c>
      <c r="AN195" s="14">
        <f t="shared" si="98"/>
        <v>25301045</v>
      </c>
      <c r="AO195" s="2" t="str">
        <f t="shared" si="99"/>
        <v>CALH</v>
      </c>
      <c r="AP195" s="37">
        <f t="shared" si="100"/>
        <v>0</v>
      </c>
      <c r="AQ195" s="37">
        <f t="shared" si="100"/>
        <v>0</v>
      </c>
    </row>
    <row r="196" spans="1:43" x14ac:dyDescent="0.25">
      <c r="B196" s="2" t="s">
        <v>28</v>
      </c>
      <c r="C196" s="2">
        <v>2025</v>
      </c>
      <c r="D196" s="1">
        <v>1098</v>
      </c>
      <c r="E196" s="11">
        <v>424361</v>
      </c>
      <c r="F196" s="8">
        <v>1206</v>
      </c>
      <c r="G196" s="11">
        <v>403881</v>
      </c>
      <c r="H196" s="1">
        <v>350</v>
      </c>
      <c r="I196" s="11">
        <v>126830</v>
      </c>
      <c r="J196" s="1">
        <v>51706</v>
      </c>
      <c r="K196" s="11">
        <v>20645784</v>
      </c>
      <c r="L196" s="1">
        <v>3079</v>
      </c>
      <c r="M196" s="11">
        <v>1373754</v>
      </c>
      <c r="N196" s="1">
        <v>1958</v>
      </c>
      <c r="O196" s="11">
        <v>776402</v>
      </c>
      <c r="P196" s="8">
        <v>0</v>
      </c>
      <c r="Q196" s="11">
        <v>0</v>
      </c>
      <c r="R196" s="8">
        <v>413</v>
      </c>
      <c r="S196" s="11">
        <v>113627</v>
      </c>
      <c r="T196" s="53">
        <f t="shared" si="93"/>
        <v>59810</v>
      </c>
      <c r="U196" s="54">
        <f t="shared" si="94"/>
        <v>23864639</v>
      </c>
      <c r="V196" s="2" t="s">
        <v>63</v>
      </c>
      <c r="Y196" s="2" t="s">
        <v>28</v>
      </c>
      <c r="Z196" s="2">
        <v>2025</v>
      </c>
      <c r="AA196" s="1">
        <f t="shared" si="95"/>
        <v>2654</v>
      </c>
      <c r="AB196" s="11">
        <f t="shared" si="96"/>
        <v>955072</v>
      </c>
      <c r="AC196" s="1">
        <f t="shared" si="97"/>
        <v>51706</v>
      </c>
      <c r="AD196" s="11">
        <f t="shared" si="97"/>
        <v>20645784</v>
      </c>
      <c r="AE196" s="8">
        <f t="shared" si="97"/>
        <v>3079</v>
      </c>
      <c r="AF196" s="11">
        <f t="shared" si="97"/>
        <v>1373754</v>
      </c>
      <c r="AG196" s="8">
        <f t="shared" si="97"/>
        <v>1958</v>
      </c>
      <c r="AH196" s="11">
        <f t="shared" si="97"/>
        <v>776402</v>
      </c>
      <c r="AI196" s="8">
        <f t="shared" si="97"/>
        <v>0</v>
      </c>
      <c r="AJ196" s="11">
        <f t="shared" si="97"/>
        <v>0</v>
      </c>
      <c r="AK196" s="11">
        <f t="shared" si="97"/>
        <v>413</v>
      </c>
      <c r="AL196" s="11">
        <f t="shared" si="97"/>
        <v>113627</v>
      </c>
      <c r="AM196" s="8">
        <f t="shared" si="101"/>
        <v>59810</v>
      </c>
      <c r="AN196" s="11">
        <f t="shared" si="98"/>
        <v>23864639</v>
      </c>
      <c r="AO196" s="2" t="str">
        <f t="shared" si="99"/>
        <v>CALH</v>
      </c>
      <c r="AP196" s="37">
        <f t="shared" si="100"/>
        <v>0</v>
      </c>
      <c r="AQ196" s="37">
        <f t="shared" si="100"/>
        <v>0</v>
      </c>
    </row>
    <row r="197" spans="1:43" x14ac:dyDescent="0.25">
      <c r="B197" s="2" t="s">
        <v>29</v>
      </c>
      <c r="C197" s="2">
        <v>2025</v>
      </c>
      <c r="D197" s="1">
        <v>1243</v>
      </c>
      <c r="E197" s="11">
        <v>476711</v>
      </c>
      <c r="F197" s="8">
        <v>1326</v>
      </c>
      <c r="G197" s="11">
        <v>451306</v>
      </c>
      <c r="H197" s="1">
        <v>472</v>
      </c>
      <c r="I197" s="11">
        <v>180766</v>
      </c>
      <c r="J197" s="1">
        <v>54601</v>
      </c>
      <c r="K197" s="11">
        <v>21828295</v>
      </c>
      <c r="L197" s="1">
        <v>3757</v>
      </c>
      <c r="M197" s="11">
        <v>1666276</v>
      </c>
      <c r="N197" s="1">
        <v>2367</v>
      </c>
      <c r="O197" s="11">
        <v>956998</v>
      </c>
      <c r="P197" s="8">
        <v>0</v>
      </c>
      <c r="Q197" s="11">
        <v>0</v>
      </c>
      <c r="R197" s="8">
        <v>515</v>
      </c>
      <c r="S197" s="11">
        <v>140523</v>
      </c>
      <c r="T197" s="53">
        <f t="shared" si="93"/>
        <v>64281</v>
      </c>
      <c r="U197" s="54">
        <f t="shared" si="94"/>
        <v>25700875</v>
      </c>
      <c r="V197" s="2" t="s">
        <v>63</v>
      </c>
      <c r="Y197" s="2" t="s">
        <v>29</v>
      </c>
      <c r="Z197" s="2">
        <v>2025</v>
      </c>
      <c r="AA197" s="1">
        <f t="shared" si="95"/>
        <v>3041</v>
      </c>
      <c r="AB197" s="11">
        <f t="shared" si="96"/>
        <v>1108783</v>
      </c>
      <c r="AC197" s="1">
        <f t="shared" si="97"/>
        <v>54601</v>
      </c>
      <c r="AD197" s="11">
        <f t="shared" si="97"/>
        <v>21828295</v>
      </c>
      <c r="AE197" s="8">
        <f t="shared" si="97"/>
        <v>3757</v>
      </c>
      <c r="AF197" s="11">
        <f t="shared" si="97"/>
        <v>1666276</v>
      </c>
      <c r="AG197" s="8">
        <f t="shared" si="97"/>
        <v>2367</v>
      </c>
      <c r="AH197" s="11">
        <f t="shared" si="97"/>
        <v>956998</v>
      </c>
      <c r="AI197" s="8">
        <f t="shared" si="97"/>
        <v>0</v>
      </c>
      <c r="AJ197" s="11">
        <f t="shared" si="97"/>
        <v>0</v>
      </c>
      <c r="AK197" s="11">
        <f t="shared" si="97"/>
        <v>515</v>
      </c>
      <c r="AL197" s="11">
        <f t="shared" si="97"/>
        <v>140523</v>
      </c>
      <c r="AM197" s="8">
        <f t="shared" si="101"/>
        <v>64281</v>
      </c>
      <c r="AN197" s="11">
        <f t="shared" si="98"/>
        <v>25700875</v>
      </c>
      <c r="AO197" s="2" t="str">
        <f t="shared" si="99"/>
        <v>CALH</v>
      </c>
      <c r="AP197" s="37">
        <f t="shared" si="100"/>
        <v>0</v>
      </c>
      <c r="AQ197" s="37">
        <f t="shared" si="100"/>
        <v>0</v>
      </c>
    </row>
    <row r="198" spans="1:43" x14ac:dyDescent="0.25">
      <c r="B198" s="2" t="s">
        <v>30</v>
      </c>
      <c r="C198" s="2">
        <v>2025</v>
      </c>
      <c r="D198" s="1">
        <v>1249</v>
      </c>
      <c r="E198" s="11">
        <v>473871</v>
      </c>
      <c r="F198" s="8">
        <v>1230</v>
      </c>
      <c r="G198" s="11">
        <v>424697</v>
      </c>
      <c r="H198" s="1">
        <v>435</v>
      </c>
      <c r="I198" s="11">
        <v>169444</v>
      </c>
      <c r="J198" s="1">
        <v>52639</v>
      </c>
      <c r="K198" s="11">
        <v>21399300</v>
      </c>
      <c r="L198" s="1">
        <v>3397</v>
      </c>
      <c r="M198" s="11">
        <v>1542603</v>
      </c>
      <c r="N198" s="1">
        <v>2321</v>
      </c>
      <c r="O198" s="11">
        <v>923483</v>
      </c>
      <c r="P198" s="8">
        <v>0</v>
      </c>
      <c r="Q198" s="11">
        <v>0</v>
      </c>
      <c r="R198" s="8">
        <v>627</v>
      </c>
      <c r="S198" s="11">
        <v>173420</v>
      </c>
      <c r="T198" s="53">
        <f t="shared" si="93"/>
        <v>61898</v>
      </c>
      <c r="U198" s="54">
        <f t="shared" si="94"/>
        <v>25106818</v>
      </c>
      <c r="V198" s="2" t="s">
        <v>63</v>
      </c>
      <c r="Y198" s="2" t="s">
        <v>30</v>
      </c>
      <c r="Z198" s="2">
        <v>2025</v>
      </c>
      <c r="AA198" s="1">
        <f t="shared" si="95"/>
        <v>2914</v>
      </c>
      <c r="AB198" s="11">
        <f t="shared" si="96"/>
        <v>1068012</v>
      </c>
      <c r="AC198" s="1">
        <f t="shared" si="97"/>
        <v>52639</v>
      </c>
      <c r="AD198" s="11">
        <f t="shared" si="97"/>
        <v>21399300</v>
      </c>
      <c r="AE198" s="8">
        <f t="shared" si="97"/>
        <v>3397</v>
      </c>
      <c r="AF198" s="11">
        <f t="shared" si="97"/>
        <v>1542603</v>
      </c>
      <c r="AG198" s="8">
        <f t="shared" si="97"/>
        <v>2321</v>
      </c>
      <c r="AH198" s="11">
        <f t="shared" si="97"/>
        <v>923483</v>
      </c>
      <c r="AI198" s="8">
        <f t="shared" si="97"/>
        <v>0</v>
      </c>
      <c r="AJ198" s="11">
        <f t="shared" si="97"/>
        <v>0</v>
      </c>
      <c r="AK198" s="11">
        <f t="shared" si="97"/>
        <v>627</v>
      </c>
      <c r="AL198" s="11">
        <f t="shared" si="97"/>
        <v>173420</v>
      </c>
      <c r="AM198" s="79">
        <f t="shared" si="101"/>
        <v>61898</v>
      </c>
      <c r="AN198" s="80">
        <f t="shared" si="98"/>
        <v>25106818</v>
      </c>
      <c r="AO198" s="2" t="str">
        <f t="shared" si="99"/>
        <v>CALH</v>
      </c>
      <c r="AP198" s="37">
        <f t="shared" si="100"/>
        <v>0</v>
      </c>
      <c r="AQ198" s="37">
        <f t="shared" si="100"/>
        <v>0</v>
      </c>
    </row>
    <row r="199" spans="1:43" x14ac:dyDescent="0.25">
      <c r="B199" s="2" t="s">
        <v>31</v>
      </c>
      <c r="C199" s="2">
        <v>2025</v>
      </c>
      <c r="D199" s="1">
        <v>1559</v>
      </c>
      <c r="E199" s="11">
        <v>561209</v>
      </c>
      <c r="F199" s="8">
        <v>1351</v>
      </c>
      <c r="G199" s="11">
        <v>455606</v>
      </c>
      <c r="H199" s="1">
        <v>507</v>
      </c>
      <c r="I199" s="11">
        <v>204458</v>
      </c>
      <c r="J199" s="1">
        <v>56056</v>
      </c>
      <c r="K199" s="11">
        <v>22934107</v>
      </c>
      <c r="L199" s="1">
        <v>4027</v>
      </c>
      <c r="M199" s="11">
        <v>1831820</v>
      </c>
      <c r="N199" s="1">
        <v>2372</v>
      </c>
      <c r="O199" s="11">
        <v>918973</v>
      </c>
      <c r="P199" s="8">
        <v>1</v>
      </c>
      <c r="Q199" s="11">
        <v>573</v>
      </c>
      <c r="R199" s="8">
        <v>1000</v>
      </c>
      <c r="S199" s="11">
        <v>237164</v>
      </c>
      <c r="T199" s="53">
        <f t="shared" si="93"/>
        <v>66873</v>
      </c>
      <c r="U199" s="54">
        <f t="shared" si="94"/>
        <v>27143910</v>
      </c>
      <c r="V199" s="2" t="s">
        <v>63</v>
      </c>
      <c r="W199" s="13"/>
      <c r="Y199" s="2" t="s">
        <v>31</v>
      </c>
      <c r="Z199" s="2">
        <v>2025</v>
      </c>
      <c r="AA199" s="1">
        <f t="shared" si="95"/>
        <v>3417</v>
      </c>
      <c r="AB199" s="11">
        <f t="shared" si="96"/>
        <v>1221273</v>
      </c>
      <c r="AC199" s="1">
        <f t="shared" si="97"/>
        <v>56056</v>
      </c>
      <c r="AD199" s="11">
        <f t="shared" si="97"/>
        <v>22934107</v>
      </c>
      <c r="AE199" s="8">
        <f t="shared" si="97"/>
        <v>4027</v>
      </c>
      <c r="AF199" s="11">
        <f t="shared" si="97"/>
        <v>1831820</v>
      </c>
      <c r="AG199" s="8">
        <f t="shared" si="97"/>
        <v>2372</v>
      </c>
      <c r="AH199" s="11">
        <f t="shared" si="97"/>
        <v>918973</v>
      </c>
      <c r="AI199" s="8">
        <f t="shared" si="97"/>
        <v>1</v>
      </c>
      <c r="AJ199" s="11">
        <f t="shared" si="97"/>
        <v>573</v>
      </c>
      <c r="AK199" s="11">
        <f t="shared" si="97"/>
        <v>1000</v>
      </c>
      <c r="AL199" s="11">
        <f t="shared" si="97"/>
        <v>237164</v>
      </c>
      <c r="AM199" s="8">
        <f t="shared" si="101"/>
        <v>66873</v>
      </c>
      <c r="AN199" s="11">
        <f t="shared" si="98"/>
        <v>27143910</v>
      </c>
      <c r="AO199" s="2" t="str">
        <f t="shared" si="99"/>
        <v>CALH</v>
      </c>
      <c r="AP199" s="37">
        <f t="shared" si="100"/>
        <v>0</v>
      </c>
      <c r="AQ199" s="37">
        <f t="shared" si="100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102">SUM(D188:D200)</f>
        <v>16432</v>
      </c>
      <c r="E201" s="12">
        <f t="shared" si="102"/>
        <v>6411464</v>
      </c>
      <c r="F201" s="4">
        <f t="shared" si="102"/>
        <v>15897</v>
      </c>
      <c r="G201" s="12">
        <f t="shared" si="102"/>
        <v>5349304</v>
      </c>
      <c r="H201" s="4">
        <f t="shared" si="102"/>
        <v>5875</v>
      </c>
      <c r="I201" s="12">
        <f t="shared" si="102"/>
        <v>2394874</v>
      </c>
      <c r="J201" s="4">
        <f t="shared" si="102"/>
        <v>658701</v>
      </c>
      <c r="K201" s="12">
        <f t="shared" si="102"/>
        <v>271695946</v>
      </c>
      <c r="L201" s="4">
        <f t="shared" si="102"/>
        <v>40786</v>
      </c>
      <c r="M201" s="12">
        <f t="shared" si="102"/>
        <v>18378574</v>
      </c>
      <c r="N201" s="4">
        <f t="shared" si="102"/>
        <v>27362</v>
      </c>
      <c r="O201" s="12">
        <f t="shared" si="102"/>
        <v>11022674</v>
      </c>
      <c r="P201" s="4">
        <f>SUM(P188:P200)</f>
        <v>6</v>
      </c>
      <c r="Q201" s="12">
        <f>SUM(Q188:Q200)</f>
        <v>2788</v>
      </c>
      <c r="R201" s="4">
        <f>SUM(R188:R200)</f>
        <v>6394</v>
      </c>
      <c r="S201" s="12">
        <f>SUM(S188:S200)</f>
        <v>1678979</v>
      </c>
      <c r="T201" s="4">
        <f t="shared" ref="T201:U201" si="103">SUM(T188:T200)</f>
        <v>771453</v>
      </c>
      <c r="U201" s="12">
        <f t="shared" si="103"/>
        <v>316934603</v>
      </c>
      <c r="Y201" s="3" t="s">
        <v>12</v>
      </c>
      <c r="Z201" s="3"/>
      <c r="AA201" s="4">
        <f t="shared" ref="AA201:AN201" si="104">SUM(AA188:AA200)</f>
        <v>38204</v>
      </c>
      <c r="AB201" s="12">
        <f t="shared" si="104"/>
        <v>14155642</v>
      </c>
      <c r="AC201" s="4">
        <f t="shared" si="104"/>
        <v>658701</v>
      </c>
      <c r="AD201" s="12">
        <f t="shared" si="104"/>
        <v>271695946</v>
      </c>
      <c r="AE201" s="4">
        <f t="shared" si="104"/>
        <v>40786</v>
      </c>
      <c r="AF201" s="12">
        <f t="shared" si="104"/>
        <v>18378574</v>
      </c>
      <c r="AG201" s="4">
        <f t="shared" si="104"/>
        <v>27362</v>
      </c>
      <c r="AH201" s="12">
        <f t="shared" si="104"/>
        <v>11022674</v>
      </c>
      <c r="AI201" s="4">
        <f t="shared" si="104"/>
        <v>6</v>
      </c>
      <c r="AJ201" s="12">
        <f t="shared" si="104"/>
        <v>2788</v>
      </c>
      <c r="AK201" s="4">
        <f t="shared" si="104"/>
        <v>6394</v>
      </c>
      <c r="AL201" s="12">
        <f t="shared" si="104"/>
        <v>1678979</v>
      </c>
      <c r="AM201" s="4">
        <f t="shared" si="104"/>
        <v>771453</v>
      </c>
      <c r="AN201" s="12">
        <f t="shared" si="104"/>
        <v>316934603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3267</v>
      </c>
      <c r="M202" s="60">
        <f>AVERAGE(M188:M189)</f>
        <v>1420056.5</v>
      </c>
      <c r="T202" s="15">
        <f>AVERAGE(T188:T189)</f>
        <v>66073.5</v>
      </c>
      <c r="U202" s="28">
        <f t="shared" ref="U202" si="105">AVERAGE(U188:U189)</f>
        <v>27211913</v>
      </c>
    </row>
    <row r="203" spans="1:43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2.1909117733844793E-2</v>
      </c>
      <c r="M203" s="36">
        <f>+M202/$M$371</f>
        <v>5.4644504610426137E-2</v>
      </c>
      <c r="N203" s="18"/>
      <c r="O203" s="19"/>
      <c r="P203" s="19"/>
      <c r="Q203" s="19"/>
      <c r="R203" s="19"/>
      <c r="S203" s="19"/>
      <c r="T203" s="36">
        <f>+L202/T202</f>
        <v>4.9444936320915345E-2</v>
      </c>
      <c r="U203" s="62">
        <f>+M202/U202</f>
        <v>5.2185103634573578E-2</v>
      </c>
    </row>
    <row r="204" spans="1:43" x14ac:dyDescent="0.25">
      <c r="A204" s="67" t="s">
        <v>50</v>
      </c>
      <c r="L204" s="26"/>
      <c r="M204" s="26"/>
    </row>
    <row r="205" spans="1:43" x14ac:dyDescent="0.25">
      <c r="B205" s="5"/>
    </row>
    <row r="206" spans="1:43" x14ac:dyDescent="0.25">
      <c r="D206" s="89" t="s">
        <v>15</v>
      </c>
      <c r="E206" s="90"/>
      <c r="F206" s="89" t="s">
        <v>71</v>
      </c>
      <c r="G206" s="90"/>
      <c r="H206" s="89" t="s">
        <v>16</v>
      </c>
      <c r="I206" s="90"/>
      <c r="J206" s="89" t="s">
        <v>17</v>
      </c>
      <c r="K206" s="93"/>
      <c r="L206" s="89" t="s">
        <v>18</v>
      </c>
      <c r="M206" s="93"/>
      <c r="N206" s="89" t="s">
        <v>13</v>
      </c>
      <c r="O206" s="93"/>
      <c r="P206" s="89" t="s">
        <v>34</v>
      </c>
      <c r="Q206" s="93"/>
      <c r="R206" s="89" t="s">
        <v>87</v>
      </c>
      <c r="S206" s="93"/>
      <c r="T206" s="89" t="s">
        <v>12</v>
      </c>
      <c r="U206" s="93"/>
      <c r="AA206" s="89" t="s">
        <v>69</v>
      </c>
      <c r="AB206" s="90"/>
      <c r="AC206" s="89" t="s">
        <v>17</v>
      </c>
      <c r="AD206" s="93"/>
      <c r="AE206" s="89" t="s">
        <v>18</v>
      </c>
      <c r="AF206" s="93"/>
      <c r="AG206" s="89" t="s">
        <v>13</v>
      </c>
      <c r="AH206" s="93"/>
      <c r="AI206" s="89" t="s">
        <v>34</v>
      </c>
      <c r="AJ206" s="93"/>
      <c r="AK206" s="89" t="s">
        <v>87</v>
      </c>
      <c r="AL206" s="93"/>
      <c r="AM206" s="89" t="s">
        <v>12</v>
      </c>
      <c r="AN206" s="93"/>
    </row>
    <row r="207" spans="1:43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x14ac:dyDescent="0.25">
      <c r="B209" s="2" t="s">
        <v>5</v>
      </c>
      <c r="C209" s="2">
        <v>2025</v>
      </c>
      <c r="D209" s="1"/>
      <c r="E209" s="11"/>
      <c r="F209" s="1"/>
      <c r="G209" s="11"/>
      <c r="H209" s="1"/>
      <c r="I209" s="11"/>
      <c r="J209" s="1"/>
      <c r="K209" s="11"/>
      <c r="L209" s="1"/>
      <c r="M209" s="11"/>
      <c r="N209" s="1"/>
      <c r="O209" s="11"/>
      <c r="P209" s="8"/>
      <c r="Q209" s="11"/>
      <c r="R209" s="8"/>
      <c r="S209" s="11"/>
      <c r="T209" s="53">
        <f t="shared" ref="T209:T220" si="106">N209+L209+J209+H209+D209+P209+F209+R209</f>
        <v>0</v>
      </c>
      <c r="U209" s="54">
        <f t="shared" ref="U209:U220" si="107">O209+M209+K209+I209+E209+Q209+G209+S209</f>
        <v>0</v>
      </c>
      <c r="V209" s="2" t="s">
        <v>64</v>
      </c>
      <c r="Y209" s="2" t="s">
        <v>5</v>
      </c>
      <c r="Z209" s="2">
        <v>2025</v>
      </c>
      <c r="AA209" s="1">
        <f t="shared" ref="AA209:AA220" si="108">D209+H209+F209</f>
        <v>0</v>
      </c>
      <c r="AB209" s="11">
        <f t="shared" ref="AB209:AB220" si="109">E209+I209+G209</f>
        <v>0</v>
      </c>
      <c r="AC209" s="1">
        <f t="shared" ref="AC209:AL220" si="110">+J209</f>
        <v>0</v>
      </c>
      <c r="AD209" s="11">
        <f t="shared" si="110"/>
        <v>0</v>
      </c>
      <c r="AE209" s="8">
        <f t="shared" si="110"/>
        <v>0</v>
      </c>
      <c r="AF209" s="11">
        <f t="shared" si="110"/>
        <v>0</v>
      </c>
      <c r="AG209" s="8">
        <f t="shared" si="110"/>
        <v>0</v>
      </c>
      <c r="AH209" s="11">
        <f t="shared" si="110"/>
        <v>0</v>
      </c>
      <c r="AI209" s="8">
        <f t="shared" si="110"/>
        <v>0</v>
      </c>
      <c r="AJ209" s="11">
        <f t="shared" si="110"/>
        <v>0</v>
      </c>
      <c r="AK209" s="11">
        <f t="shared" si="110"/>
        <v>0</v>
      </c>
      <c r="AL209" s="11">
        <f t="shared" si="110"/>
        <v>0</v>
      </c>
      <c r="AM209" s="8">
        <f>AI209+AG209+AE209+AC209+AA209+AK209</f>
        <v>0</v>
      </c>
      <c r="AN209" s="11">
        <f t="shared" ref="AN209:AN220" si="111">AJ209+AH209+AF209+AD209+AB209+AL209</f>
        <v>0</v>
      </c>
      <c r="AO209" s="2" t="str">
        <f t="shared" ref="AO209:AO220" si="112">+V209</f>
        <v>COBI</v>
      </c>
      <c r="AP209" s="37">
        <f t="shared" ref="AP209:AQ220" si="113">+AM209-T209</f>
        <v>0</v>
      </c>
      <c r="AQ209" s="37">
        <f t="shared" si="113"/>
        <v>0</v>
      </c>
    </row>
    <row r="210" spans="1:43" x14ac:dyDescent="0.25">
      <c r="B210" s="2" t="s">
        <v>6</v>
      </c>
      <c r="C210" s="2">
        <v>2025</v>
      </c>
      <c r="D210" s="1"/>
      <c r="E210" s="11"/>
      <c r="F210" s="1"/>
      <c r="G210" s="11"/>
      <c r="H210" s="1"/>
      <c r="I210" s="11"/>
      <c r="J210" s="1"/>
      <c r="K210" s="11"/>
      <c r="L210" s="1"/>
      <c r="M210" s="11"/>
      <c r="N210" s="1"/>
      <c r="O210" s="11"/>
      <c r="P210" s="8"/>
      <c r="Q210" s="11"/>
      <c r="R210" s="8"/>
      <c r="S210" s="11"/>
      <c r="T210" s="53">
        <f t="shared" si="106"/>
        <v>0</v>
      </c>
      <c r="U210" s="54">
        <f t="shared" si="107"/>
        <v>0</v>
      </c>
      <c r="V210" s="2" t="s">
        <v>64</v>
      </c>
      <c r="Y210" s="2" t="s">
        <v>6</v>
      </c>
      <c r="Z210" s="2">
        <v>2025</v>
      </c>
      <c r="AA210" s="1">
        <f t="shared" si="108"/>
        <v>0</v>
      </c>
      <c r="AB210" s="11">
        <f t="shared" si="109"/>
        <v>0</v>
      </c>
      <c r="AC210" s="1">
        <f t="shared" si="110"/>
        <v>0</v>
      </c>
      <c r="AD210" s="11">
        <f t="shared" si="110"/>
        <v>0</v>
      </c>
      <c r="AE210" s="8">
        <f t="shared" si="110"/>
        <v>0</v>
      </c>
      <c r="AF210" s="11">
        <f t="shared" si="110"/>
        <v>0</v>
      </c>
      <c r="AG210" s="8">
        <f t="shared" si="110"/>
        <v>0</v>
      </c>
      <c r="AH210" s="11">
        <f t="shared" si="110"/>
        <v>0</v>
      </c>
      <c r="AI210" s="8">
        <f t="shared" si="110"/>
        <v>0</v>
      </c>
      <c r="AJ210" s="11">
        <f t="shared" si="110"/>
        <v>0</v>
      </c>
      <c r="AK210" s="11">
        <f t="shared" si="110"/>
        <v>0</v>
      </c>
      <c r="AL210" s="11">
        <f t="shared" si="110"/>
        <v>0</v>
      </c>
      <c r="AM210" s="8">
        <f t="shared" ref="AM210:AM220" si="114">AI210+AG210+AE210+AC210+AA210+AK210</f>
        <v>0</v>
      </c>
      <c r="AN210" s="11">
        <f t="shared" si="111"/>
        <v>0</v>
      </c>
      <c r="AO210" s="2" t="str">
        <f t="shared" si="112"/>
        <v>COBI</v>
      </c>
      <c r="AP210" s="37">
        <f t="shared" si="113"/>
        <v>0</v>
      </c>
      <c r="AQ210" s="37">
        <f t="shared" si="113"/>
        <v>0</v>
      </c>
    </row>
    <row r="211" spans="1:43" x14ac:dyDescent="0.25">
      <c r="B211" s="2" t="s">
        <v>7</v>
      </c>
      <c r="C211" s="2">
        <v>2025</v>
      </c>
      <c r="D211" s="1"/>
      <c r="E211" s="11"/>
      <c r="F211" s="1"/>
      <c r="G211" s="11"/>
      <c r="H211" s="1"/>
      <c r="I211" s="11"/>
      <c r="J211" s="1"/>
      <c r="K211" s="11"/>
      <c r="L211" s="1"/>
      <c r="M211" s="11"/>
      <c r="N211" s="1"/>
      <c r="O211" s="11"/>
      <c r="P211" s="8"/>
      <c r="Q211" s="11"/>
      <c r="R211" s="8"/>
      <c r="S211" s="11"/>
      <c r="T211" s="53">
        <f t="shared" si="106"/>
        <v>0</v>
      </c>
      <c r="U211" s="54">
        <f t="shared" si="107"/>
        <v>0</v>
      </c>
      <c r="V211" s="2" t="s">
        <v>64</v>
      </c>
      <c r="X211" s="13"/>
      <c r="Y211" s="2" t="s">
        <v>7</v>
      </c>
      <c r="Z211" s="2">
        <v>2025</v>
      </c>
      <c r="AA211" s="1">
        <f t="shared" si="108"/>
        <v>0</v>
      </c>
      <c r="AB211" s="11">
        <f t="shared" si="109"/>
        <v>0</v>
      </c>
      <c r="AC211" s="1">
        <f t="shared" si="110"/>
        <v>0</v>
      </c>
      <c r="AD211" s="11">
        <f t="shared" si="110"/>
        <v>0</v>
      </c>
      <c r="AE211" s="8">
        <f t="shared" si="110"/>
        <v>0</v>
      </c>
      <c r="AF211" s="11">
        <f t="shared" si="110"/>
        <v>0</v>
      </c>
      <c r="AG211" s="8">
        <f t="shared" si="110"/>
        <v>0</v>
      </c>
      <c r="AH211" s="11">
        <f t="shared" si="110"/>
        <v>0</v>
      </c>
      <c r="AI211" s="8">
        <f t="shared" si="110"/>
        <v>0</v>
      </c>
      <c r="AJ211" s="11">
        <f t="shared" si="110"/>
        <v>0</v>
      </c>
      <c r="AK211" s="11">
        <f t="shared" si="110"/>
        <v>0</v>
      </c>
      <c r="AL211" s="11">
        <f t="shared" si="110"/>
        <v>0</v>
      </c>
      <c r="AM211" s="8">
        <f t="shared" si="114"/>
        <v>0</v>
      </c>
      <c r="AN211" s="11">
        <f t="shared" si="111"/>
        <v>0</v>
      </c>
      <c r="AO211" s="2" t="str">
        <f t="shared" si="112"/>
        <v>COBI</v>
      </c>
      <c r="AP211" s="37">
        <f t="shared" si="113"/>
        <v>0</v>
      </c>
      <c r="AQ211" s="37">
        <f t="shared" si="113"/>
        <v>0</v>
      </c>
    </row>
    <row r="212" spans="1:43" x14ac:dyDescent="0.25">
      <c r="B212" s="2" t="s">
        <v>8</v>
      </c>
      <c r="C212" s="2">
        <v>2025</v>
      </c>
      <c r="D212" s="1"/>
      <c r="E212" s="11"/>
      <c r="F212" s="1"/>
      <c r="G212" s="11"/>
      <c r="H212" s="1"/>
      <c r="I212" s="11"/>
      <c r="J212" s="1"/>
      <c r="K212" s="11"/>
      <c r="L212" s="1"/>
      <c r="M212" s="11"/>
      <c r="N212" s="1"/>
      <c r="O212" s="11"/>
      <c r="P212" s="8"/>
      <c r="Q212" s="11"/>
      <c r="R212" s="8"/>
      <c r="S212" s="11"/>
      <c r="T212" s="53">
        <f t="shared" si="106"/>
        <v>0</v>
      </c>
      <c r="U212" s="54">
        <f t="shared" si="107"/>
        <v>0</v>
      </c>
      <c r="V212" s="2" t="s">
        <v>64</v>
      </c>
      <c r="X212" s="13"/>
      <c r="Y212" s="2" t="s">
        <v>8</v>
      </c>
      <c r="Z212" s="2">
        <v>2025</v>
      </c>
      <c r="AA212" s="1">
        <f t="shared" si="108"/>
        <v>0</v>
      </c>
      <c r="AB212" s="11">
        <f t="shared" si="109"/>
        <v>0</v>
      </c>
      <c r="AC212" s="1">
        <f t="shared" si="110"/>
        <v>0</v>
      </c>
      <c r="AD212" s="11">
        <f t="shared" si="110"/>
        <v>0</v>
      </c>
      <c r="AE212" s="8">
        <f t="shared" si="110"/>
        <v>0</v>
      </c>
      <c r="AF212" s="11">
        <f t="shared" si="110"/>
        <v>0</v>
      </c>
      <c r="AG212" s="8">
        <f t="shared" si="110"/>
        <v>0</v>
      </c>
      <c r="AH212" s="11">
        <f t="shared" si="110"/>
        <v>0</v>
      </c>
      <c r="AI212" s="8">
        <f t="shared" si="110"/>
        <v>0</v>
      </c>
      <c r="AJ212" s="11">
        <f t="shared" si="110"/>
        <v>0</v>
      </c>
      <c r="AK212" s="11">
        <f t="shared" si="110"/>
        <v>0</v>
      </c>
      <c r="AL212" s="11">
        <f t="shared" si="110"/>
        <v>0</v>
      </c>
      <c r="AM212" s="8">
        <f t="shared" si="114"/>
        <v>0</v>
      </c>
      <c r="AN212" s="11">
        <f t="shared" si="111"/>
        <v>0</v>
      </c>
      <c r="AO212" s="2" t="str">
        <f t="shared" si="112"/>
        <v>COBI</v>
      </c>
      <c r="AP212" s="37">
        <f t="shared" si="113"/>
        <v>0</v>
      </c>
      <c r="AQ212" s="37">
        <f t="shared" si="113"/>
        <v>0</v>
      </c>
    </row>
    <row r="213" spans="1:43" x14ac:dyDescent="0.25">
      <c r="B213" s="2" t="s">
        <v>9</v>
      </c>
      <c r="C213" s="2">
        <v>2025</v>
      </c>
      <c r="D213" s="1"/>
      <c r="E213" s="11"/>
      <c r="F213" s="1"/>
      <c r="G213" s="11"/>
      <c r="H213" s="1"/>
      <c r="I213" s="11"/>
      <c r="J213" s="1"/>
      <c r="K213" s="11"/>
      <c r="L213" s="1"/>
      <c r="M213" s="11"/>
      <c r="N213" s="1"/>
      <c r="O213" s="11"/>
      <c r="P213" s="8"/>
      <c r="Q213" s="11"/>
      <c r="R213" s="8"/>
      <c r="S213" s="11"/>
      <c r="T213" s="53">
        <f t="shared" si="106"/>
        <v>0</v>
      </c>
      <c r="U213" s="54">
        <f t="shared" si="107"/>
        <v>0</v>
      </c>
      <c r="V213" s="2" t="s">
        <v>64</v>
      </c>
      <c r="X213" s="13"/>
      <c r="Y213" s="2" t="s">
        <v>9</v>
      </c>
      <c r="Z213" s="2">
        <v>2025</v>
      </c>
      <c r="AA213" s="1">
        <f t="shared" si="108"/>
        <v>0</v>
      </c>
      <c r="AB213" s="11">
        <f t="shared" si="109"/>
        <v>0</v>
      </c>
      <c r="AC213" s="1">
        <f t="shared" si="110"/>
        <v>0</v>
      </c>
      <c r="AD213" s="11">
        <f t="shared" si="110"/>
        <v>0</v>
      </c>
      <c r="AE213" s="8">
        <f t="shared" si="110"/>
        <v>0</v>
      </c>
      <c r="AF213" s="11">
        <f t="shared" si="110"/>
        <v>0</v>
      </c>
      <c r="AG213" s="8">
        <f t="shared" si="110"/>
        <v>0</v>
      </c>
      <c r="AH213" s="11">
        <f t="shared" si="110"/>
        <v>0</v>
      </c>
      <c r="AI213" s="8">
        <f t="shared" si="110"/>
        <v>0</v>
      </c>
      <c r="AJ213" s="11">
        <f t="shared" si="110"/>
        <v>0</v>
      </c>
      <c r="AK213" s="11">
        <f t="shared" si="110"/>
        <v>0</v>
      </c>
      <c r="AL213" s="11">
        <f t="shared" si="110"/>
        <v>0</v>
      </c>
      <c r="AM213" s="8">
        <f t="shared" si="114"/>
        <v>0</v>
      </c>
      <c r="AN213" s="11">
        <f t="shared" si="111"/>
        <v>0</v>
      </c>
      <c r="AO213" s="2" t="str">
        <f t="shared" si="112"/>
        <v>COBI</v>
      </c>
      <c r="AP213" s="37">
        <f t="shared" si="113"/>
        <v>0</v>
      </c>
      <c r="AQ213" s="37">
        <f t="shared" si="113"/>
        <v>0</v>
      </c>
    </row>
    <row r="214" spans="1:43" x14ac:dyDescent="0.25">
      <c r="B214" s="2" t="s">
        <v>10</v>
      </c>
      <c r="C214" s="2">
        <v>2025</v>
      </c>
      <c r="D214" s="1"/>
      <c r="E214" s="11"/>
      <c r="F214" s="1"/>
      <c r="G214" s="11"/>
      <c r="H214" s="1"/>
      <c r="I214" s="11"/>
      <c r="J214" s="1"/>
      <c r="K214" s="11"/>
      <c r="L214" s="1"/>
      <c r="M214" s="11"/>
      <c r="N214" s="1"/>
      <c r="O214" s="11"/>
      <c r="P214" s="8"/>
      <c r="Q214" s="11"/>
      <c r="R214" s="8"/>
      <c r="S214" s="11"/>
      <c r="T214" s="53">
        <f t="shared" si="106"/>
        <v>0</v>
      </c>
      <c r="U214" s="54">
        <f t="shared" si="107"/>
        <v>0</v>
      </c>
      <c r="V214" s="2" t="s">
        <v>64</v>
      </c>
      <c r="Y214" s="2" t="s">
        <v>10</v>
      </c>
      <c r="Z214" s="2">
        <v>2025</v>
      </c>
      <c r="AA214" s="1">
        <f t="shared" si="108"/>
        <v>0</v>
      </c>
      <c r="AB214" s="11">
        <f t="shared" si="109"/>
        <v>0</v>
      </c>
      <c r="AC214" s="1">
        <f t="shared" si="110"/>
        <v>0</v>
      </c>
      <c r="AD214" s="11">
        <f t="shared" si="110"/>
        <v>0</v>
      </c>
      <c r="AE214" s="8">
        <f t="shared" si="110"/>
        <v>0</v>
      </c>
      <c r="AF214" s="11">
        <f t="shared" si="110"/>
        <v>0</v>
      </c>
      <c r="AG214" s="8">
        <f t="shared" si="110"/>
        <v>0</v>
      </c>
      <c r="AH214" s="11">
        <f t="shared" si="110"/>
        <v>0</v>
      </c>
      <c r="AI214" s="8">
        <f t="shared" si="110"/>
        <v>0</v>
      </c>
      <c r="AJ214" s="11">
        <f t="shared" si="110"/>
        <v>0</v>
      </c>
      <c r="AK214" s="11">
        <f t="shared" si="110"/>
        <v>0</v>
      </c>
      <c r="AL214" s="11">
        <f t="shared" si="110"/>
        <v>0</v>
      </c>
      <c r="AM214" s="8">
        <f t="shared" si="114"/>
        <v>0</v>
      </c>
      <c r="AN214" s="11">
        <f t="shared" si="111"/>
        <v>0</v>
      </c>
      <c r="AO214" s="2" t="str">
        <f t="shared" si="112"/>
        <v>COBI</v>
      </c>
      <c r="AP214" s="37">
        <f t="shared" si="113"/>
        <v>0</v>
      </c>
      <c r="AQ214" s="37">
        <f t="shared" si="113"/>
        <v>0</v>
      </c>
    </row>
    <row r="215" spans="1:43" x14ac:dyDescent="0.25">
      <c r="B215" s="2" t="s">
        <v>11</v>
      </c>
      <c r="C215" s="2">
        <v>2025</v>
      </c>
      <c r="D215" s="1"/>
      <c r="E215" s="11"/>
      <c r="F215" s="1"/>
      <c r="G215" s="11"/>
      <c r="H215" s="1"/>
      <c r="I215" s="11"/>
      <c r="J215" s="1"/>
      <c r="K215" s="11"/>
      <c r="L215" s="1"/>
      <c r="M215" s="11"/>
      <c r="N215" s="1"/>
      <c r="O215" s="11"/>
      <c r="P215" s="8"/>
      <c r="Q215" s="11"/>
      <c r="R215" s="8"/>
      <c r="S215" s="11"/>
      <c r="T215" s="53">
        <f t="shared" si="106"/>
        <v>0</v>
      </c>
      <c r="U215" s="54">
        <f t="shared" si="107"/>
        <v>0</v>
      </c>
      <c r="V215" s="2" t="s">
        <v>64</v>
      </c>
      <c r="X215" s="49"/>
      <c r="Y215" s="2" t="s">
        <v>11</v>
      </c>
      <c r="Z215" s="2">
        <v>2025</v>
      </c>
      <c r="AA215" s="1">
        <f t="shared" si="108"/>
        <v>0</v>
      </c>
      <c r="AB215" s="11">
        <f t="shared" si="109"/>
        <v>0</v>
      </c>
      <c r="AC215" s="1">
        <f t="shared" si="110"/>
        <v>0</v>
      </c>
      <c r="AD215" s="11">
        <f t="shared" si="110"/>
        <v>0</v>
      </c>
      <c r="AE215" s="8">
        <f t="shared" si="110"/>
        <v>0</v>
      </c>
      <c r="AF215" s="11">
        <f t="shared" si="110"/>
        <v>0</v>
      </c>
      <c r="AG215" s="8">
        <f t="shared" si="110"/>
        <v>0</v>
      </c>
      <c r="AH215" s="11">
        <f t="shared" si="110"/>
        <v>0</v>
      </c>
      <c r="AI215" s="8">
        <f t="shared" si="110"/>
        <v>0</v>
      </c>
      <c r="AJ215" s="11">
        <f t="shared" si="110"/>
        <v>0</v>
      </c>
      <c r="AK215" s="11">
        <f t="shared" si="110"/>
        <v>0</v>
      </c>
      <c r="AL215" s="11">
        <f t="shared" si="110"/>
        <v>0</v>
      </c>
      <c r="AM215" s="8">
        <f t="shared" si="114"/>
        <v>0</v>
      </c>
      <c r="AN215" s="11">
        <f t="shared" si="111"/>
        <v>0</v>
      </c>
      <c r="AO215" s="2" t="str">
        <f t="shared" si="112"/>
        <v>COBI</v>
      </c>
      <c r="AP215" s="37">
        <f t="shared" si="113"/>
        <v>0</v>
      </c>
      <c r="AQ215" s="37">
        <f t="shared" si="113"/>
        <v>0</v>
      </c>
    </row>
    <row r="216" spans="1:43" x14ac:dyDescent="0.25">
      <c r="B216" s="2" t="s">
        <v>4</v>
      </c>
      <c r="C216" s="2">
        <v>2025</v>
      </c>
      <c r="D216" s="1"/>
      <c r="E216" s="11"/>
      <c r="F216" s="1"/>
      <c r="G216" s="11"/>
      <c r="H216" s="1"/>
      <c r="I216" s="11"/>
      <c r="J216" s="1"/>
      <c r="K216" s="11"/>
      <c r="L216" s="1"/>
      <c r="M216" s="11"/>
      <c r="N216" s="1"/>
      <c r="O216" s="11"/>
      <c r="P216" s="8"/>
      <c r="Q216" s="11"/>
      <c r="R216" s="8"/>
      <c r="S216" s="11"/>
      <c r="T216" s="53">
        <f t="shared" si="106"/>
        <v>0</v>
      </c>
      <c r="U216" s="54">
        <f t="shared" si="107"/>
        <v>0</v>
      </c>
      <c r="V216" s="2" t="s">
        <v>64</v>
      </c>
      <c r="Y216" s="2" t="s">
        <v>4</v>
      </c>
      <c r="Z216" s="2">
        <v>2025</v>
      </c>
      <c r="AA216" s="1">
        <f t="shared" si="108"/>
        <v>0</v>
      </c>
      <c r="AB216" s="11">
        <f t="shared" si="109"/>
        <v>0</v>
      </c>
      <c r="AC216" s="1">
        <f t="shared" si="110"/>
        <v>0</v>
      </c>
      <c r="AD216" s="11">
        <f t="shared" si="110"/>
        <v>0</v>
      </c>
      <c r="AE216" s="8">
        <f t="shared" si="110"/>
        <v>0</v>
      </c>
      <c r="AF216" s="11">
        <f t="shared" si="110"/>
        <v>0</v>
      </c>
      <c r="AG216" s="8">
        <f t="shared" si="110"/>
        <v>0</v>
      </c>
      <c r="AH216" s="11">
        <f t="shared" si="110"/>
        <v>0</v>
      </c>
      <c r="AI216" s="8">
        <f t="shared" si="110"/>
        <v>0</v>
      </c>
      <c r="AJ216" s="11">
        <f t="shared" si="110"/>
        <v>0</v>
      </c>
      <c r="AK216" s="11">
        <f t="shared" si="110"/>
        <v>0</v>
      </c>
      <c r="AL216" s="11">
        <f t="shared" si="110"/>
        <v>0</v>
      </c>
      <c r="AM216" s="27">
        <f t="shared" si="114"/>
        <v>0</v>
      </c>
      <c r="AN216" s="14">
        <f t="shared" si="111"/>
        <v>0</v>
      </c>
      <c r="AO216" s="2" t="str">
        <f t="shared" si="112"/>
        <v>COBI</v>
      </c>
      <c r="AP216" s="37">
        <f t="shared" si="113"/>
        <v>0</v>
      </c>
      <c r="AQ216" s="37">
        <f t="shared" si="113"/>
        <v>0</v>
      </c>
    </row>
    <row r="217" spans="1:43" x14ac:dyDescent="0.25">
      <c r="B217" s="2" t="s">
        <v>28</v>
      </c>
      <c r="C217" s="2">
        <v>2025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106"/>
        <v>0</v>
      </c>
      <c r="U217" s="54">
        <f t="shared" si="107"/>
        <v>0</v>
      </c>
      <c r="V217" s="2" t="s">
        <v>64</v>
      </c>
      <c r="Y217" s="2" t="s">
        <v>28</v>
      </c>
      <c r="Z217" s="2">
        <v>2025</v>
      </c>
      <c r="AA217" s="1">
        <f t="shared" si="108"/>
        <v>0</v>
      </c>
      <c r="AB217" s="11">
        <f t="shared" si="109"/>
        <v>0</v>
      </c>
      <c r="AC217" s="1">
        <f t="shared" si="110"/>
        <v>0</v>
      </c>
      <c r="AD217" s="11">
        <f t="shared" si="110"/>
        <v>0</v>
      </c>
      <c r="AE217" s="8">
        <f t="shared" si="110"/>
        <v>0</v>
      </c>
      <c r="AF217" s="11">
        <f t="shared" si="110"/>
        <v>0</v>
      </c>
      <c r="AG217" s="8">
        <f t="shared" si="110"/>
        <v>0</v>
      </c>
      <c r="AH217" s="11">
        <f t="shared" si="110"/>
        <v>0</v>
      </c>
      <c r="AI217" s="8">
        <f t="shared" si="110"/>
        <v>0</v>
      </c>
      <c r="AJ217" s="11">
        <f t="shared" si="110"/>
        <v>0</v>
      </c>
      <c r="AK217" s="11">
        <f t="shared" si="110"/>
        <v>0</v>
      </c>
      <c r="AL217" s="11">
        <f t="shared" si="110"/>
        <v>0</v>
      </c>
      <c r="AM217" s="8">
        <f t="shared" si="114"/>
        <v>0</v>
      </c>
      <c r="AN217" s="11">
        <f t="shared" si="111"/>
        <v>0</v>
      </c>
      <c r="AO217" s="2" t="str">
        <f t="shared" si="112"/>
        <v>COBI</v>
      </c>
      <c r="AP217" s="37">
        <f t="shared" si="113"/>
        <v>0</v>
      </c>
      <c r="AQ217" s="37">
        <f t="shared" si="113"/>
        <v>0</v>
      </c>
    </row>
    <row r="218" spans="1:43" x14ac:dyDescent="0.25">
      <c r="B218" s="2" t="s">
        <v>29</v>
      </c>
      <c r="C218" s="2">
        <v>2025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106"/>
        <v>0</v>
      </c>
      <c r="U218" s="54">
        <f t="shared" si="107"/>
        <v>0</v>
      </c>
      <c r="V218" s="2" t="s">
        <v>64</v>
      </c>
      <c r="Y218" s="2" t="s">
        <v>29</v>
      </c>
      <c r="Z218" s="2">
        <v>2025</v>
      </c>
      <c r="AA218" s="1">
        <f t="shared" si="108"/>
        <v>0</v>
      </c>
      <c r="AB218" s="11">
        <f t="shared" si="109"/>
        <v>0</v>
      </c>
      <c r="AC218" s="1">
        <f t="shared" si="110"/>
        <v>0</v>
      </c>
      <c r="AD218" s="11">
        <f t="shared" si="110"/>
        <v>0</v>
      </c>
      <c r="AE218" s="8">
        <f t="shared" si="110"/>
        <v>0</v>
      </c>
      <c r="AF218" s="11">
        <f t="shared" si="110"/>
        <v>0</v>
      </c>
      <c r="AG218" s="8">
        <f t="shared" si="110"/>
        <v>0</v>
      </c>
      <c r="AH218" s="11">
        <f t="shared" si="110"/>
        <v>0</v>
      </c>
      <c r="AI218" s="8">
        <f t="shared" si="110"/>
        <v>0</v>
      </c>
      <c r="AJ218" s="11">
        <f t="shared" si="110"/>
        <v>0</v>
      </c>
      <c r="AK218" s="11">
        <f t="shared" si="110"/>
        <v>0</v>
      </c>
      <c r="AL218" s="11">
        <f t="shared" si="110"/>
        <v>0</v>
      </c>
      <c r="AM218" s="8">
        <f t="shared" si="114"/>
        <v>0</v>
      </c>
      <c r="AN218" s="11">
        <f t="shared" si="111"/>
        <v>0</v>
      </c>
      <c r="AO218" s="2" t="str">
        <f t="shared" si="112"/>
        <v>COBI</v>
      </c>
      <c r="AP218" s="37">
        <f t="shared" si="113"/>
        <v>0</v>
      </c>
      <c r="AQ218" s="37">
        <f t="shared" si="113"/>
        <v>0</v>
      </c>
    </row>
    <row r="219" spans="1:43" x14ac:dyDescent="0.25">
      <c r="B219" s="2" t="s">
        <v>30</v>
      </c>
      <c r="C219" s="2">
        <v>2025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106"/>
        <v>0</v>
      </c>
      <c r="U219" s="54">
        <f t="shared" si="107"/>
        <v>0</v>
      </c>
      <c r="V219" s="2" t="s">
        <v>64</v>
      </c>
      <c r="Y219" s="2" t="s">
        <v>30</v>
      </c>
      <c r="Z219" s="2">
        <v>2025</v>
      </c>
      <c r="AA219" s="1">
        <f t="shared" si="108"/>
        <v>0</v>
      </c>
      <c r="AB219" s="11">
        <f t="shared" si="109"/>
        <v>0</v>
      </c>
      <c r="AC219" s="1">
        <f t="shared" si="110"/>
        <v>0</v>
      </c>
      <c r="AD219" s="11">
        <f t="shared" si="110"/>
        <v>0</v>
      </c>
      <c r="AE219" s="8">
        <f t="shared" si="110"/>
        <v>0</v>
      </c>
      <c r="AF219" s="11">
        <f t="shared" si="110"/>
        <v>0</v>
      </c>
      <c r="AG219" s="8">
        <f t="shared" si="110"/>
        <v>0</v>
      </c>
      <c r="AH219" s="11">
        <f t="shared" si="110"/>
        <v>0</v>
      </c>
      <c r="AI219" s="8">
        <f t="shared" si="110"/>
        <v>0</v>
      </c>
      <c r="AJ219" s="11">
        <f t="shared" si="110"/>
        <v>0</v>
      </c>
      <c r="AK219" s="11">
        <f t="shared" si="110"/>
        <v>0</v>
      </c>
      <c r="AL219" s="11">
        <f t="shared" si="110"/>
        <v>0</v>
      </c>
      <c r="AM219" s="79">
        <f t="shared" si="114"/>
        <v>0</v>
      </c>
      <c r="AN219" s="80">
        <f t="shared" si="111"/>
        <v>0</v>
      </c>
      <c r="AO219" s="2" t="str">
        <f t="shared" si="112"/>
        <v>COBI</v>
      </c>
      <c r="AP219" s="37">
        <f t="shared" si="113"/>
        <v>0</v>
      </c>
      <c r="AQ219" s="37">
        <f t="shared" si="113"/>
        <v>0</v>
      </c>
    </row>
    <row r="220" spans="1:43" x14ac:dyDescent="0.25">
      <c r="B220" s="2" t="s">
        <v>31</v>
      </c>
      <c r="C220" s="2">
        <v>2025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106"/>
        <v>0</v>
      </c>
      <c r="U220" s="54">
        <f t="shared" si="107"/>
        <v>0</v>
      </c>
      <c r="V220" s="2" t="s">
        <v>64</v>
      </c>
      <c r="W220" s="13"/>
      <c r="Y220" s="2" t="s">
        <v>31</v>
      </c>
      <c r="Z220" s="2">
        <v>2025</v>
      </c>
      <c r="AA220" s="1">
        <f t="shared" si="108"/>
        <v>0</v>
      </c>
      <c r="AB220" s="11">
        <f t="shared" si="109"/>
        <v>0</v>
      </c>
      <c r="AC220" s="1">
        <f t="shared" si="110"/>
        <v>0</v>
      </c>
      <c r="AD220" s="11">
        <f t="shared" si="110"/>
        <v>0</v>
      </c>
      <c r="AE220" s="8">
        <f t="shared" si="110"/>
        <v>0</v>
      </c>
      <c r="AF220" s="11">
        <f t="shared" si="110"/>
        <v>0</v>
      </c>
      <c r="AG220" s="8">
        <f t="shared" si="110"/>
        <v>0</v>
      </c>
      <c r="AH220" s="11">
        <f t="shared" si="110"/>
        <v>0</v>
      </c>
      <c r="AI220" s="8">
        <f t="shared" si="110"/>
        <v>0</v>
      </c>
      <c r="AJ220" s="11">
        <f t="shared" si="110"/>
        <v>0</v>
      </c>
      <c r="AK220" s="11">
        <f t="shared" si="110"/>
        <v>0</v>
      </c>
      <c r="AL220" s="11">
        <f t="shared" si="110"/>
        <v>0</v>
      </c>
      <c r="AM220" s="8">
        <f t="shared" si="114"/>
        <v>0</v>
      </c>
      <c r="AN220" s="11">
        <f t="shared" si="111"/>
        <v>0</v>
      </c>
      <c r="AO220" s="2" t="str">
        <f t="shared" si="112"/>
        <v>COBI</v>
      </c>
      <c r="AP220" s="37">
        <f t="shared" si="113"/>
        <v>0</v>
      </c>
      <c r="AQ220" s="37">
        <f t="shared" si="113"/>
        <v>0</v>
      </c>
    </row>
    <row r="221" spans="1:43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x14ac:dyDescent="0.25">
      <c r="B222" s="3" t="s">
        <v>12</v>
      </c>
      <c r="C222" s="3"/>
      <c r="D222" s="4">
        <f t="shared" ref="D222:O222" si="115">SUM(D209:D221)</f>
        <v>0</v>
      </c>
      <c r="E222" s="12">
        <f t="shared" si="115"/>
        <v>0</v>
      </c>
      <c r="F222" s="4">
        <f t="shared" si="115"/>
        <v>0</v>
      </c>
      <c r="G222" s="12">
        <f t="shared" si="115"/>
        <v>0</v>
      </c>
      <c r="H222" s="4">
        <f t="shared" si="115"/>
        <v>0</v>
      </c>
      <c r="I222" s="12">
        <f t="shared" si="115"/>
        <v>0</v>
      </c>
      <c r="J222" s="4">
        <f t="shared" si="115"/>
        <v>0</v>
      </c>
      <c r="K222" s="12">
        <f t="shared" si="115"/>
        <v>0</v>
      </c>
      <c r="L222" s="4">
        <f t="shared" si="115"/>
        <v>0</v>
      </c>
      <c r="M222" s="12">
        <f t="shared" si="115"/>
        <v>0</v>
      </c>
      <c r="N222" s="4">
        <f t="shared" si="115"/>
        <v>0</v>
      </c>
      <c r="O222" s="12">
        <f t="shared" si="115"/>
        <v>0</v>
      </c>
      <c r="P222" s="4">
        <f>SUM(P209:P221)</f>
        <v>0</v>
      </c>
      <c r="Q222" s="12">
        <f>SUM(Q209:Q221)</f>
        <v>0</v>
      </c>
      <c r="R222" s="4">
        <f>SUM(R209:R221)</f>
        <v>0</v>
      </c>
      <c r="S222" s="12">
        <f>SUM(S209:S221)</f>
        <v>0</v>
      </c>
      <c r="T222" s="4">
        <f t="shared" ref="T222:U222" si="116">SUM(T209:T221)</f>
        <v>0</v>
      </c>
      <c r="U222" s="12">
        <f t="shared" si="116"/>
        <v>0</v>
      </c>
      <c r="Y222" s="3" t="s">
        <v>12</v>
      </c>
      <c r="Z222" s="3"/>
      <c r="AA222" s="4">
        <f t="shared" ref="AA222:AN222" si="117">SUM(AA209:AA221)</f>
        <v>0</v>
      </c>
      <c r="AB222" s="12">
        <f t="shared" si="117"/>
        <v>0</v>
      </c>
      <c r="AC222" s="4">
        <f t="shared" si="117"/>
        <v>0</v>
      </c>
      <c r="AD222" s="12">
        <f t="shared" si="117"/>
        <v>0</v>
      </c>
      <c r="AE222" s="4">
        <f t="shared" si="117"/>
        <v>0</v>
      </c>
      <c r="AF222" s="12">
        <f t="shared" si="117"/>
        <v>0</v>
      </c>
      <c r="AG222" s="4">
        <f t="shared" si="117"/>
        <v>0</v>
      </c>
      <c r="AH222" s="12">
        <f t="shared" si="117"/>
        <v>0</v>
      </c>
      <c r="AI222" s="4">
        <f t="shared" si="117"/>
        <v>0</v>
      </c>
      <c r="AJ222" s="12">
        <f t="shared" si="117"/>
        <v>0</v>
      </c>
      <c r="AK222" s="4">
        <f t="shared" si="117"/>
        <v>0</v>
      </c>
      <c r="AL222" s="12">
        <f t="shared" si="117"/>
        <v>0</v>
      </c>
      <c r="AM222" s="4">
        <f t="shared" si="117"/>
        <v>0</v>
      </c>
      <c r="AN222" s="12">
        <f t="shared" si="117"/>
        <v>0</v>
      </c>
    </row>
    <row r="223" spans="1:43" x14ac:dyDescent="0.25">
      <c r="J223" s="46" t="str">
        <f>+$A$204</f>
        <v>Aforo e Ingreso - COBI</v>
      </c>
      <c r="K223" s="9" t="s">
        <v>84</v>
      </c>
      <c r="L223" s="15" t="e">
        <f>AVERAGE(L209:L210)</f>
        <v>#DIV/0!</v>
      </c>
      <c r="M223" s="60" t="e">
        <f>AVERAGE(M209:M210)</f>
        <v>#DIV/0!</v>
      </c>
      <c r="T223" s="15">
        <f>AVERAGE(T209:T210)</f>
        <v>0</v>
      </c>
      <c r="U223" s="28">
        <f>AVERAGE(U209:U210)</f>
        <v>0</v>
      </c>
    </row>
    <row r="224" spans="1:43" x14ac:dyDescent="0.25">
      <c r="A224" s="67" t="s">
        <v>14</v>
      </c>
      <c r="J224" s="46" t="str">
        <f>+$A$204</f>
        <v>Aforo e Ingreso - COBI</v>
      </c>
      <c r="K224" s="9" t="s">
        <v>85</v>
      </c>
      <c r="L224" s="26" t="e">
        <f>+L223/$L$371</f>
        <v>#DIV/0!</v>
      </c>
      <c r="M224" s="36" t="e">
        <f>+M223/$M$371</f>
        <v>#DIV/0!</v>
      </c>
      <c r="N224" s="18"/>
      <c r="O224" s="19"/>
      <c r="P224" s="19"/>
      <c r="Q224" s="19"/>
      <c r="R224" s="19"/>
      <c r="S224" s="19"/>
      <c r="T224" s="36" t="e">
        <f>+L223/T223</f>
        <v>#DIV/0!</v>
      </c>
      <c r="U224" s="62" t="e">
        <f>+M223/U223</f>
        <v>#DIV/0!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0"/>
      <c r="F227" s="89" t="s">
        <v>71</v>
      </c>
      <c r="G227" s="90"/>
      <c r="H227" s="89" t="s">
        <v>16</v>
      </c>
      <c r="I227" s="90"/>
      <c r="J227" s="89" t="s">
        <v>17</v>
      </c>
      <c r="K227" s="93"/>
      <c r="L227" s="89" t="s">
        <v>18</v>
      </c>
      <c r="M227" s="93"/>
      <c r="N227" s="89" t="s">
        <v>13</v>
      </c>
      <c r="O227" s="93"/>
      <c r="P227" s="89" t="s">
        <v>34</v>
      </c>
      <c r="Q227" s="93"/>
      <c r="R227" s="89" t="s">
        <v>87</v>
      </c>
      <c r="S227" s="93"/>
      <c r="T227" s="89" t="s">
        <v>12</v>
      </c>
      <c r="U227" s="93"/>
      <c r="AA227" s="89" t="s">
        <v>69</v>
      </c>
      <c r="AB227" s="90"/>
      <c r="AC227" s="89" t="s">
        <v>17</v>
      </c>
      <c r="AD227" s="93"/>
      <c r="AE227" s="89" t="s">
        <v>18</v>
      </c>
      <c r="AF227" s="93"/>
      <c r="AG227" s="89" t="s">
        <v>13</v>
      </c>
      <c r="AH227" s="93"/>
      <c r="AI227" s="89" t="s">
        <v>34</v>
      </c>
      <c r="AJ227" s="93"/>
      <c r="AK227" s="89" t="s">
        <v>87</v>
      </c>
      <c r="AL227" s="93"/>
      <c r="AM227" s="89" t="s">
        <v>12</v>
      </c>
      <c r="AN227" s="93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2025</v>
      </c>
      <c r="D230" s="1">
        <v>43647</v>
      </c>
      <c r="E230" s="11">
        <v>5045750</v>
      </c>
      <c r="F230" s="1">
        <v>14315</v>
      </c>
      <c r="G230" s="11">
        <v>2729894</v>
      </c>
      <c r="H230" s="1">
        <v>35883</v>
      </c>
      <c r="I230" s="11">
        <v>4387813</v>
      </c>
      <c r="J230" s="1">
        <v>433375</v>
      </c>
      <c r="K230" s="11">
        <v>83687700</v>
      </c>
      <c r="L230" s="1">
        <v>21253</v>
      </c>
      <c r="M230" s="11">
        <v>4399218</v>
      </c>
      <c r="N230" s="1">
        <v>26539</v>
      </c>
      <c r="O230" s="11">
        <v>5944025</v>
      </c>
      <c r="P230" s="8">
        <v>0</v>
      </c>
      <c r="Q230" s="11">
        <v>0</v>
      </c>
      <c r="R230" s="8">
        <v>2298</v>
      </c>
      <c r="S230" s="11">
        <v>243491</v>
      </c>
      <c r="T230" s="53">
        <f t="shared" ref="T230:T241" si="118">N230+L230+J230+H230+D230+P230+F230+R230</f>
        <v>577310</v>
      </c>
      <c r="U230" s="54">
        <f t="shared" ref="U230:U241" si="119">O230+M230+K230+I230+E230+Q230+G230+S230</f>
        <v>106437891</v>
      </c>
      <c r="V230" s="2" t="s">
        <v>65</v>
      </c>
      <c r="Y230" s="2" t="s">
        <v>5</v>
      </c>
      <c r="Z230" s="2">
        <v>2025</v>
      </c>
      <c r="AA230" s="1">
        <f t="shared" ref="AA230:AA241" si="120">D230+H230+F230</f>
        <v>93845</v>
      </c>
      <c r="AB230" s="11">
        <f t="shared" ref="AB230:AB241" si="121">E230+I230+G230</f>
        <v>12163457</v>
      </c>
      <c r="AC230" s="1">
        <f t="shared" ref="AC230:AL241" si="122">+J230</f>
        <v>433375</v>
      </c>
      <c r="AD230" s="11">
        <f t="shared" si="122"/>
        <v>83687700</v>
      </c>
      <c r="AE230" s="8">
        <f t="shared" si="122"/>
        <v>21253</v>
      </c>
      <c r="AF230" s="11">
        <f t="shared" si="122"/>
        <v>4399218</v>
      </c>
      <c r="AG230" s="8">
        <f t="shared" si="122"/>
        <v>26539</v>
      </c>
      <c r="AH230" s="11">
        <f t="shared" si="122"/>
        <v>5944025</v>
      </c>
      <c r="AI230" s="8">
        <f t="shared" si="122"/>
        <v>0</v>
      </c>
      <c r="AJ230" s="11">
        <f t="shared" si="122"/>
        <v>0</v>
      </c>
      <c r="AK230" s="11">
        <f t="shared" si="122"/>
        <v>2298</v>
      </c>
      <c r="AL230" s="11">
        <f t="shared" si="122"/>
        <v>243491</v>
      </c>
      <c r="AM230" s="8">
        <f>AI230+AG230+AE230+AC230+AA230+AK230</f>
        <v>577310</v>
      </c>
      <c r="AN230" s="11">
        <f t="shared" ref="AN230:AN241" si="123">AJ230+AH230+AF230+AD230+AB230+AL230</f>
        <v>106437891</v>
      </c>
      <c r="AO230" s="2" t="str">
        <f t="shared" ref="AO230:AO241" si="124">+V230</f>
        <v>ACCSA</v>
      </c>
      <c r="AP230" s="37">
        <f t="shared" ref="AP230:AQ241" si="125">+AM230-T230</f>
        <v>0</v>
      </c>
      <c r="AQ230" s="37">
        <f t="shared" si="125"/>
        <v>0</v>
      </c>
    </row>
    <row r="231" spans="1:43" x14ac:dyDescent="0.25">
      <c r="B231" s="2" t="s">
        <v>6</v>
      </c>
      <c r="C231" s="2">
        <v>2025</v>
      </c>
      <c r="D231" s="1">
        <v>34609</v>
      </c>
      <c r="E231" s="11">
        <v>3746331</v>
      </c>
      <c r="F231" s="1">
        <v>9377</v>
      </c>
      <c r="G231" s="11">
        <v>1592492</v>
      </c>
      <c r="H231" s="1">
        <v>30514</v>
      </c>
      <c r="I231" s="11">
        <v>3649008</v>
      </c>
      <c r="J231" s="1">
        <v>306491</v>
      </c>
      <c r="K231" s="11">
        <v>54849624</v>
      </c>
      <c r="L231" s="1">
        <v>16360</v>
      </c>
      <c r="M231" s="11">
        <v>3264625</v>
      </c>
      <c r="N231" s="1">
        <v>18139</v>
      </c>
      <c r="O231" s="11">
        <v>3878816</v>
      </c>
      <c r="P231" s="8">
        <v>0</v>
      </c>
      <c r="Q231" s="11">
        <v>0</v>
      </c>
      <c r="R231" s="8">
        <v>1762</v>
      </c>
      <c r="S231" s="11">
        <v>184788</v>
      </c>
      <c r="T231" s="53">
        <f t="shared" si="118"/>
        <v>417252</v>
      </c>
      <c r="U231" s="54">
        <f t="shared" si="119"/>
        <v>71165684</v>
      </c>
      <c r="V231" s="2" t="s">
        <v>65</v>
      </c>
      <c r="Y231" s="2" t="s">
        <v>6</v>
      </c>
      <c r="Z231" s="2">
        <v>2025</v>
      </c>
      <c r="AA231" s="1">
        <f t="shared" si="120"/>
        <v>74500</v>
      </c>
      <c r="AB231" s="11">
        <f t="shared" si="121"/>
        <v>8987831</v>
      </c>
      <c r="AC231" s="1">
        <f t="shared" si="122"/>
        <v>306491</v>
      </c>
      <c r="AD231" s="11">
        <f t="shared" si="122"/>
        <v>54849624</v>
      </c>
      <c r="AE231" s="8">
        <f t="shared" si="122"/>
        <v>16360</v>
      </c>
      <c r="AF231" s="11">
        <f t="shared" si="122"/>
        <v>3264625</v>
      </c>
      <c r="AG231" s="8">
        <f t="shared" si="122"/>
        <v>18139</v>
      </c>
      <c r="AH231" s="11">
        <f t="shared" si="122"/>
        <v>3878816</v>
      </c>
      <c r="AI231" s="8">
        <f t="shared" si="122"/>
        <v>0</v>
      </c>
      <c r="AJ231" s="11">
        <f t="shared" si="122"/>
        <v>0</v>
      </c>
      <c r="AK231" s="11">
        <f t="shared" si="122"/>
        <v>1762</v>
      </c>
      <c r="AL231" s="11">
        <f t="shared" si="122"/>
        <v>184788</v>
      </c>
      <c r="AM231" s="8">
        <f t="shared" ref="AM231:AM241" si="126">AI231+AG231+AE231+AC231+AA231+AK231</f>
        <v>417252</v>
      </c>
      <c r="AN231" s="11">
        <f t="shared" si="123"/>
        <v>71165684</v>
      </c>
      <c r="AO231" s="2" t="str">
        <f t="shared" si="124"/>
        <v>ACCSA</v>
      </c>
      <c r="AP231" s="37">
        <f t="shared" si="125"/>
        <v>0</v>
      </c>
      <c r="AQ231" s="37">
        <f t="shared" si="125"/>
        <v>0</v>
      </c>
    </row>
    <row r="232" spans="1:43" x14ac:dyDescent="0.25">
      <c r="B232" s="2" t="s">
        <v>7</v>
      </c>
      <c r="C232" s="2">
        <v>2025</v>
      </c>
      <c r="D232" s="1">
        <v>42302</v>
      </c>
      <c r="E232" s="11">
        <v>4593009</v>
      </c>
      <c r="F232" s="1">
        <v>11247</v>
      </c>
      <c r="G232" s="11">
        <v>1948502</v>
      </c>
      <c r="H232" s="1">
        <v>34743</v>
      </c>
      <c r="I232" s="11">
        <v>4162879</v>
      </c>
      <c r="J232" s="1">
        <v>352260</v>
      </c>
      <c r="K232" s="11">
        <v>62812833</v>
      </c>
      <c r="L232" s="1">
        <v>19632</v>
      </c>
      <c r="M232" s="11">
        <v>4091999</v>
      </c>
      <c r="N232" s="1">
        <v>20837</v>
      </c>
      <c r="O232" s="11">
        <v>4354037</v>
      </c>
      <c r="P232" s="8">
        <v>1</v>
      </c>
      <c r="Q232" s="11">
        <v>125</v>
      </c>
      <c r="R232" s="8">
        <v>2425</v>
      </c>
      <c r="S232" s="11">
        <v>254003</v>
      </c>
      <c r="T232" s="53">
        <f t="shared" si="118"/>
        <v>483447</v>
      </c>
      <c r="U232" s="54">
        <f t="shared" si="119"/>
        <v>82217387</v>
      </c>
      <c r="V232" s="2" t="s">
        <v>65</v>
      </c>
      <c r="X232" s="13"/>
      <c r="Y232" s="2" t="s">
        <v>7</v>
      </c>
      <c r="Z232" s="2">
        <v>2025</v>
      </c>
      <c r="AA232" s="1">
        <f t="shared" si="120"/>
        <v>88292</v>
      </c>
      <c r="AB232" s="11">
        <f t="shared" si="121"/>
        <v>10704390</v>
      </c>
      <c r="AC232" s="1">
        <f t="shared" si="122"/>
        <v>352260</v>
      </c>
      <c r="AD232" s="11">
        <f t="shared" si="122"/>
        <v>62812833</v>
      </c>
      <c r="AE232" s="8">
        <f t="shared" si="122"/>
        <v>19632</v>
      </c>
      <c r="AF232" s="11">
        <f t="shared" si="122"/>
        <v>4091999</v>
      </c>
      <c r="AG232" s="8">
        <f t="shared" si="122"/>
        <v>20837</v>
      </c>
      <c r="AH232" s="11">
        <f t="shared" si="122"/>
        <v>4354037</v>
      </c>
      <c r="AI232" s="8">
        <f t="shared" si="122"/>
        <v>1</v>
      </c>
      <c r="AJ232" s="11">
        <f t="shared" si="122"/>
        <v>125</v>
      </c>
      <c r="AK232" s="11">
        <f t="shared" si="122"/>
        <v>2425</v>
      </c>
      <c r="AL232" s="11">
        <f t="shared" si="122"/>
        <v>254003</v>
      </c>
      <c r="AM232" s="8">
        <f t="shared" si="126"/>
        <v>483447</v>
      </c>
      <c r="AN232" s="11">
        <f t="shared" si="123"/>
        <v>82217387</v>
      </c>
      <c r="AO232" s="2" t="str">
        <f t="shared" si="124"/>
        <v>ACCSA</v>
      </c>
      <c r="AP232" s="37">
        <f t="shared" si="125"/>
        <v>0</v>
      </c>
      <c r="AQ232" s="37">
        <f t="shared" si="125"/>
        <v>0</v>
      </c>
    </row>
    <row r="233" spans="1:43" x14ac:dyDescent="0.25">
      <c r="B233" s="2" t="s">
        <v>8</v>
      </c>
      <c r="C233" s="2">
        <v>2025</v>
      </c>
      <c r="D233" s="1">
        <v>43765</v>
      </c>
      <c r="E233" s="11">
        <v>4605195</v>
      </c>
      <c r="F233" s="1">
        <v>11653</v>
      </c>
      <c r="G233" s="11">
        <v>1962083</v>
      </c>
      <c r="H233" s="1">
        <v>37323</v>
      </c>
      <c r="I233" s="11">
        <v>4436253</v>
      </c>
      <c r="J233" s="1">
        <v>353085</v>
      </c>
      <c r="K233" s="11">
        <v>60424103</v>
      </c>
      <c r="L233" s="1">
        <v>18750</v>
      </c>
      <c r="M233" s="11">
        <v>3737534</v>
      </c>
      <c r="N233" s="1">
        <v>21071</v>
      </c>
      <c r="O233" s="11">
        <v>4240304</v>
      </c>
      <c r="P233" s="8">
        <v>0</v>
      </c>
      <c r="Q233" s="11">
        <v>0</v>
      </c>
      <c r="R233" s="8">
        <v>2533</v>
      </c>
      <c r="S233" s="11">
        <v>257646</v>
      </c>
      <c r="T233" s="53">
        <f t="shared" si="118"/>
        <v>488180</v>
      </c>
      <c r="U233" s="54">
        <f t="shared" si="119"/>
        <v>79663118</v>
      </c>
      <c r="V233" s="2" t="s">
        <v>65</v>
      </c>
      <c r="X233" s="13"/>
      <c r="Y233" s="2" t="s">
        <v>8</v>
      </c>
      <c r="Z233" s="2">
        <v>2025</v>
      </c>
      <c r="AA233" s="1">
        <f t="shared" si="120"/>
        <v>92741</v>
      </c>
      <c r="AB233" s="11">
        <f t="shared" si="121"/>
        <v>11003531</v>
      </c>
      <c r="AC233" s="1">
        <f t="shared" si="122"/>
        <v>353085</v>
      </c>
      <c r="AD233" s="11">
        <f t="shared" si="122"/>
        <v>60424103</v>
      </c>
      <c r="AE233" s="8">
        <f t="shared" si="122"/>
        <v>18750</v>
      </c>
      <c r="AF233" s="11">
        <f t="shared" si="122"/>
        <v>3737534</v>
      </c>
      <c r="AG233" s="8">
        <f t="shared" si="122"/>
        <v>21071</v>
      </c>
      <c r="AH233" s="11">
        <f t="shared" si="122"/>
        <v>4240304</v>
      </c>
      <c r="AI233" s="8">
        <f t="shared" si="122"/>
        <v>0</v>
      </c>
      <c r="AJ233" s="11">
        <f t="shared" si="122"/>
        <v>0</v>
      </c>
      <c r="AK233" s="11">
        <f t="shared" si="122"/>
        <v>2533</v>
      </c>
      <c r="AL233" s="11">
        <f t="shared" si="122"/>
        <v>257646</v>
      </c>
      <c r="AM233" s="8">
        <f t="shared" si="126"/>
        <v>488180</v>
      </c>
      <c r="AN233" s="11">
        <f t="shared" si="123"/>
        <v>79663118</v>
      </c>
      <c r="AO233" s="2" t="str">
        <f t="shared" si="124"/>
        <v>ACCSA</v>
      </c>
      <c r="AP233" s="37">
        <f t="shared" si="125"/>
        <v>0</v>
      </c>
      <c r="AQ233" s="37">
        <f t="shared" si="125"/>
        <v>0</v>
      </c>
    </row>
    <row r="234" spans="1:43" x14ac:dyDescent="0.25">
      <c r="B234" s="2" t="s">
        <v>9</v>
      </c>
      <c r="C234" s="2">
        <v>2025</v>
      </c>
      <c r="D234" s="1">
        <v>41495</v>
      </c>
      <c r="E234" s="11">
        <v>4618674</v>
      </c>
      <c r="F234" s="1">
        <v>11829</v>
      </c>
      <c r="G234" s="11">
        <v>2032493</v>
      </c>
      <c r="H234" s="1">
        <v>50479</v>
      </c>
      <c r="I234" s="11">
        <v>6320358</v>
      </c>
      <c r="J234" s="1">
        <v>353547</v>
      </c>
      <c r="K234" s="11">
        <v>61793377</v>
      </c>
      <c r="L234" s="1">
        <v>19632</v>
      </c>
      <c r="M234" s="11">
        <v>4018174</v>
      </c>
      <c r="N234" s="1">
        <v>20438</v>
      </c>
      <c r="O234" s="11">
        <v>4208938</v>
      </c>
      <c r="P234" s="8">
        <v>0</v>
      </c>
      <c r="Q234" s="11">
        <v>0</v>
      </c>
      <c r="R234" s="8">
        <v>3941</v>
      </c>
      <c r="S234" s="11">
        <v>376815</v>
      </c>
      <c r="T234" s="53">
        <f t="shared" si="118"/>
        <v>501361</v>
      </c>
      <c r="U234" s="54">
        <f t="shared" si="119"/>
        <v>83368829</v>
      </c>
      <c r="V234" s="2" t="s">
        <v>65</v>
      </c>
      <c r="X234" s="13"/>
      <c r="Y234" s="2" t="s">
        <v>9</v>
      </c>
      <c r="Z234" s="2">
        <v>2025</v>
      </c>
      <c r="AA234" s="1">
        <f t="shared" si="120"/>
        <v>103803</v>
      </c>
      <c r="AB234" s="11">
        <f t="shared" si="121"/>
        <v>12971525</v>
      </c>
      <c r="AC234" s="1">
        <f t="shared" si="122"/>
        <v>353547</v>
      </c>
      <c r="AD234" s="11">
        <f t="shared" si="122"/>
        <v>61793377</v>
      </c>
      <c r="AE234" s="8">
        <f t="shared" si="122"/>
        <v>19632</v>
      </c>
      <c r="AF234" s="11">
        <f t="shared" si="122"/>
        <v>4018174</v>
      </c>
      <c r="AG234" s="8">
        <f t="shared" si="122"/>
        <v>20438</v>
      </c>
      <c r="AH234" s="11">
        <f t="shared" si="122"/>
        <v>4208938</v>
      </c>
      <c r="AI234" s="8">
        <f t="shared" si="122"/>
        <v>0</v>
      </c>
      <c r="AJ234" s="11">
        <f t="shared" si="122"/>
        <v>0</v>
      </c>
      <c r="AK234" s="11">
        <f t="shared" si="122"/>
        <v>3941</v>
      </c>
      <c r="AL234" s="11">
        <f t="shared" si="122"/>
        <v>376815</v>
      </c>
      <c r="AM234" s="8">
        <f t="shared" si="126"/>
        <v>501361</v>
      </c>
      <c r="AN234" s="11">
        <f t="shared" si="123"/>
        <v>83368829</v>
      </c>
      <c r="AO234" s="2" t="str">
        <f t="shared" si="124"/>
        <v>ACCSA</v>
      </c>
      <c r="AP234" s="37">
        <f t="shared" si="125"/>
        <v>0</v>
      </c>
      <c r="AQ234" s="37">
        <f t="shared" si="125"/>
        <v>0</v>
      </c>
    </row>
    <row r="235" spans="1:43" x14ac:dyDescent="0.25">
      <c r="B235" s="2" t="s">
        <v>10</v>
      </c>
      <c r="C235" s="2">
        <v>2025</v>
      </c>
      <c r="D235" s="1">
        <v>37957</v>
      </c>
      <c r="E235" s="11">
        <v>4188630</v>
      </c>
      <c r="F235" s="1">
        <v>11560</v>
      </c>
      <c r="G235" s="11">
        <v>1937933</v>
      </c>
      <c r="H235" s="1">
        <v>37068</v>
      </c>
      <c r="I235" s="11">
        <v>4385797</v>
      </c>
      <c r="J235" s="1">
        <v>336314</v>
      </c>
      <c r="K235" s="11">
        <v>59043328</v>
      </c>
      <c r="L235" s="1">
        <v>17979</v>
      </c>
      <c r="M235" s="11">
        <v>3646788</v>
      </c>
      <c r="N235" s="1">
        <v>19308</v>
      </c>
      <c r="O235" s="11">
        <v>3957271</v>
      </c>
      <c r="P235" s="8">
        <v>0</v>
      </c>
      <c r="Q235" s="11">
        <v>0</v>
      </c>
      <c r="R235" s="8">
        <v>3314</v>
      </c>
      <c r="S235" s="11">
        <v>318851</v>
      </c>
      <c r="T235" s="53">
        <f t="shared" si="118"/>
        <v>463500</v>
      </c>
      <c r="U235" s="54">
        <f t="shared" si="119"/>
        <v>77478598</v>
      </c>
      <c r="V235" s="2" t="s">
        <v>65</v>
      </c>
      <c r="Y235" s="2" t="s">
        <v>10</v>
      </c>
      <c r="Z235" s="2">
        <v>2025</v>
      </c>
      <c r="AA235" s="1">
        <f t="shared" si="120"/>
        <v>86585</v>
      </c>
      <c r="AB235" s="11">
        <f t="shared" si="121"/>
        <v>10512360</v>
      </c>
      <c r="AC235" s="1">
        <f t="shared" si="122"/>
        <v>336314</v>
      </c>
      <c r="AD235" s="11">
        <f t="shared" si="122"/>
        <v>59043328</v>
      </c>
      <c r="AE235" s="8">
        <f t="shared" si="122"/>
        <v>17979</v>
      </c>
      <c r="AF235" s="11">
        <f t="shared" si="122"/>
        <v>3646788</v>
      </c>
      <c r="AG235" s="8">
        <f t="shared" si="122"/>
        <v>19308</v>
      </c>
      <c r="AH235" s="11">
        <f t="shared" si="122"/>
        <v>3957271</v>
      </c>
      <c r="AI235" s="8">
        <f t="shared" si="122"/>
        <v>0</v>
      </c>
      <c r="AJ235" s="11">
        <f t="shared" si="122"/>
        <v>0</v>
      </c>
      <c r="AK235" s="11">
        <f t="shared" si="122"/>
        <v>3314</v>
      </c>
      <c r="AL235" s="11">
        <f t="shared" si="122"/>
        <v>318851</v>
      </c>
      <c r="AM235" s="8">
        <f t="shared" si="126"/>
        <v>463500</v>
      </c>
      <c r="AN235" s="11">
        <f t="shared" si="123"/>
        <v>77478598</v>
      </c>
      <c r="AO235" s="2" t="str">
        <f t="shared" si="124"/>
        <v>ACCSA</v>
      </c>
      <c r="AP235" s="37">
        <f t="shared" si="125"/>
        <v>0</v>
      </c>
      <c r="AQ235" s="37">
        <f t="shared" si="125"/>
        <v>0</v>
      </c>
    </row>
    <row r="236" spans="1:43" x14ac:dyDescent="0.25">
      <c r="B236" s="2" t="s">
        <v>11</v>
      </c>
      <c r="C236" s="2">
        <v>2025</v>
      </c>
      <c r="D236" s="1">
        <v>48929</v>
      </c>
      <c r="E236" s="11">
        <v>5083107</v>
      </c>
      <c r="F236" s="1">
        <v>13153</v>
      </c>
      <c r="G236" s="11">
        <v>2068872</v>
      </c>
      <c r="H236" s="1">
        <v>38970</v>
      </c>
      <c r="I236" s="11">
        <v>4639191</v>
      </c>
      <c r="J236" s="1">
        <v>384321</v>
      </c>
      <c r="K236" s="11">
        <v>64332821</v>
      </c>
      <c r="L236" s="1">
        <v>21121</v>
      </c>
      <c r="M236" s="11">
        <v>3987522</v>
      </c>
      <c r="N236" s="1">
        <v>21675</v>
      </c>
      <c r="O236" s="11">
        <v>4402739</v>
      </c>
      <c r="P236" s="8">
        <v>0</v>
      </c>
      <c r="Q236" s="11">
        <v>0</v>
      </c>
      <c r="R236" s="8">
        <v>4434</v>
      </c>
      <c r="S236" s="11">
        <v>419145</v>
      </c>
      <c r="T236" s="53">
        <f t="shared" si="118"/>
        <v>532603</v>
      </c>
      <c r="U236" s="54">
        <f t="shared" si="119"/>
        <v>84933397</v>
      </c>
      <c r="V236" s="2" t="s">
        <v>65</v>
      </c>
      <c r="Y236" s="2" t="s">
        <v>11</v>
      </c>
      <c r="Z236" s="2">
        <v>2025</v>
      </c>
      <c r="AA236" s="1">
        <f t="shared" si="120"/>
        <v>101052</v>
      </c>
      <c r="AB236" s="11">
        <f t="shared" si="121"/>
        <v>11791170</v>
      </c>
      <c r="AC236" s="1">
        <f t="shared" si="122"/>
        <v>384321</v>
      </c>
      <c r="AD236" s="11">
        <f t="shared" si="122"/>
        <v>64332821</v>
      </c>
      <c r="AE236" s="8">
        <f t="shared" si="122"/>
        <v>21121</v>
      </c>
      <c r="AF236" s="11">
        <f t="shared" si="122"/>
        <v>3987522</v>
      </c>
      <c r="AG236" s="8">
        <f t="shared" si="122"/>
        <v>21675</v>
      </c>
      <c r="AH236" s="11">
        <f t="shared" si="122"/>
        <v>4402739</v>
      </c>
      <c r="AI236" s="8">
        <f t="shared" si="122"/>
        <v>0</v>
      </c>
      <c r="AJ236" s="11">
        <f t="shared" si="122"/>
        <v>0</v>
      </c>
      <c r="AK236" s="11">
        <f t="shared" si="122"/>
        <v>4434</v>
      </c>
      <c r="AL236" s="11">
        <f t="shared" si="122"/>
        <v>419145</v>
      </c>
      <c r="AM236" s="8">
        <f t="shared" si="126"/>
        <v>532603</v>
      </c>
      <c r="AN236" s="11">
        <f t="shared" si="123"/>
        <v>84933397</v>
      </c>
      <c r="AO236" s="2" t="str">
        <f t="shared" si="124"/>
        <v>ACCSA</v>
      </c>
      <c r="AP236" s="37">
        <f t="shared" si="125"/>
        <v>0</v>
      </c>
      <c r="AQ236" s="37">
        <f t="shared" si="125"/>
        <v>0</v>
      </c>
    </row>
    <row r="237" spans="1:43" x14ac:dyDescent="0.25">
      <c r="B237" s="2" t="s">
        <v>4</v>
      </c>
      <c r="C237" s="2">
        <v>2025</v>
      </c>
      <c r="D237" s="1">
        <v>54911</v>
      </c>
      <c r="E237" s="11">
        <v>5530320</v>
      </c>
      <c r="F237" s="1">
        <v>12499</v>
      </c>
      <c r="G237" s="11">
        <v>1806088</v>
      </c>
      <c r="H237" s="1">
        <v>40418</v>
      </c>
      <c r="I237" s="11">
        <v>4724736</v>
      </c>
      <c r="J237" s="1">
        <v>412606</v>
      </c>
      <c r="K237" s="11">
        <v>67727558</v>
      </c>
      <c r="L237" s="1">
        <v>22822</v>
      </c>
      <c r="M237" s="11">
        <v>4148704</v>
      </c>
      <c r="N237" s="1">
        <v>23094</v>
      </c>
      <c r="O237" s="11">
        <v>4522967</v>
      </c>
      <c r="P237" s="8">
        <v>0</v>
      </c>
      <c r="Q237" s="11">
        <v>0</v>
      </c>
      <c r="R237" s="8">
        <v>4966</v>
      </c>
      <c r="S237" s="11">
        <v>466045</v>
      </c>
      <c r="T237" s="53">
        <f t="shared" si="118"/>
        <v>571316</v>
      </c>
      <c r="U237" s="54">
        <f t="shared" si="119"/>
        <v>88926418</v>
      </c>
      <c r="V237" s="2" t="s">
        <v>65</v>
      </c>
      <c r="Y237" s="2" t="s">
        <v>4</v>
      </c>
      <c r="Z237" s="2">
        <v>2025</v>
      </c>
      <c r="AA237" s="1">
        <f t="shared" si="120"/>
        <v>107828</v>
      </c>
      <c r="AB237" s="11">
        <f t="shared" si="121"/>
        <v>12061144</v>
      </c>
      <c r="AC237" s="1">
        <f t="shared" si="122"/>
        <v>412606</v>
      </c>
      <c r="AD237" s="11">
        <f t="shared" si="122"/>
        <v>67727558</v>
      </c>
      <c r="AE237" s="8">
        <f t="shared" si="122"/>
        <v>22822</v>
      </c>
      <c r="AF237" s="11">
        <f t="shared" si="122"/>
        <v>4148704</v>
      </c>
      <c r="AG237" s="8">
        <f t="shared" si="122"/>
        <v>23094</v>
      </c>
      <c r="AH237" s="11">
        <f t="shared" si="122"/>
        <v>4522967</v>
      </c>
      <c r="AI237" s="8">
        <f t="shared" si="122"/>
        <v>0</v>
      </c>
      <c r="AJ237" s="11">
        <f t="shared" si="122"/>
        <v>0</v>
      </c>
      <c r="AK237" s="11">
        <f t="shared" si="122"/>
        <v>4966</v>
      </c>
      <c r="AL237" s="11">
        <f t="shared" si="122"/>
        <v>466045</v>
      </c>
      <c r="AM237" s="27">
        <f t="shared" si="126"/>
        <v>571316</v>
      </c>
      <c r="AN237" s="14">
        <f t="shared" si="123"/>
        <v>88926418</v>
      </c>
      <c r="AO237" s="2" t="str">
        <f t="shared" si="124"/>
        <v>ACCSA</v>
      </c>
      <c r="AP237" s="37">
        <f t="shared" si="125"/>
        <v>0</v>
      </c>
      <c r="AQ237" s="37">
        <f t="shared" si="125"/>
        <v>0</v>
      </c>
    </row>
    <row r="238" spans="1:43" x14ac:dyDescent="0.25">
      <c r="B238" s="2" t="s">
        <v>28</v>
      </c>
      <c r="C238" s="2">
        <v>2025</v>
      </c>
      <c r="D238" s="1">
        <v>47469</v>
      </c>
      <c r="E238" s="11">
        <v>4847788</v>
      </c>
      <c r="F238" s="1">
        <v>11948</v>
      </c>
      <c r="G238" s="11">
        <v>1697980</v>
      </c>
      <c r="H238" s="1">
        <v>36722</v>
      </c>
      <c r="I238" s="11">
        <v>4254214</v>
      </c>
      <c r="J238" s="1">
        <v>393674</v>
      </c>
      <c r="K238" s="11">
        <v>65095607</v>
      </c>
      <c r="L238" s="1">
        <v>21398</v>
      </c>
      <c r="M238" s="11">
        <v>3893036</v>
      </c>
      <c r="N238" s="1">
        <v>22223</v>
      </c>
      <c r="O238" s="11">
        <v>4377540</v>
      </c>
      <c r="P238" s="8">
        <v>0</v>
      </c>
      <c r="Q238" s="11">
        <v>0</v>
      </c>
      <c r="R238" s="8">
        <v>4714</v>
      </c>
      <c r="S238" s="11">
        <v>452574</v>
      </c>
      <c r="T238" s="53">
        <f t="shared" si="118"/>
        <v>538148</v>
      </c>
      <c r="U238" s="54">
        <f t="shared" si="119"/>
        <v>84618739</v>
      </c>
      <c r="V238" s="2" t="s">
        <v>65</v>
      </c>
      <c r="Y238" s="2" t="s">
        <v>28</v>
      </c>
      <c r="Z238" s="2">
        <v>2025</v>
      </c>
      <c r="AA238" s="1">
        <f t="shared" si="120"/>
        <v>96139</v>
      </c>
      <c r="AB238" s="11">
        <f t="shared" si="121"/>
        <v>10799982</v>
      </c>
      <c r="AC238" s="1">
        <f t="shared" si="122"/>
        <v>393674</v>
      </c>
      <c r="AD238" s="11">
        <f t="shared" si="122"/>
        <v>65095607</v>
      </c>
      <c r="AE238" s="8">
        <f t="shared" si="122"/>
        <v>21398</v>
      </c>
      <c r="AF238" s="11">
        <f t="shared" si="122"/>
        <v>3893036</v>
      </c>
      <c r="AG238" s="8">
        <f t="shared" si="122"/>
        <v>22223</v>
      </c>
      <c r="AH238" s="11">
        <f t="shared" si="122"/>
        <v>4377540</v>
      </c>
      <c r="AI238" s="8">
        <f t="shared" si="122"/>
        <v>0</v>
      </c>
      <c r="AJ238" s="11">
        <f t="shared" si="122"/>
        <v>0</v>
      </c>
      <c r="AK238" s="11">
        <f t="shared" si="122"/>
        <v>4714</v>
      </c>
      <c r="AL238" s="11">
        <f t="shared" si="122"/>
        <v>452574</v>
      </c>
      <c r="AM238" s="8">
        <f t="shared" si="126"/>
        <v>538148</v>
      </c>
      <c r="AN238" s="11">
        <f t="shared" si="123"/>
        <v>84618739</v>
      </c>
      <c r="AO238" s="2" t="str">
        <f t="shared" si="124"/>
        <v>ACCSA</v>
      </c>
      <c r="AP238" s="37">
        <f t="shared" si="125"/>
        <v>0</v>
      </c>
      <c r="AQ238" s="37">
        <f t="shared" si="125"/>
        <v>0</v>
      </c>
    </row>
    <row r="239" spans="1:43" x14ac:dyDescent="0.25">
      <c r="B239" s="2" t="s">
        <v>29</v>
      </c>
      <c r="C239" s="2">
        <v>2025</v>
      </c>
      <c r="D239" s="1">
        <v>49567</v>
      </c>
      <c r="E239" s="11">
        <v>5116304</v>
      </c>
      <c r="F239" s="1">
        <v>12527</v>
      </c>
      <c r="G239" s="11">
        <v>1833344</v>
      </c>
      <c r="H239" s="1">
        <v>37382</v>
      </c>
      <c r="I239" s="11">
        <v>4329418</v>
      </c>
      <c r="J239" s="1">
        <v>398660</v>
      </c>
      <c r="K239" s="11">
        <v>65320867</v>
      </c>
      <c r="L239" s="1">
        <v>22023</v>
      </c>
      <c r="M239" s="11">
        <v>3900696</v>
      </c>
      <c r="N239" s="1">
        <v>23604</v>
      </c>
      <c r="O239" s="11">
        <v>4589992</v>
      </c>
      <c r="P239" s="8">
        <v>0</v>
      </c>
      <c r="Q239" s="11">
        <v>0</v>
      </c>
      <c r="R239" s="8">
        <v>4338</v>
      </c>
      <c r="S239" s="11">
        <v>454803</v>
      </c>
      <c r="T239" s="53">
        <f t="shared" si="118"/>
        <v>548101</v>
      </c>
      <c r="U239" s="54">
        <f t="shared" si="119"/>
        <v>85545424</v>
      </c>
      <c r="V239" s="2" t="s">
        <v>65</v>
      </c>
      <c r="Y239" s="2" t="s">
        <v>29</v>
      </c>
      <c r="Z239" s="2">
        <v>2025</v>
      </c>
      <c r="AA239" s="1">
        <f t="shared" si="120"/>
        <v>99476</v>
      </c>
      <c r="AB239" s="11">
        <f t="shared" si="121"/>
        <v>11279066</v>
      </c>
      <c r="AC239" s="1">
        <f t="shared" si="122"/>
        <v>398660</v>
      </c>
      <c r="AD239" s="11">
        <f t="shared" si="122"/>
        <v>65320867</v>
      </c>
      <c r="AE239" s="8">
        <f t="shared" si="122"/>
        <v>22023</v>
      </c>
      <c r="AF239" s="11">
        <f t="shared" si="122"/>
        <v>3900696</v>
      </c>
      <c r="AG239" s="8">
        <f t="shared" si="122"/>
        <v>23604</v>
      </c>
      <c r="AH239" s="11">
        <f t="shared" si="122"/>
        <v>4589992</v>
      </c>
      <c r="AI239" s="8">
        <f t="shared" si="122"/>
        <v>0</v>
      </c>
      <c r="AJ239" s="11">
        <f t="shared" si="122"/>
        <v>0</v>
      </c>
      <c r="AK239" s="11">
        <f t="shared" si="122"/>
        <v>4338</v>
      </c>
      <c r="AL239" s="11">
        <f t="shared" si="122"/>
        <v>454803</v>
      </c>
      <c r="AM239" s="8">
        <f t="shared" si="126"/>
        <v>548101</v>
      </c>
      <c r="AN239" s="11">
        <f t="shared" si="123"/>
        <v>85545424</v>
      </c>
      <c r="AO239" s="2" t="str">
        <f t="shared" si="124"/>
        <v>ACCSA</v>
      </c>
      <c r="AP239" s="37">
        <f t="shared" si="125"/>
        <v>0</v>
      </c>
      <c r="AQ239" s="37">
        <f t="shared" si="125"/>
        <v>0</v>
      </c>
    </row>
    <row r="240" spans="1:43" x14ac:dyDescent="0.25">
      <c r="B240" s="2" t="s">
        <v>30</v>
      </c>
      <c r="C240" s="2">
        <v>2025</v>
      </c>
      <c r="D240" s="1">
        <v>48434</v>
      </c>
      <c r="E240" s="11">
        <v>4966036</v>
      </c>
      <c r="F240" s="1">
        <v>11773</v>
      </c>
      <c r="G240" s="11">
        <v>1667279</v>
      </c>
      <c r="H240" s="1">
        <v>37163</v>
      </c>
      <c r="I240" s="11">
        <v>4315913</v>
      </c>
      <c r="J240" s="1">
        <v>377341</v>
      </c>
      <c r="K240" s="11">
        <v>61925003</v>
      </c>
      <c r="L240" s="1">
        <v>20253</v>
      </c>
      <c r="M240" s="11">
        <v>3617282</v>
      </c>
      <c r="N240" s="1">
        <v>22449</v>
      </c>
      <c r="O240" s="11">
        <v>4389641</v>
      </c>
      <c r="P240" s="8">
        <v>0</v>
      </c>
      <c r="Q240" s="11">
        <v>0</v>
      </c>
      <c r="R240" s="8">
        <v>4424</v>
      </c>
      <c r="S240" s="11">
        <v>464509</v>
      </c>
      <c r="T240" s="53">
        <f t="shared" si="118"/>
        <v>521837</v>
      </c>
      <c r="U240" s="54">
        <f t="shared" si="119"/>
        <v>81345663</v>
      </c>
      <c r="V240" s="2" t="s">
        <v>65</v>
      </c>
      <c r="Y240" s="2" t="s">
        <v>30</v>
      </c>
      <c r="Z240" s="2">
        <v>2025</v>
      </c>
      <c r="AA240" s="1">
        <f t="shared" si="120"/>
        <v>97370</v>
      </c>
      <c r="AB240" s="11">
        <f t="shared" si="121"/>
        <v>10949228</v>
      </c>
      <c r="AC240" s="1">
        <f t="shared" si="122"/>
        <v>377341</v>
      </c>
      <c r="AD240" s="11">
        <f t="shared" si="122"/>
        <v>61925003</v>
      </c>
      <c r="AE240" s="8">
        <f t="shared" si="122"/>
        <v>20253</v>
      </c>
      <c r="AF240" s="11">
        <f t="shared" si="122"/>
        <v>3617282</v>
      </c>
      <c r="AG240" s="8">
        <f t="shared" si="122"/>
        <v>22449</v>
      </c>
      <c r="AH240" s="11">
        <f t="shared" si="122"/>
        <v>4389641</v>
      </c>
      <c r="AI240" s="8">
        <f t="shared" si="122"/>
        <v>0</v>
      </c>
      <c r="AJ240" s="11">
        <f t="shared" si="122"/>
        <v>0</v>
      </c>
      <c r="AK240" s="11">
        <f t="shared" si="122"/>
        <v>4424</v>
      </c>
      <c r="AL240" s="11">
        <f t="shared" si="122"/>
        <v>464509</v>
      </c>
      <c r="AM240" s="79">
        <f t="shared" si="126"/>
        <v>521837</v>
      </c>
      <c r="AN240" s="80">
        <f t="shared" si="123"/>
        <v>81345663</v>
      </c>
      <c r="AO240" s="2" t="str">
        <f t="shared" si="124"/>
        <v>ACCSA</v>
      </c>
      <c r="AP240" s="37">
        <f t="shared" si="125"/>
        <v>0</v>
      </c>
      <c r="AQ240" s="37">
        <f t="shared" si="125"/>
        <v>0</v>
      </c>
    </row>
    <row r="241" spans="1:43" x14ac:dyDescent="0.25">
      <c r="B241" s="2" t="s">
        <v>31</v>
      </c>
      <c r="C241" s="2">
        <v>2025</v>
      </c>
      <c r="D241" s="1">
        <v>57531</v>
      </c>
      <c r="E241" s="11">
        <v>5608845</v>
      </c>
      <c r="F241" s="1">
        <v>13576</v>
      </c>
      <c r="G241" s="11">
        <v>1882252</v>
      </c>
      <c r="H241" s="1">
        <v>41407</v>
      </c>
      <c r="I241" s="11">
        <v>4814770</v>
      </c>
      <c r="J241" s="1">
        <v>413841</v>
      </c>
      <c r="K241" s="11">
        <v>65744669</v>
      </c>
      <c r="L241" s="1">
        <v>22945</v>
      </c>
      <c r="M241" s="11">
        <v>3968348</v>
      </c>
      <c r="N241" s="8">
        <v>23430</v>
      </c>
      <c r="O241" s="11">
        <v>4426398</v>
      </c>
      <c r="P241" s="8">
        <v>0</v>
      </c>
      <c r="Q241" s="11">
        <v>0</v>
      </c>
      <c r="R241" s="8">
        <v>5499</v>
      </c>
      <c r="S241" s="11">
        <v>555636</v>
      </c>
      <c r="T241" s="53">
        <f t="shared" si="118"/>
        <v>578229</v>
      </c>
      <c r="U241" s="54">
        <f t="shared" si="119"/>
        <v>87000918</v>
      </c>
      <c r="V241" s="2" t="s">
        <v>65</v>
      </c>
      <c r="W241" s="13"/>
      <c r="Y241" s="2" t="s">
        <v>31</v>
      </c>
      <c r="Z241" s="2">
        <v>2025</v>
      </c>
      <c r="AA241" s="1">
        <f t="shared" si="120"/>
        <v>112514</v>
      </c>
      <c r="AB241" s="11">
        <f t="shared" si="121"/>
        <v>12305867</v>
      </c>
      <c r="AC241" s="1">
        <f t="shared" si="122"/>
        <v>413841</v>
      </c>
      <c r="AD241" s="11">
        <f t="shared" si="122"/>
        <v>65744669</v>
      </c>
      <c r="AE241" s="8">
        <f t="shared" si="122"/>
        <v>22945</v>
      </c>
      <c r="AF241" s="11">
        <f t="shared" si="122"/>
        <v>3968348</v>
      </c>
      <c r="AG241" s="8">
        <f t="shared" si="122"/>
        <v>23430</v>
      </c>
      <c r="AH241" s="11">
        <f t="shared" si="122"/>
        <v>4426398</v>
      </c>
      <c r="AI241" s="8">
        <f t="shared" si="122"/>
        <v>0</v>
      </c>
      <c r="AJ241" s="11">
        <f t="shared" si="122"/>
        <v>0</v>
      </c>
      <c r="AK241" s="11">
        <f t="shared" si="122"/>
        <v>5499</v>
      </c>
      <c r="AL241" s="11">
        <f t="shared" si="122"/>
        <v>555636</v>
      </c>
      <c r="AM241" s="8">
        <f t="shared" si="126"/>
        <v>578229</v>
      </c>
      <c r="AN241" s="11">
        <f t="shared" si="123"/>
        <v>87000918</v>
      </c>
      <c r="AO241" s="2" t="str">
        <f t="shared" si="124"/>
        <v>ACCSA</v>
      </c>
      <c r="AP241" s="37">
        <f t="shared" si="125"/>
        <v>0</v>
      </c>
      <c r="AQ241" s="37">
        <f t="shared" si="125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127">SUM(D230:D242)</f>
        <v>550616</v>
      </c>
      <c r="E243" s="12">
        <f t="shared" si="127"/>
        <v>57949989</v>
      </c>
      <c r="F243" s="4">
        <f t="shared" si="127"/>
        <v>145457</v>
      </c>
      <c r="G243" s="12">
        <f t="shared" si="127"/>
        <v>23159212</v>
      </c>
      <c r="H243" s="4">
        <f t="shared" si="127"/>
        <v>458072</v>
      </c>
      <c r="I243" s="12">
        <f t="shared" si="127"/>
        <v>54420350</v>
      </c>
      <c r="J243" s="4">
        <f t="shared" si="127"/>
        <v>4515515</v>
      </c>
      <c r="K243" s="12">
        <f t="shared" si="127"/>
        <v>772757490</v>
      </c>
      <c r="L243" s="4">
        <f t="shared" si="127"/>
        <v>244168</v>
      </c>
      <c r="M243" s="12">
        <f t="shared" si="127"/>
        <v>46673926</v>
      </c>
      <c r="N243" s="4">
        <f t="shared" si="127"/>
        <v>262807</v>
      </c>
      <c r="O243" s="12">
        <f t="shared" si="127"/>
        <v>53292668</v>
      </c>
      <c r="P243" s="4">
        <f>SUM(P230:P242)</f>
        <v>1</v>
      </c>
      <c r="Q243" s="12">
        <f>SUM(Q230:Q242)</f>
        <v>125</v>
      </c>
      <c r="R243" s="4">
        <f>SUM(R230:R242)</f>
        <v>44648</v>
      </c>
      <c r="S243" s="12">
        <f>SUM(S230:S242)</f>
        <v>4448306</v>
      </c>
      <c r="T243" s="4">
        <f t="shared" si="127"/>
        <v>6221284</v>
      </c>
      <c r="U243" s="12">
        <f t="shared" si="127"/>
        <v>1012702066</v>
      </c>
      <c r="Y243" s="3" t="s">
        <v>12</v>
      </c>
      <c r="Z243" s="3"/>
      <c r="AA243" s="4">
        <f t="shared" ref="AA243:AN243" si="128">SUM(AA230:AA242)</f>
        <v>1154145</v>
      </c>
      <c r="AB243" s="12">
        <f t="shared" si="128"/>
        <v>135529551</v>
      </c>
      <c r="AC243" s="4">
        <f t="shared" si="128"/>
        <v>4515515</v>
      </c>
      <c r="AD243" s="12">
        <f t="shared" si="128"/>
        <v>772757490</v>
      </c>
      <c r="AE243" s="4">
        <f t="shared" si="128"/>
        <v>244168</v>
      </c>
      <c r="AF243" s="12">
        <f t="shared" si="128"/>
        <v>46673926</v>
      </c>
      <c r="AG243" s="4">
        <f t="shared" si="128"/>
        <v>262807</v>
      </c>
      <c r="AH243" s="12">
        <f t="shared" si="128"/>
        <v>53292668</v>
      </c>
      <c r="AI243" s="4">
        <f t="shared" si="128"/>
        <v>1</v>
      </c>
      <c r="AJ243" s="12">
        <f t="shared" si="128"/>
        <v>125</v>
      </c>
      <c r="AK243" s="4">
        <f t="shared" si="128"/>
        <v>44648</v>
      </c>
      <c r="AL243" s="12">
        <f t="shared" si="128"/>
        <v>4448306</v>
      </c>
      <c r="AM243" s="4">
        <f t="shared" si="128"/>
        <v>6221284</v>
      </c>
      <c r="AN243" s="12">
        <f t="shared" si="128"/>
        <v>1012702066</v>
      </c>
    </row>
    <row r="244" spans="1:43" x14ac:dyDescent="0.25">
      <c r="D244" s="13"/>
      <c r="H244" s="13"/>
      <c r="J244" s="46" t="str">
        <f>+$A$225</f>
        <v>Aforo e Ingreso - ACCSA</v>
      </c>
      <c r="K244" s="9" t="s">
        <v>84</v>
      </c>
      <c r="L244" s="15">
        <f>AVERAGE(L230:L231)</f>
        <v>18806.5</v>
      </c>
      <c r="M244" s="60">
        <f>AVERAGE(M230:M231)</f>
        <v>3831921.5</v>
      </c>
      <c r="T244" s="15">
        <f t="shared" ref="T244:U244" si="129">AVERAGE(T230:T231)</f>
        <v>497281</v>
      </c>
      <c r="U244" s="28">
        <f t="shared" si="129"/>
        <v>88801787.5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0.12611993347461037</v>
      </c>
      <c r="M245" s="36">
        <f>+M244/$M$371</f>
        <v>0.14745431049647748</v>
      </c>
      <c r="N245" s="18"/>
      <c r="O245" s="19"/>
      <c r="P245" s="19"/>
      <c r="Q245" s="19"/>
      <c r="R245" s="19"/>
      <c r="S245" s="19"/>
      <c r="T245" s="36">
        <f>+L244/T244</f>
        <v>3.7818657861450569E-2</v>
      </c>
      <c r="U245" s="62">
        <f>+M244/U244</f>
        <v>4.3151400527832846E-2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0"/>
      <c r="F248" s="89" t="s">
        <v>71</v>
      </c>
      <c r="G248" s="90"/>
      <c r="H248" s="89" t="s">
        <v>16</v>
      </c>
      <c r="I248" s="90"/>
      <c r="J248" s="89" t="s">
        <v>17</v>
      </c>
      <c r="K248" s="93"/>
      <c r="L248" s="89" t="s">
        <v>18</v>
      </c>
      <c r="M248" s="93"/>
      <c r="N248" s="89" t="s">
        <v>13</v>
      </c>
      <c r="O248" s="93"/>
      <c r="P248" s="89" t="s">
        <v>34</v>
      </c>
      <c r="Q248" s="93"/>
      <c r="R248" s="89" t="s">
        <v>87</v>
      </c>
      <c r="S248" s="93"/>
      <c r="T248" s="89" t="s">
        <v>12</v>
      </c>
      <c r="U248" s="93"/>
      <c r="AA248" s="89" t="s">
        <v>69</v>
      </c>
      <c r="AB248" s="90"/>
      <c r="AC248" s="89" t="s">
        <v>17</v>
      </c>
      <c r="AD248" s="93"/>
      <c r="AE248" s="89" t="s">
        <v>18</v>
      </c>
      <c r="AF248" s="93"/>
      <c r="AG248" s="89" t="s">
        <v>13</v>
      </c>
      <c r="AH248" s="93"/>
      <c r="AI248" s="89" t="s">
        <v>34</v>
      </c>
      <c r="AJ248" s="93"/>
      <c r="AK248" s="89" t="s">
        <v>87</v>
      </c>
      <c r="AL248" s="93"/>
      <c r="AM248" s="89" t="s">
        <v>12</v>
      </c>
      <c r="AN248" s="93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2025</v>
      </c>
      <c r="D251" s="1">
        <v>17791</v>
      </c>
      <c r="E251" s="11">
        <v>1119186</v>
      </c>
      <c r="F251" s="1">
        <v>6685</v>
      </c>
      <c r="G251" s="11">
        <v>451304</v>
      </c>
      <c r="H251" s="1">
        <v>2840</v>
      </c>
      <c r="I251" s="11">
        <v>267429</v>
      </c>
      <c r="J251" s="1">
        <v>203124</v>
      </c>
      <c r="K251" s="11">
        <v>15807592</v>
      </c>
      <c r="L251" s="1">
        <v>1444</v>
      </c>
      <c r="M251" s="11">
        <v>184681</v>
      </c>
      <c r="N251" s="1">
        <v>25653</v>
      </c>
      <c r="O251" s="11">
        <v>2102762</v>
      </c>
      <c r="P251" s="8">
        <v>20</v>
      </c>
      <c r="Q251" s="11">
        <v>3889</v>
      </c>
      <c r="R251" s="8">
        <v>1259</v>
      </c>
      <c r="S251" s="11">
        <v>68177</v>
      </c>
      <c r="T251" s="53">
        <f t="shared" ref="T251:T262" si="130">N251+L251+J251+H251+D251+P251+F251+R251</f>
        <v>258816</v>
      </c>
      <c r="U251" s="54">
        <f t="shared" ref="U251:U262" si="131">O251+M251+K251+I251+E251+Q251+G251+S251</f>
        <v>20005020</v>
      </c>
      <c r="V251" s="2" t="s">
        <v>66</v>
      </c>
      <c r="Y251" s="2" t="s">
        <v>5</v>
      </c>
      <c r="Z251" s="2">
        <v>2025</v>
      </c>
      <c r="AA251" s="1">
        <f t="shared" ref="AA251:AA262" si="132">D251+H251+F251</f>
        <v>27316</v>
      </c>
      <c r="AB251" s="11">
        <f t="shared" ref="AB251:AB262" si="133">E251+I251+G251</f>
        <v>1837919</v>
      </c>
      <c r="AC251" s="1">
        <f t="shared" ref="AC251:AL262" si="134">+J251</f>
        <v>203124</v>
      </c>
      <c r="AD251" s="11">
        <f t="shared" si="134"/>
        <v>15807592</v>
      </c>
      <c r="AE251" s="8">
        <f t="shared" si="134"/>
        <v>1444</v>
      </c>
      <c r="AF251" s="11">
        <f t="shared" si="134"/>
        <v>184681</v>
      </c>
      <c r="AG251" s="8">
        <f t="shared" si="134"/>
        <v>25653</v>
      </c>
      <c r="AH251" s="11">
        <f t="shared" si="134"/>
        <v>2102762</v>
      </c>
      <c r="AI251" s="8">
        <f t="shared" si="134"/>
        <v>20</v>
      </c>
      <c r="AJ251" s="11">
        <f t="shared" si="134"/>
        <v>3889</v>
      </c>
      <c r="AK251" s="11">
        <f t="shared" si="134"/>
        <v>1259</v>
      </c>
      <c r="AL251" s="11">
        <f t="shared" si="134"/>
        <v>68177</v>
      </c>
      <c r="AM251" s="8">
        <f>AI251+AG251+AE251+AC251+AA251+AK251</f>
        <v>258816</v>
      </c>
      <c r="AN251" s="11">
        <f t="shared" ref="AN251:AN262" si="135">AJ251+AH251+AF251+AD251+AB251+AL251</f>
        <v>20005020</v>
      </c>
      <c r="AO251" s="2" t="str">
        <f t="shared" ref="AO251:AO262" si="136">+V251</f>
        <v>LERMA</v>
      </c>
      <c r="AP251" s="37">
        <f t="shared" ref="AP251:AQ262" si="137">+AM251-T251</f>
        <v>0</v>
      </c>
      <c r="AQ251" s="37">
        <f t="shared" si="137"/>
        <v>0</v>
      </c>
    </row>
    <row r="252" spans="1:43" x14ac:dyDescent="0.25">
      <c r="B252" s="2" t="s">
        <v>6</v>
      </c>
      <c r="C252" s="2">
        <v>2025</v>
      </c>
      <c r="D252" s="1">
        <v>15622</v>
      </c>
      <c r="E252" s="11">
        <v>1013590</v>
      </c>
      <c r="F252" s="1">
        <v>5788</v>
      </c>
      <c r="G252" s="11">
        <v>408412</v>
      </c>
      <c r="H252" s="1">
        <v>2277</v>
      </c>
      <c r="I252" s="11">
        <v>189310</v>
      </c>
      <c r="J252" s="1">
        <v>191998</v>
      </c>
      <c r="K252" s="11">
        <v>15468050</v>
      </c>
      <c r="L252" s="1">
        <v>1398</v>
      </c>
      <c r="M252" s="11">
        <v>180887</v>
      </c>
      <c r="N252" s="1">
        <v>23386</v>
      </c>
      <c r="O252" s="11">
        <v>1977539</v>
      </c>
      <c r="P252" s="8">
        <v>28</v>
      </c>
      <c r="Q252" s="11">
        <v>5192</v>
      </c>
      <c r="R252" s="8">
        <v>1238</v>
      </c>
      <c r="S252" s="11">
        <v>67830</v>
      </c>
      <c r="T252" s="53">
        <f t="shared" si="130"/>
        <v>241735</v>
      </c>
      <c r="U252" s="54">
        <f t="shared" si="131"/>
        <v>19310810</v>
      </c>
      <c r="V252" s="2" t="s">
        <v>66</v>
      </c>
      <c r="Y252" s="2" t="s">
        <v>6</v>
      </c>
      <c r="Z252" s="2">
        <v>2025</v>
      </c>
      <c r="AA252" s="1">
        <f t="shared" si="132"/>
        <v>23687</v>
      </c>
      <c r="AB252" s="11">
        <f t="shared" si="133"/>
        <v>1611312</v>
      </c>
      <c r="AC252" s="1">
        <f t="shared" si="134"/>
        <v>191998</v>
      </c>
      <c r="AD252" s="11">
        <f t="shared" si="134"/>
        <v>15468050</v>
      </c>
      <c r="AE252" s="8">
        <f t="shared" si="134"/>
        <v>1398</v>
      </c>
      <c r="AF252" s="11">
        <f t="shared" si="134"/>
        <v>180887</v>
      </c>
      <c r="AG252" s="8">
        <f t="shared" si="134"/>
        <v>23386</v>
      </c>
      <c r="AH252" s="11">
        <f t="shared" si="134"/>
        <v>1977539</v>
      </c>
      <c r="AI252" s="8">
        <f t="shared" si="134"/>
        <v>28</v>
      </c>
      <c r="AJ252" s="11">
        <f t="shared" si="134"/>
        <v>5192</v>
      </c>
      <c r="AK252" s="11">
        <f t="shared" si="134"/>
        <v>1238</v>
      </c>
      <c r="AL252" s="11">
        <f t="shared" si="134"/>
        <v>67830</v>
      </c>
      <c r="AM252" s="8">
        <f t="shared" ref="AM252:AM262" si="138">AI252+AG252+AE252+AC252+AA252+AK252</f>
        <v>241735</v>
      </c>
      <c r="AN252" s="11">
        <f t="shared" si="135"/>
        <v>19310810</v>
      </c>
      <c r="AO252" s="2" t="str">
        <f t="shared" si="136"/>
        <v>LERMA</v>
      </c>
      <c r="AP252" s="37">
        <f t="shared" si="137"/>
        <v>0</v>
      </c>
      <c r="AQ252" s="37">
        <f t="shared" si="137"/>
        <v>0</v>
      </c>
    </row>
    <row r="253" spans="1:43" x14ac:dyDescent="0.25">
      <c r="B253" s="2" t="s">
        <v>7</v>
      </c>
      <c r="C253" s="2">
        <v>2025</v>
      </c>
      <c r="D253" s="1">
        <v>18441</v>
      </c>
      <c r="E253" s="11">
        <v>1186290</v>
      </c>
      <c r="F253" s="1">
        <v>6955</v>
      </c>
      <c r="G253" s="11">
        <v>504549</v>
      </c>
      <c r="H253" s="1">
        <v>2664</v>
      </c>
      <c r="I253" s="11">
        <v>235236</v>
      </c>
      <c r="J253" s="1">
        <v>218844</v>
      </c>
      <c r="K253" s="11">
        <v>17498087</v>
      </c>
      <c r="L253" s="1">
        <v>1650</v>
      </c>
      <c r="M253" s="11">
        <v>219115</v>
      </c>
      <c r="N253" s="1">
        <v>26515</v>
      </c>
      <c r="O253" s="11">
        <v>2250315</v>
      </c>
      <c r="P253" s="8">
        <v>50</v>
      </c>
      <c r="Q253" s="11">
        <v>8820</v>
      </c>
      <c r="R253" s="8">
        <v>1793</v>
      </c>
      <c r="S253" s="11">
        <v>100769</v>
      </c>
      <c r="T253" s="53">
        <f t="shared" si="130"/>
        <v>276912</v>
      </c>
      <c r="U253" s="54">
        <f t="shared" si="131"/>
        <v>22003181</v>
      </c>
      <c r="V253" s="2" t="s">
        <v>66</v>
      </c>
      <c r="X253" s="13"/>
      <c r="Y253" s="2" t="s">
        <v>7</v>
      </c>
      <c r="Z253" s="2">
        <v>2025</v>
      </c>
      <c r="AA253" s="1">
        <f t="shared" si="132"/>
        <v>28060</v>
      </c>
      <c r="AB253" s="11">
        <f t="shared" si="133"/>
        <v>1926075</v>
      </c>
      <c r="AC253" s="1">
        <f t="shared" si="134"/>
        <v>218844</v>
      </c>
      <c r="AD253" s="11">
        <f t="shared" si="134"/>
        <v>17498087</v>
      </c>
      <c r="AE253" s="8">
        <f t="shared" si="134"/>
        <v>1650</v>
      </c>
      <c r="AF253" s="11">
        <f t="shared" si="134"/>
        <v>219115</v>
      </c>
      <c r="AG253" s="8">
        <f t="shared" si="134"/>
        <v>26515</v>
      </c>
      <c r="AH253" s="11">
        <f t="shared" si="134"/>
        <v>2250315</v>
      </c>
      <c r="AI253" s="8">
        <f t="shared" si="134"/>
        <v>50</v>
      </c>
      <c r="AJ253" s="11">
        <f t="shared" si="134"/>
        <v>8820</v>
      </c>
      <c r="AK253" s="11">
        <f t="shared" si="134"/>
        <v>1793</v>
      </c>
      <c r="AL253" s="11">
        <f t="shared" si="134"/>
        <v>100769</v>
      </c>
      <c r="AM253" s="8">
        <f t="shared" si="138"/>
        <v>276912</v>
      </c>
      <c r="AN253" s="11">
        <f t="shared" si="135"/>
        <v>22003181</v>
      </c>
      <c r="AO253" s="2" t="str">
        <f t="shared" si="136"/>
        <v>LERMA</v>
      </c>
      <c r="AP253" s="37">
        <f t="shared" si="137"/>
        <v>0</v>
      </c>
      <c r="AQ253" s="37">
        <f t="shared" si="137"/>
        <v>0</v>
      </c>
    </row>
    <row r="254" spans="1:43" x14ac:dyDescent="0.25">
      <c r="B254" s="2" t="s">
        <v>8</v>
      </c>
      <c r="C254" s="2">
        <v>2025</v>
      </c>
      <c r="D254" s="1">
        <v>17626</v>
      </c>
      <c r="E254" s="11">
        <v>1150114</v>
      </c>
      <c r="F254" s="1">
        <v>7059</v>
      </c>
      <c r="G254" s="11">
        <v>488112</v>
      </c>
      <c r="H254" s="1">
        <v>2622</v>
      </c>
      <c r="I254" s="11">
        <v>247322</v>
      </c>
      <c r="J254" s="1">
        <v>199039</v>
      </c>
      <c r="K254" s="11">
        <v>15905756</v>
      </c>
      <c r="L254" s="1">
        <v>1532</v>
      </c>
      <c r="M254" s="11">
        <v>192316</v>
      </c>
      <c r="N254" s="1">
        <v>26036</v>
      </c>
      <c r="O254" s="11">
        <v>2288252</v>
      </c>
      <c r="P254" s="8">
        <v>14</v>
      </c>
      <c r="Q254" s="11">
        <v>2520</v>
      </c>
      <c r="R254" s="8">
        <v>1682</v>
      </c>
      <c r="S254" s="11">
        <v>106071</v>
      </c>
      <c r="T254" s="53">
        <f t="shared" si="130"/>
        <v>255610</v>
      </c>
      <c r="U254" s="54">
        <f t="shared" si="131"/>
        <v>20380463</v>
      </c>
      <c r="V254" s="2" t="s">
        <v>66</v>
      </c>
      <c r="X254" s="13"/>
      <c r="Y254" s="2" t="s">
        <v>8</v>
      </c>
      <c r="Z254" s="2">
        <v>2025</v>
      </c>
      <c r="AA254" s="1">
        <f t="shared" si="132"/>
        <v>27307</v>
      </c>
      <c r="AB254" s="11">
        <f t="shared" si="133"/>
        <v>1885548</v>
      </c>
      <c r="AC254" s="1">
        <f t="shared" si="134"/>
        <v>199039</v>
      </c>
      <c r="AD254" s="11">
        <f t="shared" si="134"/>
        <v>15905756</v>
      </c>
      <c r="AE254" s="8">
        <f t="shared" si="134"/>
        <v>1532</v>
      </c>
      <c r="AF254" s="11">
        <f t="shared" si="134"/>
        <v>192316</v>
      </c>
      <c r="AG254" s="8">
        <f t="shared" si="134"/>
        <v>26036</v>
      </c>
      <c r="AH254" s="11">
        <f t="shared" si="134"/>
        <v>2288252</v>
      </c>
      <c r="AI254" s="8">
        <f t="shared" si="134"/>
        <v>14</v>
      </c>
      <c r="AJ254" s="11">
        <f t="shared" si="134"/>
        <v>2520</v>
      </c>
      <c r="AK254" s="11">
        <f t="shared" si="134"/>
        <v>1682</v>
      </c>
      <c r="AL254" s="11">
        <f t="shared" si="134"/>
        <v>106071</v>
      </c>
      <c r="AM254" s="8">
        <f t="shared" si="138"/>
        <v>255610</v>
      </c>
      <c r="AN254" s="11">
        <f t="shared" si="135"/>
        <v>20380463</v>
      </c>
      <c r="AO254" s="2" t="str">
        <f t="shared" si="136"/>
        <v>LERMA</v>
      </c>
      <c r="AP254" s="37">
        <f t="shared" si="137"/>
        <v>0</v>
      </c>
      <c r="AQ254" s="37">
        <f t="shared" si="137"/>
        <v>0</v>
      </c>
    </row>
    <row r="255" spans="1:43" x14ac:dyDescent="0.25">
      <c r="B255" s="2" t="s">
        <v>9</v>
      </c>
      <c r="C255" s="2">
        <v>2025</v>
      </c>
      <c r="D255" s="1">
        <v>17320</v>
      </c>
      <c r="E255" s="11">
        <v>1144059</v>
      </c>
      <c r="F255" s="1">
        <v>7607</v>
      </c>
      <c r="G255" s="11">
        <v>517457</v>
      </c>
      <c r="H255" s="1">
        <v>2999</v>
      </c>
      <c r="I255" s="11">
        <v>294744</v>
      </c>
      <c r="J255" s="1">
        <v>207429</v>
      </c>
      <c r="K255" s="11">
        <v>16879666</v>
      </c>
      <c r="L255" s="1">
        <v>1522</v>
      </c>
      <c r="M255" s="11">
        <v>190210</v>
      </c>
      <c r="N255" s="1">
        <v>25928</v>
      </c>
      <c r="O255" s="11">
        <v>2214050</v>
      </c>
      <c r="P255" s="8">
        <v>35</v>
      </c>
      <c r="Q255" s="11">
        <v>6090</v>
      </c>
      <c r="R255" s="8">
        <v>1936</v>
      </c>
      <c r="S255" s="11">
        <v>118454</v>
      </c>
      <c r="T255" s="53">
        <f t="shared" si="130"/>
        <v>264776</v>
      </c>
      <c r="U255" s="54">
        <f t="shared" si="131"/>
        <v>21364730</v>
      </c>
      <c r="V255" s="2" t="s">
        <v>66</v>
      </c>
      <c r="X255" s="13"/>
      <c r="Y255" s="2" t="s">
        <v>9</v>
      </c>
      <c r="Z255" s="2">
        <v>2025</v>
      </c>
      <c r="AA255" s="1">
        <f t="shared" si="132"/>
        <v>27926</v>
      </c>
      <c r="AB255" s="11">
        <f t="shared" si="133"/>
        <v>1956260</v>
      </c>
      <c r="AC255" s="1">
        <f t="shared" si="134"/>
        <v>207429</v>
      </c>
      <c r="AD255" s="11">
        <f t="shared" si="134"/>
        <v>16879666</v>
      </c>
      <c r="AE255" s="8">
        <f t="shared" si="134"/>
        <v>1522</v>
      </c>
      <c r="AF255" s="11">
        <f t="shared" si="134"/>
        <v>190210</v>
      </c>
      <c r="AG255" s="8">
        <f t="shared" si="134"/>
        <v>25928</v>
      </c>
      <c r="AH255" s="11">
        <f t="shared" si="134"/>
        <v>2214050</v>
      </c>
      <c r="AI255" s="8">
        <f t="shared" si="134"/>
        <v>35</v>
      </c>
      <c r="AJ255" s="11">
        <f t="shared" si="134"/>
        <v>6090</v>
      </c>
      <c r="AK255" s="11">
        <f t="shared" si="134"/>
        <v>1936</v>
      </c>
      <c r="AL255" s="11">
        <f t="shared" si="134"/>
        <v>118454</v>
      </c>
      <c r="AM255" s="8">
        <f t="shared" si="138"/>
        <v>264776</v>
      </c>
      <c r="AN255" s="11">
        <f t="shared" si="135"/>
        <v>21364730</v>
      </c>
      <c r="AO255" s="2" t="str">
        <f t="shared" si="136"/>
        <v>LERMA</v>
      </c>
      <c r="AP255" s="37">
        <f t="shared" si="137"/>
        <v>0</v>
      </c>
      <c r="AQ255" s="37">
        <f t="shared" si="137"/>
        <v>0</v>
      </c>
    </row>
    <row r="256" spans="1:43" x14ac:dyDescent="0.25">
      <c r="B256" s="2" t="s">
        <v>10</v>
      </c>
      <c r="C256" s="2">
        <v>2025</v>
      </c>
      <c r="D256" s="1">
        <v>15444</v>
      </c>
      <c r="E256" s="11">
        <v>1037656</v>
      </c>
      <c r="F256" s="1">
        <v>6901</v>
      </c>
      <c r="G256" s="11">
        <v>460505</v>
      </c>
      <c r="H256" s="1">
        <v>2563</v>
      </c>
      <c r="I256" s="11">
        <v>242873</v>
      </c>
      <c r="J256" s="1">
        <v>189384</v>
      </c>
      <c r="K256" s="11">
        <v>15324871</v>
      </c>
      <c r="L256" s="1">
        <v>1451</v>
      </c>
      <c r="M256" s="11">
        <v>184264</v>
      </c>
      <c r="N256" s="1">
        <v>24012</v>
      </c>
      <c r="O256" s="11">
        <v>2047981</v>
      </c>
      <c r="P256" s="8">
        <v>59</v>
      </c>
      <c r="Q256" s="11">
        <v>8925</v>
      </c>
      <c r="R256" s="8">
        <v>1953</v>
      </c>
      <c r="S256" s="11">
        <v>120421</v>
      </c>
      <c r="T256" s="53">
        <f t="shared" si="130"/>
        <v>241767</v>
      </c>
      <c r="U256" s="54">
        <f t="shared" si="131"/>
        <v>19427496</v>
      </c>
      <c r="V256" s="2" t="s">
        <v>66</v>
      </c>
      <c r="Y256" s="2" t="s">
        <v>10</v>
      </c>
      <c r="Z256" s="2">
        <v>2025</v>
      </c>
      <c r="AA256" s="1">
        <f t="shared" si="132"/>
        <v>24908</v>
      </c>
      <c r="AB256" s="11">
        <f t="shared" si="133"/>
        <v>1741034</v>
      </c>
      <c r="AC256" s="1">
        <f t="shared" si="134"/>
        <v>189384</v>
      </c>
      <c r="AD256" s="11">
        <f t="shared" si="134"/>
        <v>15324871</v>
      </c>
      <c r="AE256" s="8">
        <f t="shared" si="134"/>
        <v>1451</v>
      </c>
      <c r="AF256" s="11">
        <f t="shared" si="134"/>
        <v>184264</v>
      </c>
      <c r="AG256" s="8">
        <f t="shared" si="134"/>
        <v>24012</v>
      </c>
      <c r="AH256" s="11">
        <f t="shared" si="134"/>
        <v>2047981</v>
      </c>
      <c r="AI256" s="8">
        <f t="shared" si="134"/>
        <v>59</v>
      </c>
      <c r="AJ256" s="11">
        <f t="shared" si="134"/>
        <v>8925</v>
      </c>
      <c r="AK256" s="11">
        <f t="shared" si="134"/>
        <v>1953</v>
      </c>
      <c r="AL256" s="11">
        <f t="shared" si="134"/>
        <v>120421</v>
      </c>
      <c r="AM256" s="8">
        <f t="shared" si="138"/>
        <v>241767</v>
      </c>
      <c r="AN256" s="11">
        <f t="shared" si="135"/>
        <v>19427496</v>
      </c>
      <c r="AO256" s="2" t="str">
        <f t="shared" si="136"/>
        <v>LERMA</v>
      </c>
      <c r="AP256" s="37">
        <f t="shared" si="137"/>
        <v>0</v>
      </c>
      <c r="AQ256" s="37">
        <f t="shared" si="137"/>
        <v>0</v>
      </c>
    </row>
    <row r="257" spans="1:43" x14ac:dyDescent="0.25">
      <c r="B257" s="2" t="s">
        <v>11</v>
      </c>
      <c r="C257" s="2">
        <v>2025</v>
      </c>
      <c r="D257" s="1">
        <v>17862</v>
      </c>
      <c r="E257" s="11">
        <v>1197641</v>
      </c>
      <c r="F257" s="1">
        <v>6810</v>
      </c>
      <c r="G257" s="11">
        <v>468366</v>
      </c>
      <c r="H257" s="1">
        <v>2220</v>
      </c>
      <c r="I257" s="11">
        <v>180527</v>
      </c>
      <c r="J257" s="1">
        <v>212657</v>
      </c>
      <c r="K257" s="11">
        <v>17063573</v>
      </c>
      <c r="L257" s="1">
        <v>1523</v>
      </c>
      <c r="M257" s="11">
        <v>190775</v>
      </c>
      <c r="N257" s="1">
        <v>25747</v>
      </c>
      <c r="O257" s="11">
        <v>2175657</v>
      </c>
      <c r="P257" s="8">
        <v>1</v>
      </c>
      <c r="Q257" s="11">
        <v>224</v>
      </c>
      <c r="R257" s="8">
        <v>1520</v>
      </c>
      <c r="S257" s="11">
        <v>92185</v>
      </c>
      <c r="T257" s="53">
        <f t="shared" si="130"/>
        <v>268340</v>
      </c>
      <c r="U257" s="54">
        <f t="shared" si="131"/>
        <v>21368948</v>
      </c>
      <c r="V257" s="2" t="s">
        <v>66</v>
      </c>
      <c r="Y257" s="2" t="s">
        <v>11</v>
      </c>
      <c r="Z257" s="2">
        <v>2025</v>
      </c>
      <c r="AA257" s="1">
        <f t="shared" si="132"/>
        <v>26892</v>
      </c>
      <c r="AB257" s="11">
        <f t="shared" si="133"/>
        <v>1846534</v>
      </c>
      <c r="AC257" s="1">
        <f t="shared" si="134"/>
        <v>212657</v>
      </c>
      <c r="AD257" s="11">
        <f t="shared" si="134"/>
        <v>17063573</v>
      </c>
      <c r="AE257" s="8">
        <f t="shared" si="134"/>
        <v>1523</v>
      </c>
      <c r="AF257" s="11">
        <f t="shared" si="134"/>
        <v>190775</v>
      </c>
      <c r="AG257" s="8">
        <f t="shared" si="134"/>
        <v>25747</v>
      </c>
      <c r="AH257" s="11">
        <f t="shared" si="134"/>
        <v>2175657</v>
      </c>
      <c r="AI257" s="8">
        <f t="shared" si="134"/>
        <v>1</v>
      </c>
      <c r="AJ257" s="11">
        <f t="shared" si="134"/>
        <v>224</v>
      </c>
      <c r="AK257" s="11">
        <f t="shared" si="134"/>
        <v>1520</v>
      </c>
      <c r="AL257" s="11">
        <f t="shared" si="134"/>
        <v>92185</v>
      </c>
      <c r="AM257" s="8">
        <f t="shared" si="138"/>
        <v>268340</v>
      </c>
      <c r="AN257" s="11">
        <f t="shared" si="135"/>
        <v>21368948</v>
      </c>
      <c r="AO257" s="2" t="str">
        <f t="shared" si="136"/>
        <v>LERMA</v>
      </c>
      <c r="AP257" s="37">
        <f t="shared" si="137"/>
        <v>0</v>
      </c>
      <c r="AQ257" s="37">
        <f t="shared" si="137"/>
        <v>0</v>
      </c>
    </row>
    <row r="258" spans="1:43" x14ac:dyDescent="0.25">
      <c r="B258" s="2" t="s">
        <v>4</v>
      </c>
      <c r="C258" s="2">
        <v>2025</v>
      </c>
      <c r="D258" s="1">
        <v>11182</v>
      </c>
      <c r="E258" s="11">
        <v>1155983</v>
      </c>
      <c r="F258" s="1">
        <v>5167</v>
      </c>
      <c r="G258" s="11">
        <v>527517</v>
      </c>
      <c r="H258" s="1">
        <v>2904</v>
      </c>
      <c r="I258" s="11">
        <v>269328</v>
      </c>
      <c r="J258" s="1">
        <v>229245</v>
      </c>
      <c r="K258" s="11">
        <v>17770156</v>
      </c>
      <c r="L258" s="1">
        <v>1735</v>
      </c>
      <c r="M258" s="11">
        <v>219914</v>
      </c>
      <c r="N258" s="1">
        <v>28323</v>
      </c>
      <c r="O258" s="11">
        <v>2376649</v>
      </c>
      <c r="P258" s="8">
        <v>35</v>
      </c>
      <c r="Q258" s="11">
        <v>3017</v>
      </c>
      <c r="R258" s="8">
        <v>2446</v>
      </c>
      <c r="S258" s="11">
        <v>149753</v>
      </c>
      <c r="T258" s="53">
        <f t="shared" si="130"/>
        <v>281037</v>
      </c>
      <c r="U258" s="54">
        <f t="shared" si="131"/>
        <v>22472317</v>
      </c>
      <c r="V258" s="2" t="s">
        <v>66</v>
      </c>
      <c r="Y258" s="2" t="s">
        <v>4</v>
      </c>
      <c r="Z258" s="2">
        <v>2025</v>
      </c>
      <c r="AA258" s="1">
        <f t="shared" si="132"/>
        <v>19253</v>
      </c>
      <c r="AB258" s="11">
        <f t="shared" si="133"/>
        <v>1952828</v>
      </c>
      <c r="AC258" s="1">
        <f t="shared" si="134"/>
        <v>229245</v>
      </c>
      <c r="AD258" s="11">
        <f t="shared" si="134"/>
        <v>17770156</v>
      </c>
      <c r="AE258" s="8">
        <f t="shared" si="134"/>
        <v>1735</v>
      </c>
      <c r="AF258" s="11">
        <f t="shared" si="134"/>
        <v>219914</v>
      </c>
      <c r="AG258" s="8">
        <f t="shared" si="134"/>
        <v>28323</v>
      </c>
      <c r="AH258" s="11">
        <f t="shared" si="134"/>
        <v>2376649</v>
      </c>
      <c r="AI258" s="8">
        <f t="shared" si="134"/>
        <v>35</v>
      </c>
      <c r="AJ258" s="11">
        <f t="shared" si="134"/>
        <v>3017</v>
      </c>
      <c r="AK258" s="11">
        <f t="shared" si="134"/>
        <v>2446</v>
      </c>
      <c r="AL258" s="11">
        <f t="shared" si="134"/>
        <v>149753</v>
      </c>
      <c r="AM258" s="27">
        <f t="shared" si="138"/>
        <v>281037</v>
      </c>
      <c r="AN258" s="14">
        <f t="shared" si="135"/>
        <v>22472317</v>
      </c>
      <c r="AO258" s="2" t="str">
        <f t="shared" si="136"/>
        <v>LERMA</v>
      </c>
      <c r="AP258" s="37">
        <f t="shared" si="137"/>
        <v>0</v>
      </c>
      <c r="AQ258" s="37">
        <f t="shared" si="137"/>
        <v>0</v>
      </c>
    </row>
    <row r="259" spans="1:43" x14ac:dyDescent="0.25">
      <c r="B259" s="2" t="s">
        <v>28</v>
      </c>
      <c r="C259" s="2">
        <v>2025</v>
      </c>
      <c r="D259" s="1">
        <v>14860</v>
      </c>
      <c r="E259" s="11">
        <v>981687</v>
      </c>
      <c r="F259" s="1">
        <v>6831</v>
      </c>
      <c r="G259" s="11">
        <v>474625</v>
      </c>
      <c r="H259" s="1">
        <v>2885</v>
      </c>
      <c r="I259" s="11">
        <v>259596</v>
      </c>
      <c r="J259" s="1">
        <v>196118</v>
      </c>
      <c r="K259" s="11">
        <v>15682158</v>
      </c>
      <c r="L259" s="1">
        <v>1528</v>
      </c>
      <c r="M259" s="11">
        <v>194770</v>
      </c>
      <c r="N259" s="1">
        <v>25046</v>
      </c>
      <c r="O259" s="11">
        <v>2153450</v>
      </c>
      <c r="P259" s="8">
        <v>19</v>
      </c>
      <c r="Q259" s="11">
        <v>1687</v>
      </c>
      <c r="R259" s="8">
        <v>1948</v>
      </c>
      <c r="S259" s="11">
        <v>122488</v>
      </c>
      <c r="T259" s="53">
        <f t="shared" si="130"/>
        <v>249235</v>
      </c>
      <c r="U259" s="54">
        <f t="shared" si="131"/>
        <v>19870461</v>
      </c>
      <c r="V259" s="2" t="s">
        <v>66</v>
      </c>
      <c r="Y259" s="2" t="s">
        <v>28</v>
      </c>
      <c r="Z259" s="2">
        <v>2025</v>
      </c>
      <c r="AA259" s="1">
        <f t="shared" si="132"/>
        <v>24576</v>
      </c>
      <c r="AB259" s="11">
        <f t="shared" si="133"/>
        <v>1715908</v>
      </c>
      <c r="AC259" s="1">
        <f t="shared" si="134"/>
        <v>196118</v>
      </c>
      <c r="AD259" s="11">
        <f t="shared" si="134"/>
        <v>15682158</v>
      </c>
      <c r="AE259" s="8">
        <f t="shared" si="134"/>
        <v>1528</v>
      </c>
      <c r="AF259" s="11">
        <f t="shared" si="134"/>
        <v>194770</v>
      </c>
      <c r="AG259" s="8">
        <f t="shared" si="134"/>
        <v>25046</v>
      </c>
      <c r="AH259" s="11">
        <f t="shared" si="134"/>
        <v>2153450</v>
      </c>
      <c r="AI259" s="8">
        <f t="shared" si="134"/>
        <v>19</v>
      </c>
      <c r="AJ259" s="11">
        <f t="shared" si="134"/>
        <v>1687</v>
      </c>
      <c r="AK259" s="11">
        <f t="shared" si="134"/>
        <v>1948</v>
      </c>
      <c r="AL259" s="11">
        <f t="shared" si="134"/>
        <v>122488</v>
      </c>
      <c r="AM259" s="8">
        <f t="shared" si="138"/>
        <v>249235</v>
      </c>
      <c r="AN259" s="11">
        <f t="shared" si="135"/>
        <v>19870461</v>
      </c>
      <c r="AO259" s="2" t="str">
        <f t="shared" si="136"/>
        <v>LERMA</v>
      </c>
      <c r="AP259" s="37">
        <f t="shared" si="137"/>
        <v>0</v>
      </c>
      <c r="AQ259" s="37">
        <f t="shared" si="137"/>
        <v>0</v>
      </c>
    </row>
    <row r="260" spans="1:43" x14ac:dyDescent="0.25">
      <c r="B260" s="2" t="s">
        <v>29</v>
      </c>
      <c r="C260" s="2">
        <v>2025</v>
      </c>
      <c r="D260" s="1">
        <v>4406</v>
      </c>
      <c r="E260" s="11">
        <v>330031</v>
      </c>
      <c r="F260" s="1">
        <v>2667</v>
      </c>
      <c r="G260" s="11">
        <v>205141</v>
      </c>
      <c r="H260" s="1">
        <v>1409</v>
      </c>
      <c r="I260" s="11">
        <v>143796</v>
      </c>
      <c r="J260" s="1">
        <v>74844</v>
      </c>
      <c r="K260" s="11">
        <v>7381621</v>
      </c>
      <c r="L260" s="1">
        <v>859</v>
      </c>
      <c r="M260" s="11">
        <v>124013</v>
      </c>
      <c r="N260" s="1">
        <v>11160</v>
      </c>
      <c r="O260" s="11">
        <v>1110423</v>
      </c>
      <c r="P260" s="8">
        <v>17</v>
      </c>
      <c r="Q260" s="11">
        <v>2009</v>
      </c>
      <c r="R260" s="8">
        <v>631</v>
      </c>
      <c r="S260" s="11">
        <v>48169</v>
      </c>
      <c r="T260" s="53">
        <f t="shared" si="130"/>
        <v>95993</v>
      </c>
      <c r="U260" s="54">
        <f t="shared" si="131"/>
        <v>9345203</v>
      </c>
      <c r="V260" s="2" t="s">
        <v>66</v>
      </c>
      <c r="Y260" s="2" t="s">
        <v>29</v>
      </c>
      <c r="Z260" s="2">
        <v>2025</v>
      </c>
      <c r="AA260" s="1">
        <f t="shared" si="132"/>
        <v>8482</v>
      </c>
      <c r="AB260" s="11">
        <f t="shared" si="133"/>
        <v>678968</v>
      </c>
      <c r="AC260" s="1">
        <f t="shared" si="134"/>
        <v>74844</v>
      </c>
      <c r="AD260" s="11">
        <f t="shared" si="134"/>
        <v>7381621</v>
      </c>
      <c r="AE260" s="8">
        <f t="shared" si="134"/>
        <v>859</v>
      </c>
      <c r="AF260" s="11">
        <f t="shared" si="134"/>
        <v>124013</v>
      </c>
      <c r="AG260" s="8">
        <f t="shared" si="134"/>
        <v>11160</v>
      </c>
      <c r="AH260" s="11">
        <f t="shared" si="134"/>
        <v>1110423</v>
      </c>
      <c r="AI260" s="8">
        <f t="shared" si="134"/>
        <v>17</v>
      </c>
      <c r="AJ260" s="11">
        <f t="shared" si="134"/>
        <v>2009</v>
      </c>
      <c r="AK260" s="11">
        <f t="shared" si="134"/>
        <v>631</v>
      </c>
      <c r="AL260" s="11">
        <f t="shared" si="134"/>
        <v>48169</v>
      </c>
      <c r="AM260" s="8">
        <f t="shared" si="138"/>
        <v>95993</v>
      </c>
      <c r="AN260" s="11">
        <f t="shared" si="135"/>
        <v>9345203</v>
      </c>
      <c r="AO260" s="2" t="str">
        <f t="shared" si="136"/>
        <v>LERMA</v>
      </c>
      <c r="AP260" s="37">
        <f t="shared" si="137"/>
        <v>0</v>
      </c>
      <c r="AQ260" s="37">
        <f t="shared" si="137"/>
        <v>0</v>
      </c>
    </row>
    <row r="261" spans="1:43" x14ac:dyDescent="0.25">
      <c r="B261" s="2" t="s">
        <v>30</v>
      </c>
      <c r="C261" s="2">
        <v>2025</v>
      </c>
      <c r="D261" s="1">
        <v>16121</v>
      </c>
      <c r="E261" s="11">
        <v>1067637</v>
      </c>
      <c r="F261" s="1">
        <v>7513</v>
      </c>
      <c r="G261" s="11">
        <v>509541</v>
      </c>
      <c r="H261" s="1">
        <v>3085</v>
      </c>
      <c r="I261" s="11">
        <v>276043</v>
      </c>
      <c r="J261" s="1">
        <v>207995</v>
      </c>
      <c r="K261" s="11">
        <v>16825437</v>
      </c>
      <c r="L261" s="1">
        <v>1697</v>
      </c>
      <c r="M261" s="11">
        <v>224794</v>
      </c>
      <c r="N261" s="1">
        <v>25082</v>
      </c>
      <c r="O261" s="11">
        <v>2124130</v>
      </c>
      <c r="P261" s="8">
        <v>20</v>
      </c>
      <c r="Q261" s="11">
        <v>3066</v>
      </c>
      <c r="R261" s="8">
        <v>2070</v>
      </c>
      <c r="S261" s="11">
        <v>136894</v>
      </c>
      <c r="T261" s="53">
        <f t="shared" si="130"/>
        <v>263583</v>
      </c>
      <c r="U261" s="54">
        <f t="shared" si="131"/>
        <v>21167542</v>
      </c>
      <c r="V261" s="2" t="s">
        <v>66</v>
      </c>
      <c r="Y261" s="2" t="s">
        <v>30</v>
      </c>
      <c r="Z261" s="2">
        <v>2025</v>
      </c>
      <c r="AA261" s="1">
        <f t="shared" si="132"/>
        <v>26719</v>
      </c>
      <c r="AB261" s="11">
        <f t="shared" si="133"/>
        <v>1853221</v>
      </c>
      <c r="AC261" s="1">
        <f t="shared" si="134"/>
        <v>207995</v>
      </c>
      <c r="AD261" s="11">
        <f t="shared" si="134"/>
        <v>16825437</v>
      </c>
      <c r="AE261" s="8">
        <f t="shared" si="134"/>
        <v>1697</v>
      </c>
      <c r="AF261" s="11">
        <f t="shared" si="134"/>
        <v>224794</v>
      </c>
      <c r="AG261" s="8">
        <f t="shared" si="134"/>
        <v>25082</v>
      </c>
      <c r="AH261" s="11">
        <f t="shared" si="134"/>
        <v>2124130</v>
      </c>
      <c r="AI261" s="8">
        <f t="shared" si="134"/>
        <v>20</v>
      </c>
      <c r="AJ261" s="11">
        <f t="shared" si="134"/>
        <v>3066</v>
      </c>
      <c r="AK261" s="11">
        <f t="shared" si="134"/>
        <v>2070</v>
      </c>
      <c r="AL261" s="11">
        <f t="shared" si="134"/>
        <v>136894</v>
      </c>
      <c r="AM261" s="79">
        <f t="shared" si="138"/>
        <v>263583</v>
      </c>
      <c r="AN261" s="80">
        <f t="shared" si="135"/>
        <v>21167542</v>
      </c>
      <c r="AO261" s="2" t="str">
        <f t="shared" si="136"/>
        <v>LERMA</v>
      </c>
      <c r="AP261" s="37">
        <f t="shared" si="137"/>
        <v>0</v>
      </c>
      <c r="AQ261" s="37">
        <f t="shared" si="137"/>
        <v>0</v>
      </c>
    </row>
    <row r="262" spans="1:43" x14ac:dyDescent="0.25">
      <c r="B262" s="2" t="s">
        <v>31</v>
      </c>
      <c r="C262" s="2">
        <v>2025</v>
      </c>
      <c r="D262" s="1">
        <v>17039</v>
      </c>
      <c r="E262" s="11">
        <v>1112671</v>
      </c>
      <c r="F262" s="1">
        <v>7633</v>
      </c>
      <c r="G262" s="11">
        <v>543775</v>
      </c>
      <c r="H262" s="1">
        <v>3363</v>
      </c>
      <c r="I262" s="11">
        <v>291745</v>
      </c>
      <c r="J262" s="1">
        <v>221498</v>
      </c>
      <c r="K262" s="11">
        <v>17482187</v>
      </c>
      <c r="L262" s="1">
        <v>1674</v>
      </c>
      <c r="M262" s="11">
        <v>228265</v>
      </c>
      <c r="N262" s="1">
        <v>28202</v>
      </c>
      <c r="O262" s="11">
        <v>2443293</v>
      </c>
      <c r="P262" s="8">
        <v>12</v>
      </c>
      <c r="Q262" s="11">
        <v>2044</v>
      </c>
      <c r="R262" s="8">
        <v>2554</v>
      </c>
      <c r="S262" s="11">
        <v>164487</v>
      </c>
      <c r="T262" s="53">
        <f t="shared" si="130"/>
        <v>281975</v>
      </c>
      <c r="U262" s="54">
        <f t="shared" si="131"/>
        <v>22268467</v>
      </c>
      <c r="V262" s="2" t="s">
        <v>66</v>
      </c>
      <c r="W262" s="13"/>
      <c r="Y262" s="2" t="s">
        <v>31</v>
      </c>
      <c r="Z262" s="2">
        <v>2025</v>
      </c>
      <c r="AA262" s="1">
        <f t="shared" si="132"/>
        <v>28035</v>
      </c>
      <c r="AB262" s="11">
        <f t="shared" si="133"/>
        <v>1948191</v>
      </c>
      <c r="AC262" s="1">
        <f t="shared" si="134"/>
        <v>221498</v>
      </c>
      <c r="AD262" s="11">
        <f t="shared" si="134"/>
        <v>17482187</v>
      </c>
      <c r="AE262" s="8">
        <f t="shared" si="134"/>
        <v>1674</v>
      </c>
      <c r="AF262" s="11">
        <f t="shared" si="134"/>
        <v>228265</v>
      </c>
      <c r="AG262" s="8">
        <f t="shared" si="134"/>
        <v>28202</v>
      </c>
      <c r="AH262" s="11">
        <f t="shared" si="134"/>
        <v>2443293</v>
      </c>
      <c r="AI262" s="8">
        <f t="shared" si="134"/>
        <v>12</v>
      </c>
      <c r="AJ262" s="11">
        <f t="shared" si="134"/>
        <v>2044</v>
      </c>
      <c r="AK262" s="11">
        <f t="shared" si="134"/>
        <v>2554</v>
      </c>
      <c r="AL262" s="11">
        <f t="shared" si="134"/>
        <v>164487</v>
      </c>
      <c r="AM262" s="8">
        <f t="shared" si="138"/>
        <v>281975</v>
      </c>
      <c r="AN262" s="11">
        <f t="shared" si="135"/>
        <v>22268467</v>
      </c>
      <c r="AO262" s="2" t="str">
        <f t="shared" si="136"/>
        <v>LERMA</v>
      </c>
      <c r="AP262" s="37">
        <f t="shared" si="137"/>
        <v>0</v>
      </c>
      <c r="AQ262" s="37">
        <f t="shared" si="137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139">SUM(D251:D263)</f>
        <v>183714</v>
      </c>
      <c r="E264" s="12">
        <f t="shared" si="139"/>
        <v>12496545</v>
      </c>
      <c r="F264" s="4">
        <f t="shared" si="139"/>
        <v>77616</v>
      </c>
      <c r="G264" s="12">
        <f t="shared" si="139"/>
        <v>5559304</v>
      </c>
      <c r="H264" s="4">
        <f t="shared" si="139"/>
        <v>31831</v>
      </c>
      <c r="I264" s="12">
        <f t="shared" si="139"/>
        <v>2897949</v>
      </c>
      <c r="J264" s="4">
        <f t="shared" si="139"/>
        <v>2352175</v>
      </c>
      <c r="K264" s="12">
        <f t="shared" si="139"/>
        <v>189089154</v>
      </c>
      <c r="L264" s="4">
        <f t="shared" si="139"/>
        <v>18013</v>
      </c>
      <c r="M264" s="12">
        <f t="shared" si="139"/>
        <v>2334004</v>
      </c>
      <c r="N264" s="4">
        <f t="shared" si="139"/>
        <v>295090</v>
      </c>
      <c r="O264" s="12">
        <f t="shared" si="139"/>
        <v>25264501</v>
      </c>
      <c r="P264" s="4">
        <f>SUM(P251:P263)</f>
        <v>310</v>
      </c>
      <c r="Q264" s="12">
        <f>SUM(Q251:Q263)</f>
        <v>47483</v>
      </c>
      <c r="R264" s="4">
        <f>SUM(R251:R263)</f>
        <v>21030</v>
      </c>
      <c r="S264" s="12">
        <f>SUM(S251:S263)</f>
        <v>1295698</v>
      </c>
      <c r="T264" s="4">
        <f t="shared" ref="T264:U264" si="140">SUM(T251:T263)</f>
        <v>2979779</v>
      </c>
      <c r="U264" s="12">
        <f t="shared" si="140"/>
        <v>238984638</v>
      </c>
      <c r="Y264" s="3" t="s">
        <v>12</v>
      </c>
      <c r="Z264" s="3"/>
      <c r="AA264" s="4">
        <f t="shared" ref="AA264:AN264" si="141">SUM(AA251:AA263)</f>
        <v>293161</v>
      </c>
      <c r="AB264" s="12">
        <f t="shared" si="141"/>
        <v>20953798</v>
      </c>
      <c r="AC264" s="4">
        <f t="shared" si="141"/>
        <v>2352175</v>
      </c>
      <c r="AD264" s="12">
        <f t="shared" si="141"/>
        <v>189089154</v>
      </c>
      <c r="AE264" s="4">
        <f t="shared" si="141"/>
        <v>18013</v>
      </c>
      <c r="AF264" s="12">
        <f t="shared" si="141"/>
        <v>2334004</v>
      </c>
      <c r="AG264" s="4">
        <f t="shared" si="141"/>
        <v>295090</v>
      </c>
      <c r="AH264" s="12">
        <f t="shared" si="141"/>
        <v>25264501</v>
      </c>
      <c r="AI264" s="4">
        <f t="shared" si="141"/>
        <v>310</v>
      </c>
      <c r="AJ264" s="12">
        <f t="shared" si="141"/>
        <v>47483</v>
      </c>
      <c r="AK264" s="4">
        <f t="shared" si="141"/>
        <v>21030</v>
      </c>
      <c r="AL264" s="12">
        <f t="shared" si="141"/>
        <v>1295698</v>
      </c>
      <c r="AM264" s="4">
        <f t="shared" si="141"/>
        <v>2979779</v>
      </c>
      <c r="AN264" s="12">
        <f t="shared" si="141"/>
        <v>238984638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1421</v>
      </c>
      <c r="M265" s="60">
        <f>AVERAGE(M251:M252)</f>
        <v>182784</v>
      </c>
      <c r="T265" s="15">
        <f t="shared" ref="T265:U265" si="142">AVERAGE(T251:T252)</f>
        <v>250275.5</v>
      </c>
      <c r="U265" s="28">
        <f t="shared" si="142"/>
        <v>19657915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9.5294938168942293E-3</v>
      </c>
      <c r="M266" s="36">
        <f>+M265/$M$371</f>
        <v>7.0336223458095726E-3</v>
      </c>
      <c r="N266" s="18"/>
      <c r="O266" s="19"/>
      <c r="P266" s="19"/>
      <c r="Q266" s="19"/>
      <c r="R266" s="19"/>
      <c r="S266" s="19"/>
      <c r="T266" s="36">
        <f>+L265/T265</f>
        <v>5.6777431270739649E-3</v>
      </c>
      <c r="U266" s="62">
        <f>+M265/U265</f>
        <v>9.2982394114533504E-3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0"/>
      <c r="F269" s="89" t="s">
        <v>71</v>
      </c>
      <c r="G269" s="90"/>
      <c r="H269" s="89" t="s">
        <v>16</v>
      </c>
      <c r="I269" s="90"/>
      <c r="J269" s="89" t="s">
        <v>17</v>
      </c>
      <c r="K269" s="93"/>
      <c r="L269" s="89" t="s">
        <v>18</v>
      </c>
      <c r="M269" s="93"/>
      <c r="N269" s="89" t="s">
        <v>13</v>
      </c>
      <c r="O269" s="93"/>
      <c r="P269" s="89" t="s">
        <v>34</v>
      </c>
      <c r="Q269" s="93"/>
      <c r="R269" s="89" t="s">
        <v>87</v>
      </c>
      <c r="S269" s="93"/>
      <c r="T269" s="89" t="s">
        <v>12</v>
      </c>
      <c r="U269" s="93"/>
      <c r="AA269" s="89" t="s">
        <v>69</v>
      </c>
      <c r="AB269" s="90"/>
      <c r="AC269" s="89" t="s">
        <v>17</v>
      </c>
      <c r="AD269" s="93"/>
      <c r="AE269" s="89" t="s">
        <v>18</v>
      </c>
      <c r="AF269" s="93"/>
      <c r="AG269" s="89" t="s">
        <v>13</v>
      </c>
      <c r="AH269" s="93"/>
      <c r="AI269" s="89" t="s">
        <v>34</v>
      </c>
      <c r="AJ269" s="93"/>
      <c r="AK269" s="89" t="s">
        <v>87</v>
      </c>
      <c r="AL269" s="93"/>
      <c r="AM269" s="89" t="s">
        <v>12</v>
      </c>
      <c r="AN269" s="93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2025</v>
      </c>
      <c r="D272" s="1">
        <v>1793</v>
      </c>
      <c r="E272" s="11">
        <v>140612</v>
      </c>
      <c r="F272" s="1">
        <v>797</v>
      </c>
      <c r="G272" s="11">
        <v>76797</v>
      </c>
      <c r="H272" s="1">
        <v>550</v>
      </c>
      <c r="I272" s="11">
        <v>54533</v>
      </c>
      <c r="J272" s="1">
        <v>35889</v>
      </c>
      <c r="K272" s="11">
        <v>3589711</v>
      </c>
      <c r="L272" s="1">
        <v>585</v>
      </c>
      <c r="M272" s="11">
        <v>59057</v>
      </c>
      <c r="N272" s="1">
        <v>1582</v>
      </c>
      <c r="O272" s="11">
        <v>190553</v>
      </c>
      <c r="P272" s="8">
        <v>56</v>
      </c>
      <c r="Q272" s="11">
        <v>10811</v>
      </c>
      <c r="R272" s="8">
        <v>171</v>
      </c>
      <c r="S272" s="11">
        <v>15460</v>
      </c>
      <c r="T272" s="53">
        <f t="shared" ref="T272:T283" si="143">N272+L272+J272+H272+D272+P272+F272+R272</f>
        <v>41423</v>
      </c>
      <c r="U272" s="54">
        <f t="shared" ref="U272:U283" si="144">O272+M272+K272+I272+E272+Q272+G272+S272</f>
        <v>4137534</v>
      </c>
      <c r="V272" s="2" t="s">
        <v>68</v>
      </c>
      <c r="Y272" s="2" t="s">
        <v>5</v>
      </c>
      <c r="Z272" s="2">
        <v>2025</v>
      </c>
      <c r="AA272" s="1">
        <f t="shared" ref="AA272:AA283" si="145">D272+H272+F272</f>
        <v>3140</v>
      </c>
      <c r="AB272" s="11">
        <f t="shared" ref="AB272:AB283" si="146">E272+I272+G272</f>
        <v>271942</v>
      </c>
      <c r="AC272" s="1">
        <f t="shared" ref="AC272:AL283" si="147">+J272</f>
        <v>35889</v>
      </c>
      <c r="AD272" s="11">
        <f t="shared" si="147"/>
        <v>3589711</v>
      </c>
      <c r="AE272" s="8">
        <f t="shared" si="147"/>
        <v>585</v>
      </c>
      <c r="AF272" s="11">
        <f t="shared" si="147"/>
        <v>59057</v>
      </c>
      <c r="AG272" s="8">
        <f t="shared" si="147"/>
        <v>1582</v>
      </c>
      <c r="AH272" s="11">
        <f t="shared" si="147"/>
        <v>190553</v>
      </c>
      <c r="AI272" s="8">
        <f t="shared" si="147"/>
        <v>56</v>
      </c>
      <c r="AJ272" s="11">
        <f t="shared" si="147"/>
        <v>10811</v>
      </c>
      <c r="AK272" s="11">
        <f t="shared" si="147"/>
        <v>171</v>
      </c>
      <c r="AL272" s="11">
        <f t="shared" si="147"/>
        <v>15460</v>
      </c>
      <c r="AM272" s="8">
        <f>AI272+AG272+AE272+AC272+AA272+AK272</f>
        <v>41423</v>
      </c>
      <c r="AN272" s="11">
        <f t="shared" ref="AN272:AN283" si="148">AJ272+AH272+AF272+AD272+AB272+AL272</f>
        <v>4137534</v>
      </c>
      <c r="AO272" s="2" t="str">
        <f t="shared" ref="AO272:AO283" si="149">+V272</f>
        <v>IRAPUATO</v>
      </c>
      <c r="AP272" s="37">
        <f t="shared" ref="AP272:AQ283" si="150">+AM272-T272</f>
        <v>0</v>
      </c>
      <c r="AQ272" s="37">
        <f t="shared" si="150"/>
        <v>0</v>
      </c>
    </row>
    <row r="273" spans="1:43" x14ac:dyDescent="0.25">
      <c r="B273" s="2" t="s">
        <v>6</v>
      </c>
      <c r="C273" s="2">
        <v>2025</v>
      </c>
      <c r="D273" s="1">
        <v>1766</v>
      </c>
      <c r="E273" s="11">
        <v>136188</v>
      </c>
      <c r="F273" s="1">
        <v>703</v>
      </c>
      <c r="G273" s="11">
        <v>69862</v>
      </c>
      <c r="H273" s="1">
        <v>571</v>
      </c>
      <c r="I273" s="11">
        <v>51890</v>
      </c>
      <c r="J273" s="1">
        <v>33651</v>
      </c>
      <c r="K273" s="11">
        <v>3417448</v>
      </c>
      <c r="L273" s="1">
        <v>600</v>
      </c>
      <c r="M273" s="11">
        <v>60214</v>
      </c>
      <c r="N273" s="1">
        <v>1054</v>
      </c>
      <c r="O273" s="11">
        <v>127696</v>
      </c>
      <c r="P273" s="8">
        <v>123</v>
      </c>
      <c r="Q273" s="11">
        <v>22970</v>
      </c>
      <c r="R273" s="8">
        <v>142</v>
      </c>
      <c r="S273" s="11">
        <v>14176</v>
      </c>
      <c r="T273" s="53">
        <f t="shared" si="143"/>
        <v>38610</v>
      </c>
      <c r="U273" s="54">
        <f t="shared" si="144"/>
        <v>3900444</v>
      </c>
      <c r="V273" s="2" t="s">
        <v>68</v>
      </c>
      <c r="Y273" s="2" t="s">
        <v>6</v>
      </c>
      <c r="Z273" s="2">
        <v>2025</v>
      </c>
      <c r="AA273" s="1">
        <f t="shared" si="145"/>
        <v>3040</v>
      </c>
      <c r="AB273" s="11">
        <f t="shared" si="146"/>
        <v>257940</v>
      </c>
      <c r="AC273" s="1">
        <f t="shared" si="147"/>
        <v>33651</v>
      </c>
      <c r="AD273" s="11">
        <f t="shared" si="147"/>
        <v>3417448</v>
      </c>
      <c r="AE273" s="8">
        <f t="shared" si="147"/>
        <v>600</v>
      </c>
      <c r="AF273" s="11">
        <f t="shared" si="147"/>
        <v>60214</v>
      </c>
      <c r="AG273" s="8">
        <f t="shared" si="147"/>
        <v>1054</v>
      </c>
      <c r="AH273" s="11">
        <f t="shared" si="147"/>
        <v>127696</v>
      </c>
      <c r="AI273" s="8">
        <f t="shared" si="147"/>
        <v>123</v>
      </c>
      <c r="AJ273" s="11">
        <f t="shared" si="147"/>
        <v>22970</v>
      </c>
      <c r="AK273" s="11">
        <f t="shared" si="147"/>
        <v>142</v>
      </c>
      <c r="AL273" s="11">
        <f t="shared" si="147"/>
        <v>14176</v>
      </c>
      <c r="AM273" s="8">
        <f t="shared" ref="AM273:AM283" si="151">AI273+AG273+AE273+AC273+AA273+AK273</f>
        <v>38610</v>
      </c>
      <c r="AN273" s="11">
        <f t="shared" si="148"/>
        <v>3900444</v>
      </c>
      <c r="AO273" s="2" t="str">
        <f t="shared" si="149"/>
        <v>IRAPUATO</v>
      </c>
      <c r="AP273" s="37">
        <f t="shared" si="150"/>
        <v>0</v>
      </c>
      <c r="AQ273" s="37">
        <f t="shared" si="150"/>
        <v>0</v>
      </c>
    </row>
    <row r="274" spans="1:43" x14ac:dyDescent="0.25">
      <c r="B274" s="2" t="s">
        <v>7</v>
      </c>
      <c r="C274" s="2">
        <v>2025</v>
      </c>
      <c r="D274" s="1">
        <v>1881</v>
      </c>
      <c r="E274" s="11">
        <v>158587</v>
      </c>
      <c r="F274" s="1">
        <v>781</v>
      </c>
      <c r="G274" s="11">
        <v>77171</v>
      </c>
      <c r="H274" s="1">
        <v>568</v>
      </c>
      <c r="I274" s="11">
        <v>51758</v>
      </c>
      <c r="J274" s="1">
        <v>34711</v>
      </c>
      <c r="K274" s="11">
        <v>3498286</v>
      </c>
      <c r="L274" s="1">
        <v>687</v>
      </c>
      <c r="M274" s="11">
        <v>67839</v>
      </c>
      <c r="N274" s="1">
        <v>1586</v>
      </c>
      <c r="O274" s="11">
        <v>200808</v>
      </c>
      <c r="P274" s="8">
        <v>124</v>
      </c>
      <c r="Q274" s="11">
        <v>20600</v>
      </c>
      <c r="R274" s="8">
        <v>142</v>
      </c>
      <c r="S274" s="11">
        <v>14003</v>
      </c>
      <c r="T274" s="53">
        <f t="shared" si="143"/>
        <v>40480</v>
      </c>
      <c r="U274" s="54">
        <f t="shared" si="144"/>
        <v>4089052</v>
      </c>
      <c r="V274" s="2" t="s">
        <v>68</v>
      </c>
      <c r="X274" s="13"/>
      <c r="Y274" s="2" t="s">
        <v>7</v>
      </c>
      <c r="Z274" s="2">
        <v>2025</v>
      </c>
      <c r="AA274" s="1">
        <f t="shared" si="145"/>
        <v>3230</v>
      </c>
      <c r="AB274" s="11">
        <f t="shared" si="146"/>
        <v>287516</v>
      </c>
      <c r="AC274" s="1">
        <f t="shared" si="147"/>
        <v>34711</v>
      </c>
      <c r="AD274" s="11">
        <f t="shared" si="147"/>
        <v>3498286</v>
      </c>
      <c r="AE274" s="8">
        <f t="shared" si="147"/>
        <v>687</v>
      </c>
      <c r="AF274" s="11">
        <f t="shared" si="147"/>
        <v>67839</v>
      </c>
      <c r="AG274" s="8">
        <f t="shared" si="147"/>
        <v>1586</v>
      </c>
      <c r="AH274" s="11">
        <f t="shared" si="147"/>
        <v>200808</v>
      </c>
      <c r="AI274" s="8">
        <f t="shared" si="147"/>
        <v>124</v>
      </c>
      <c r="AJ274" s="11">
        <f t="shared" si="147"/>
        <v>20600</v>
      </c>
      <c r="AK274" s="11">
        <f t="shared" si="147"/>
        <v>142</v>
      </c>
      <c r="AL274" s="11">
        <f t="shared" si="147"/>
        <v>14003</v>
      </c>
      <c r="AM274" s="8">
        <f t="shared" si="151"/>
        <v>40480</v>
      </c>
      <c r="AN274" s="11">
        <f t="shared" si="148"/>
        <v>4089052</v>
      </c>
      <c r="AO274" s="2" t="str">
        <f t="shared" si="149"/>
        <v>IRAPUATO</v>
      </c>
      <c r="AP274" s="37">
        <f t="shared" si="150"/>
        <v>0</v>
      </c>
      <c r="AQ274" s="37">
        <f t="shared" si="150"/>
        <v>0</v>
      </c>
    </row>
    <row r="275" spans="1:43" x14ac:dyDescent="0.25">
      <c r="B275" s="2" t="s">
        <v>8</v>
      </c>
      <c r="C275" s="2">
        <v>2025</v>
      </c>
      <c r="D275" s="1">
        <v>2010</v>
      </c>
      <c r="E275" s="11">
        <v>174022</v>
      </c>
      <c r="F275" s="1">
        <v>847</v>
      </c>
      <c r="G275" s="11">
        <v>87898</v>
      </c>
      <c r="H275" s="1">
        <v>469</v>
      </c>
      <c r="I275" s="11">
        <v>42242</v>
      </c>
      <c r="J275" s="1">
        <v>31199</v>
      </c>
      <c r="K275" s="11">
        <v>3158163</v>
      </c>
      <c r="L275" s="1">
        <v>598</v>
      </c>
      <c r="M275" s="11">
        <v>59724</v>
      </c>
      <c r="N275" s="1">
        <v>1215</v>
      </c>
      <c r="O275" s="11">
        <v>150180</v>
      </c>
      <c r="P275" s="8">
        <v>23</v>
      </c>
      <c r="Q275" s="11">
        <v>3008</v>
      </c>
      <c r="R275" s="8">
        <v>162</v>
      </c>
      <c r="S275" s="11">
        <v>16134</v>
      </c>
      <c r="T275" s="53">
        <f t="shared" si="143"/>
        <v>36523</v>
      </c>
      <c r="U275" s="54">
        <f t="shared" si="144"/>
        <v>3691371</v>
      </c>
      <c r="V275" s="2" t="s">
        <v>68</v>
      </c>
      <c r="X275" s="13"/>
      <c r="Y275" s="2" t="s">
        <v>8</v>
      </c>
      <c r="Z275" s="2">
        <v>2025</v>
      </c>
      <c r="AA275" s="1">
        <f t="shared" si="145"/>
        <v>3326</v>
      </c>
      <c r="AB275" s="11">
        <f t="shared" si="146"/>
        <v>304162</v>
      </c>
      <c r="AC275" s="1">
        <f t="shared" si="147"/>
        <v>31199</v>
      </c>
      <c r="AD275" s="11">
        <f t="shared" si="147"/>
        <v>3158163</v>
      </c>
      <c r="AE275" s="8">
        <f t="shared" si="147"/>
        <v>598</v>
      </c>
      <c r="AF275" s="11">
        <f t="shared" si="147"/>
        <v>59724</v>
      </c>
      <c r="AG275" s="8">
        <f t="shared" si="147"/>
        <v>1215</v>
      </c>
      <c r="AH275" s="11">
        <f t="shared" si="147"/>
        <v>150180</v>
      </c>
      <c r="AI275" s="8">
        <f t="shared" si="147"/>
        <v>23</v>
      </c>
      <c r="AJ275" s="11">
        <f t="shared" si="147"/>
        <v>3008</v>
      </c>
      <c r="AK275" s="11">
        <f t="shared" si="147"/>
        <v>162</v>
      </c>
      <c r="AL275" s="11">
        <f t="shared" si="147"/>
        <v>16134</v>
      </c>
      <c r="AM275" s="8">
        <f t="shared" si="151"/>
        <v>36523</v>
      </c>
      <c r="AN275" s="11">
        <f t="shared" si="148"/>
        <v>3691371</v>
      </c>
      <c r="AO275" s="2" t="str">
        <f t="shared" si="149"/>
        <v>IRAPUATO</v>
      </c>
      <c r="AP275" s="37">
        <f t="shared" si="150"/>
        <v>0</v>
      </c>
      <c r="AQ275" s="37">
        <f t="shared" si="150"/>
        <v>0</v>
      </c>
    </row>
    <row r="276" spans="1:43" x14ac:dyDescent="0.25">
      <c r="B276" s="2" t="s">
        <v>9</v>
      </c>
      <c r="C276" s="2">
        <v>2025</v>
      </c>
      <c r="D276" s="1">
        <v>2072</v>
      </c>
      <c r="E276" s="11">
        <v>176548</v>
      </c>
      <c r="F276" s="1">
        <v>814</v>
      </c>
      <c r="G276" s="11">
        <v>83568</v>
      </c>
      <c r="H276" s="1">
        <v>630</v>
      </c>
      <c r="I276" s="11">
        <v>55905</v>
      </c>
      <c r="J276" s="1">
        <v>33987</v>
      </c>
      <c r="K276" s="11">
        <v>3292212</v>
      </c>
      <c r="L276" s="1">
        <v>552</v>
      </c>
      <c r="M276" s="11">
        <v>62524</v>
      </c>
      <c r="N276" s="1">
        <v>1122</v>
      </c>
      <c r="O276" s="11">
        <v>132385</v>
      </c>
      <c r="P276" s="8">
        <v>58</v>
      </c>
      <c r="Q276" s="11">
        <v>8016</v>
      </c>
      <c r="R276" s="8">
        <v>215</v>
      </c>
      <c r="S276" s="11">
        <v>20343</v>
      </c>
      <c r="T276" s="53">
        <f t="shared" si="143"/>
        <v>39450</v>
      </c>
      <c r="U276" s="54">
        <f t="shared" si="144"/>
        <v>3831501</v>
      </c>
      <c r="V276" s="2" t="s">
        <v>68</v>
      </c>
      <c r="X276" s="13"/>
      <c r="Y276" s="2" t="s">
        <v>9</v>
      </c>
      <c r="Z276" s="2">
        <v>2025</v>
      </c>
      <c r="AA276" s="1">
        <f t="shared" si="145"/>
        <v>3516</v>
      </c>
      <c r="AB276" s="11">
        <f t="shared" si="146"/>
        <v>316021</v>
      </c>
      <c r="AC276" s="1">
        <f t="shared" si="147"/>
        <v>33987</v>
      </c>
      <c r="AD276" s="11">
        <f t="shared" si="147"/>
        <v>3292212</v>
      </c>
      <c r="AE276" s="8">
        <f t="shared" si="147"/>
        <v>552</v>
      </c>
      <c r="AF276" s="11">
        <f t="shared" si="147"/>
        <v>62524</v>
      </c>
      <c r="AG276" s="8">
        <f t="shared" si="147"/>
        <v>1122</v>
      </c>
      <c r="AH276" s="11">
        <f t="shared" si="147"/>
        <v>132385</v>
      </c>
      <c r="AI276" s="8">
        <f t="shared" si="147"/>
        <v>58</v>
      </c>
      <c r="AJ276" s="11">
        <f t="shared" si="147"/>
        <v>8016</v>
      </c>
      <c r="AK276" s="11">
        <f t="shared" si="147"/>
        <v>215</v>
      </c>
      <c r="AL276" s="11">
        <f t="shared" si="147"/>
        <v>20343</v>
      </c>
      <c r="AM276" s="8">
        <f t="shared" si="151"/>
        <v>39450</v>
      </c>
      <c r="AN276" s="11">
        <f t="shared" si="148"/>
        <v>3831501</v>
      </c>
      <c r="AO276" s="2" t="str">
        <f t="shared" si="149"/>
        <v>IRAPUATO</v>
      </c>
      <c r="AP276" s="37">
        <f t="shared" si="150"/>
        <v>0</v>
      </c>
      <c r="AQ276" s="37">
        <f t="shared" si="150"/>
        <v>0</v>
      </c>
    </row>
    <row r="277" spans="1:43" x14ac:dyDescent="0.25">
      <c r="B277" s="2" t="s">
        <v>10</v>
      </c>
      <c r="C277" s="2">
        <v>2025</v>
      </c>
      <c r="D277" s="1">
        <v>2130</v>
      </c>
      <c r="E277" s="11">
        <v>169065</v>
      </c>
      <c r="F277" s="1">
        <v>690</v>
      </c>
      <c r="G277" s="11">
        <v>61325</v>
      </c>
      <c r="H277" s="1">
        <v>777</v>
      </c>
      <c r="I277" s="11">
        <v>70475</v>
      </c>
      <c r="J277" s="1">
        <v>34382</v>
      </c>
      <c r="K277" s="11">
        <v>3153193</v>
      </c>
      <c r="L277" s="1">
        <v>640</v>
      </c>
      <c r="M277" s="11">
        <v>67017</v>
      </c>
      <c r="N277" s="1">
        <v>1149</v>
      </c>
      <c r="O277" s="11">
        <v>135673</v>
      </c>
      <c r="P277" s="8">
        <v>55</v>
      </c>
      <c r="Q277" s="11">
        <v>7291</v>
      </c>
      <c r="R277" s="8">
        <v>236</v>
      </c>
      <c r="S277" s="11">
        <v>20581</v>
      </c>
      <c r="T277" s="53">
        <f t="shared" si="143"/>
        <v>40059</v>
      </c>
      <c r="U277" s="54">
        <f t="shared" si="144"/>
        <v>3684620</v>
      </c>
      <c r="V277" s="2" t="s">
        <v>68</v>
      </c>
      <c r="Y277" s="2" t="s">
        <v>10</v>
      </c>
      <c r="Z277" s="2">
        <v>2025</v>
      </c>
      <c r="AA277" s="1">
        <f t="shared" si="145"/>
        <v>3597</v>
      </c>
      <c r="AB277" s="11">
        <f t="shared" si="146"/>
        <v>300865</v>
      </c>
      <c r="AC277" s="1">
        <f t="shared" si="147"/>
        <v>34382</v>
      </c>
      <c r="AD277" s="11">
        <f t="shared" si="147"/>
        <v>3153193</v>
      </c>
      <c r="AE277" s="8">
        <f t="shared" si="147"/>
        <v>640</v>
      </c>
      <c r="AF277" s="11">
        <f t="shared" si="147"/>
        <v>67017</v>
      </c>
      <c r="AG277" s="8">
        <f t="shared" si="147"/>
        <v>1149</v>
      </c>
      <c r="AH277" s="11">
        <f t="shared" si="147"/>
        <v>135673</v>
      </c>
      <c r="AI277" s="8">
        <f t="shared" si="147"/>
        <v>55</v>
      </c>
      <c r="AJ277" s="11">
        <f t="shared" si="147"/>
        <v>7291</v>
      </c>
      <c r="AK277" s="11">
        <f t="shared" si="147"/>
        <v>236</v>
      </c>
      <c r="AL277" s="11">
        <f t="shared" si="147"/>
        <v>20581</v>
      </c>
      <c r="AM277" s="8">
        <f t="shared" si="151"/>
        <v>40059</v>
      </c>
      <c r="AN277" s="11">
        <f t="shared" si="148"/>
        <v>3684620</v>
      </c>
      <c r="AO277" s="2" t="str">
        <f t="shared" si="149"/>
        <v>IRAPUATO</v>
      </c>
      <c r="AP277" s="37">
        <f t="shared" si="150"/>
        <v>0</v>
      </c>
      <c r="AQ277" s="37">
        <f t="shared" si="150"/>
        <v>0</v>
      </c>
    </row>
    <row r="278" spans="1:43" x14ac:dyDescent="0.25">
      <c r="B278" s="2" t="s">
        <v>11</v>
      </c>
      <c r="C278" s="2">
        <v>2025</v>
      </c>
      <c r="D278" s="1">
        <v>2073</v>
      </c>
      <c r="E278" s="11">
        <v>164872</v>
      </c>
      <c r="F278" s="1">
        <v>800</v>
      </c>
      <c r="G278" s="11">
        <v>70225</v>
      </c>
      <c r="H278" s="1">
        <v>753</v>
      </c>
      <c r="I278" s="11">
        <v>65402</v>
      </c>
      <c r="J278" s="1">
        <v>35984</v>
      </c>
      <c r="K278" s="11">
        <v>3316255</v>
      </c>
      <c r="L278" s="1">
        <v>771</v>
      </c>
      <c r="M278" s="11">
        <v>80596</v>
      </c>
      <c r="N278" s="1">
        <v>1287</v>
      </c>
      <c r="O278" s="11">
        <v>157049</v>
      </c>
      <c r="P278" s="8">
        <v>32</v>
      </c>
      <c r="Q278" s="11">
        <v>3361</v>
      </c>
      <c r="R278" s="8">
        <v>256</v>
      </c>
      <c r="S278" s="11">
        <v>20232</v>
      </c>
      <c r="T278" s="53">
        <f t="shared" si="143"/>
        <v>41956</v>
      </c>
      <c r="U278" s="54">
        <f t="shared" si="144"/>
        <v>3877992</v>
      </c>
      <c r="V278" s="2" t="s">
        <v>68</v>
      </c>
      <c r="Y278" s="2" t="s">
        <v>11</v>
      </c>
      <c r="Z278" s="2">
        <v>2025</v>
      </c>
      <c r="AA278" s="1">
        <f t="shared" si="145"/>
        <v>3626</v>
      </c>
      <c r="AB278" s="11">
        <f t="shared" si="146"/>
        <v>300499</v>
      </c>
      <c r="AC278" s="1">
        <f t="shared" si="147"/>
        <v>35984</v>
      </c>
      <c r="AD278" s="11">
        <f t="shared" si="147"/>
        <v>3316255</v>
      </c>
      <c r="AE278" s="8">
        <f t="shared" si="147"/>
        <v>771</v>
      </c>
      <c r="AF278" s="11">
        <f t="shared" si="147"/>
        <v>80596</v>
      </c>
      <c r="AG278" s="8">
        <f t="shared" si="147"/>
        <v>1287</v>
      </c>
      <c r="AH278" s="11">
        <f t="shared" si="147"/>
        <v>157049</v>
      </c>
      <c r="AI278" s="8">
        <f t="shared" si="147"/>
        <v>32</v>
      </c>
      <c r="AJ278" s="11">
        <f t="shared" si="147"/>
        <v>3361</v>
      </c>
      <c r="AK278" s="11">
        <f t="shared" si="147"/>
        <v>256</v>
      </c>
      <c r="AL278" s="11">
        <f t="shared" si="147"/>
        <v>20232</v>
      </c>
      <c r="AM278" s="8">
        <f t="shared" si="151"/>
        <v>41956</v>
      </c>
      <c r="AN278" s="11">
        <f t="shared" si="148"/>
        <v>3877992</v>
      </c>
      <c r="AO278" s="2" t="str">
        <f t="shared" si="149"/>
        <v>IRAPUATO</v>
      </c>
      <c r="AP278" s="37">
        <f t="shared" si="150"/>
        <v>0</v>
      </c>
      <c r="AQ278" s="37">
        <f t="shared" si="150"/>
        <v>0</v>
      </c>
    </row>
    <row r="279" spans="1:43" x14ac:dyDescent="0.25">
      <c r="B279" s="2" t="s">
        <v>4</v>
      </c>
      <c r="C279" s="2">
        <v>2025</v>
      </c>
      <c r="D279" s="1">
        <v>2345</v>
      </c>
      <c r="E279" s="11">
        <v>196103</v>
      </c>
      <c r="F279" s="1">
        <v>832</v>
      </c>
      <c r="G279" s="11">
        <v>72507</v>
      </c>
      <c r="H279" s="1">
        <v>755</v>
      </c>
      <c r="I279" s="11">
        <v>61331</v>
      </c>
      <c r="J279" s="1">
        <v>38714</v>
      </c>
      <c r="K279" s="11">
        <v>3550237</v>
      </c>
      <c r="L279" s="1">
        <v>677</v>
      </c>
      <c r="M279" s="11">
        <v>65859</v>
      </c>
      <c r="N279" s="1">
        <v>1292</v>
      </c>
      <c r="O279" s="11">
        <v>152919</v>
      </c>
      <c r="P279" s="8">
        <v>28</v>
      </c>
      <c r="Q279" s="11">
        <v>4095</v>
      </c>
      <c r="R279" s="8">
        <v>326</v>
      </c>
      <c r="S279" s="11">
        <v>25988</v>
      </c>
      <c r="T279" s="53">
        <f t="shared" si="143"/>
        <v>44969</v>
      </c>
      <c r="U279" s="54">
        <f t="shared" si="144"/>
        <v>4129039</v>
      </c>
      <c r="V279" s="2" t="s">
        <v>68</v>
      </c>
      <c r="Y279" s="2" t="s">
        <v>4</v>
      </c>
      <c r="Z279" s="2">
        <v>2025</v>
      </c>
      <c r="AA279" s="1">
        <f t="shared" si="145"/>
        <v>3932</v>
      </c>
      <c r="AB279" s="11">
        <f t="shared" si="146"/>
        <v>329941</v>
      </c>
      <c r="AC279" s="1">
        <f t="shared" si="147"/>
        <v>38714</v>
      </c>
      <c r="AD279" s="11">
        <f t="shared" si="147"/>
        <v>3550237</v>
      </c>
      <c r="AE279" s="8">
        <f t="shared" si="147"/>
        <v>677</v>
      </c>
      <c r="AF279" s="11">
        <f t="shared" si="147"/>
        <v>65859</v>
      </c>
      <c r="AG279" s="8">
        <f t="shared" si="147"/>
        <v>1292</v>
      </c>
      <c r="AH279" s="11">
        <f t="shared" si="147"/>
        <v>152919</v>
      </c>
      <c r="AI279" s="8">
        <f t="shared" si="147"/>
        <v>28</v>
      </c>
      <c r="AJ279" s="11">
        <f t="shared" si="147"/>
        <v>4095</v>
      </c>
      <c r="AK279" s="11">
        <f t="shared" si="147"/>
        <v>326</v>
      </c>
      <c r="AL279" s="11">
        <f t="shared" si="147"/>
        <v>25988</v>
      </c>
      <c r="AM279" s="27">
        <f t="shared" si="151"/>
        <v>44969</v>
      </c>
      <c r="AN279" s="14">
        <f t="shared" si="148"/>
        <v>4129039</v>
      </c>
      <c r="AO279" s="2" t="str">
        <f t="shared" si="149"/>
        <v>IRAPUATO</v>
      </c>
      <c r="AP279" s="37">
        <f t="shared" si="150"/>
        <v>0</v>
      </c>
      <c r="AQ279" s="37">
        <f t="shared" si="150"/>
        <v>0</v>
      </c>
    </row>
    <row r="280" spans="1:43" x14ac:dyDescent="0.25">
      <c r="B280" s="2" t="s">
        <v>28</v>
      </c>
      <c r="C280" s="2">
        <v>2025</v>
      </c>
      <c r="D280" s="1">
        <v>1943</v>
      </c>
      <c r="E280" s="11">
        <v>166794</v>
      </c>
      <c r="F280" s="1">
        <v>753</v>
      </c>
      <c r="G280" s="11">
        <v>68052</v>
      </c>
      <c r="H280" s="1">
        <v>702</v>
      </c>
      <c r="I280" s="11">
        <v>57966</v>
      </c>
      <c r="J280" s="1">
        <v>35984</v>
      </c>
      <c r="K280" s="11">
        <v>3379403</v>
      </c>
      <c r="L280" s="1">
        <v>538</v>
      </c>
      <c r="M280" s="11">
        <v>52801</v>
      </c>
      <c r="N280" s="1">
        <v>1011</v>
      </c>
      <c r="O280" s="11">
        <v>113875</v>
      </c>
      <c r="P280" s="8">
        <v>31</v>
      </c>
      <c r="Q280" s="11">
        <v>4746</v>
      </c>
      <c r="R280" s="8">
        <v>264</v>
      </c>
      <c r="S280" s="11">
        <v>21564</v>
      </c>
      <c r="T280" s="53">
        <f t="shared" si="143"/>
        <v>41226</v>
      </c>
      <c r="U280" s="54">
        <f t="shared" si="144"/>
        <v>3865201</v>
      </c>
      <c r="V280" s="2" t="s">
        <v>68</v>
      </c>
      <c r="Y280" s="2" t="s">
        <v>28</v>
      </c>
      <c r="Z280" s="2">
        <v>2025</v>
      </c>
      <c r="AA280" s="1">
        <f t="shared" si="145"/>
        <v>3398</v>
      </c>
      <c r="AB280" s="11">
        <f t="shared" si="146"/>
        <v>292812</v>
      </c>
      <c r="AC280" s="1">
        <f t="shared" si="147"/>
        <v>35984</v>
      </c>
      <c r="AD280" s="11">
        <f t="shared" si="147"/>
        <v>3379403</v>
      </c>
      <c r="AE280" s="8">
        <f t="shared" si="147"/>
        <v>538</v>
      </c>
      <c r="AF280" s="11">
        <f t="shared" si="147"/>
        <v>52801</v>
      </c>
      <c r="AG280" s="8">
        <f t="shared" si="147"/>
        <v>1011</v>
      </c>
      <c r="AH280" s="11">
        <f t="shared" si="147"/>
        <v>113875</v>
      </c>
      <c r="AI280" s="8">
        <f t="shared" si="147"/>
        <v>31</v>
      </c>
      <c r="AJ280" s="11">
        <f t="shared" si="147"/>
        <v>4746</v>
      </c>
      <c r="AK280" s="11">
        <f t="shared" si="147"/>
        <v>264</v>
      </c>
      <c r="AL280" s="11">
        <f t="shared" si="147"/>
        <v>21564</v>
      </c>
      <c r="AM280" s="8">
        <f t="shared" si="151"/>
        <v>41226</v>
      </c>
      <c r="AN280" s="11">
        <f t="shared" si="148"/>
        <v>3865201</v>
      </c>
      <c r="AO280" s="2" t="str">
        <f t="shared" si="149"/>
        <v>IRAPUATO</v>
      </c>
      <c r="AP280" s="37">
        <f t="shared" si="150"/>
        <v>0</v>
      </c>
      <c r="AQ280" s="37">
        <f t="shared" si="150"/>
        <v>0</v>
      </c>
    </row>
    <row r="281" spans="1:43" x14ac:dyDescent="0.25">
      <c r="B281" s="2" t="s">
        <v>29</v>
      </c>
      <c r="C281" s="2">
        <v>2025</v>
      </c>
      <c r="D281" s="1">
        <v>2003</v>
      </c>
      <c r="E281" s="11">
        <v>176115</v>
      </c>
      <c r="F281" s="1">
        <v>856</v>
      </c>
      <c r="G281" s="11">
        <v>83040</v>
      </c>
      <c r="H281" s="1">
        <v>567</v>
      </c>
      <c r="I281" s="11">
        <v>48670</v>
      </c>
      <c r="J281" s="1">
        <v>37226</v>
      </c>
      <c r="K281" s="11">
        <v>3536205</v>
      </c>
      <c r="L281" s="1">
        <v>837</v>
      </c>
      <c r="M281" s="11">
        <v>86232</v>
      </c>
      <c r="N281" s="1">
        <v>931</v>
      </c>
      <c r="O281" s="11">
        <v>102648</v>
      </c>
      <c r="P281" s="8">
        <v>44</v>
      </c>
      <c r="Q281" s="11">
        <v>5790</v>
      </c>
      <c r="R281" s="8">
        <v>255</v>
      </c>
      <c r="S281" s="11">
        <v>21344</v>
      </c>
      <c r="T281" s="53">
        <f t="shared" si="143"/>
        <v>42719</v>
      </c>
      <c r="U281" s="54">
        <f t="shared" si="144"/>
        <v>4060044</v>
      </c>
      <c r="V281" s="2" t="s">
        <v>68</v>
      </c>
      <c r="Y281" s="2" t="s">
        <v>29</v>
      </c>
      <c r="Z281" s="2">
        <v>2025</v>
      </c>
      <c r="AA281" s="1">
        <f t="shared" si="145"/>
        <v>3426</v>
      </c>
      <c r="AB281" s="11">
        <f t="shared" si="146"/>
        <v>307825</v>
      </c>
      <c r="AC281" s="1">
        <f t="shared" si="147"/>
        <v>37226</v>
      </c>
      <c r="AD281" s="11">
        <f t="shared" si="147"/>
        <v>3536205</v>
      </c>
      <c r="AE281" s="8">
        <f t="shared" si="147"/>
        <v>837</v>
      </c>
      <c r="AF281" s="11">
        <f t="shared" si="147"/>
        <v>86232</v>
      </c>
      <c r="AG281" s="8">
        <f t="shared" si="147"/>
        <v>931</v>
      </c>
      <c r="AH281" s="11">
        <f t="shared" si="147"/>
        <v>102648</v>
      </c>
      <c r="AI281" s="8">
        <f t="shared" si="147"/>
        <v>44</v>
      </c>
      <c r="AJ281" s="11">
        <f t="shared" si="147"/>
        <v>5790</v>
      </c>
      <c r="AK281" s="11">
        <f t="shared" si="147"/>
        <v>255</v>
      </c>
      <c r="AL281" s="11">
        <f t="shared" si="147"/>
        <v>21344</v>
      </c>
      <c r="AM281" s="8">
        <f t="shared" si="151"/>
        <v>42719</v>
      </c>
      <c r="AN281" s="11">
        <f t="shared" si="148"/>
        <v>4060044</v>
      </c>
      <c r="AO281" s="2" t="str">
        <f t="shared" si="149"/>
        <v>IRAPUATO</v>
      </c>
      <c r="AP281" s="37">
        <f t="shared" si="150"/>
        <v>0</v>
      </c>
      <c r="AQ281" s="37">
        <f t="shared" si="150"/>
        <v>0</v>
      </c>
    </row>
    <row r="282" spans="1:43" x14ac:dyDescent="0.25">
      <c r="B282" s="2" t="s">
        <v>30</v>
      </c>
      <c r="C282" s="2">
        <v>2025</v>
      </c>
      <c r="D282" s="1">
        <v>1732</v>
      </c>
      <c r="E282" s="11">
        <v>137192</v>
      </c>
      <c r="F282" s="1">
        <v>704</v>
      </c>
      <c r="G282" s="11">
        <v>68551</v>
      </c>
      <c r="H282" s="1">
        <v>717</v>
      </c>
      <c r="I282" s="11">
        <v>54399</v>
      </c>
      <c r="J282" s="1">
        <v>40555</v>
      </c>
      <c r="K282" s="11">
        <v>3701596</v>
      </c>
      <c r="L282" s="1">
        <v>729</v>
      </c>
      <c r="M282" s="11">
        <v>64364</v>
      </c>
      <c r="N282" s="1">
        <v>1106</v>
      </c>
      <c r="O282" s="11">
        <v>112947</v>
      </c>
      <c r="P282" s="8">
        <v>49</v>
      </c>
      <c r="Q282" s="11">
        <v>6102</v>
      </c>
      <c r="R282" s="8">
        <v>320</v>
      </c>
      <c r="S282" s="11">
        <v>24143</v>
      </c>
      <c r="T282" s="53">
        <f t="shared" si="143"/>
        <v>45912</v>
      </c>
      <c r="U282" s="54">
        <f t="shared" si="144"/>
        <v>4169294</v>
      </c>
      <c r="V282" s="2" t="s">
        <v>68</v>
      </c>
      <c r="Y282" s="2" t="s">
        <v>30</v>
      </c>
      <c r="Z282" s="2">
        <v>2025</v>
      </c>
      <c r="AA282" s="1">
        <f t="shared" si="145"/>
        <v>3153</v>
      </c>
      <c r="AB282" s="11">
        <f t="shared" si="146"/>
        <v>260142</v>
      </c>
      <c r="AC282" s="1">
        <f t="shared" si="147"/>
        <v>40555</v>
      </c>
      <c r="AD282" s="11">
        <f t="shared" si="147"/>
        <v>3701596</v>
      </c>
      <c r="AE282" s="8">
        <f t="shared" si="147"/>
        <v>729</v>
      </c>
      <c r="AF282" s="11">
        <f t="shared" si="147"/>
        <v>64364</v>
      </c>
      <c r="AG282" s="8">
        <f t="shared" si="147"/>
        <v>1106</v>
      </c>
      <c r="AH282" s="11">
        <f t="shared" si="147"/>
        <v>112947</v>
      </c>
      <c r="AI282" s="8">
        <f t="shared" si="147"/>
        <v>49</v>
      </c>
      <c r="AJ282" s="11">
        <f t="shared" si="147"/>
        <v>6102</v>
      </c>
      <c r="AK282" s="11">
        <f t="shared" si="147"/>
        <v>320</v>
      </c>
      <c r="AL282" s="11">
        <f t="shared" si="147"/>
        <v>24143</v>
      </c>
      <c r="AM282" s="79">
        <f t="shared" si="151"/>
        <v>45912</v>
      </c>
      <c r="AN282" s="80">
        <f t="shared" si="148"/>
        <v>4169294</v>
      </c>
      <c r="AO282" s="2" t="str">
        <f t="shared" si="149"/>
        <v>IRAPUATO</v>
      </c>
      <c r="AP282" s="37">
        <f t="shared" si="150"/>
        <v>0</v>
      </c>
      <c r="AQ282" s="37">
        <f t="shared" si="150"/>
        <v>0</v>
      </c>
    </row>
    <row r="283" spans="1:43" x14ac:dyDescent="0.25">
      <c r="B283" s="2" t="s">
        <v>31</v>
      </c>
      <c r="C283" s="2">
        <v>2025</v>
      </c>
      <c r="D283" s="1">
        <v>1862</v>
      </c>
      <c r="E283" s="11">
        <v>162417</v>
      </c>
      <c r="F283" s="1">
        <v>684</v>
      </c>
      <c r="G283" s="11">
        <v>69485</v>
      </c>
      <c r="H283" s="1">
        <v>594</v>
      </c>
      <c r="I283" s="11">
        <v>48824</v>
      </c>
      <c r="J283" s="1">
        <v>39646</v>
      </c>
      <c r="K283" s="11">
        <v>3865569</v>
      </c>
      <c r="L283" s="1">
        <v>585</v>
      </c>
      <c r="M283" s="11">
        <v>53807</v>
      </c>
      <c r="N283" s="1">
        <v>844</v>
      </c>
      <c r="O283" s="11">
        <v>89844</v>
      </c>
      <c r="P283" s="8">
        <v>49</v>
      </c>
      <c r="Q283" s="11">
        <v>7208</v>
      </c>
      <c r="R283" s="8">
        <v>236</v>
      </c>
      <c r="S283" s="11">
        <v>17778</v>
      </c>
      <c r="T283" s="53">
        <f t="shared" si="143"/>
        <v>44500</v>
      </c>
      <c r="U283" s="54">
        <f t="shared" si="144"/>
        <v>4314932</v>
      </c>
      <c r="V283" s="2" t="s">
        <v>68</v>
      </c>
      <c r="W283" s="13"/>
      <c r="Y283" s="2" t="s">
        <v>31</v>
      </c>
      <c r="Z283" s="2">
        <v>2025</v>
      </c>
      <c r="AA283" s="1">
        <f t="shared" si="145"/>
        <v>3140</v>
      </c>
      <c r="AB283" s="11">
        <f t="shared" si="146"/>
        <v>280726</v>
      </c>
      <c r="AC283" s="1">
        <f t="shared" si="147"/>
        <v>39646</v>
      </c>
      <c r="AD283" s="11">
        <f t="shared" si="147"/>
        <v>3865569</v>
      </c>
      <c r="AE283" s="8">
        <f t="shared" si="147"/>
        <v>585</v>
      </c>
      <c r="AF283" s="11">
        <f t="shared" si="147"/>
        <v>53807</v>
      </c>
      <c r="AG283" s="8">
        <f t="shared" si="147"/>
        <v>844</v>
      </c>
      <c r="AH283" s="11">
        <f t="shared" si="147"/>
        <v>89844</v>
      </c>
      <c r="AI283" s="8">
        <f t="shared" si="147"/>
        <v>49</v>
      </c>
      <c r="AJ283" s="11">
        <f t="shared" si="147"/>
        <v>7208</v>
      </c>
      <c r="AK283" s="11">
        <f t="shared" si="147"/>
        <v>236</v>
      </c>
      <c r="AL283" s="11">
        <f t="shared" si="147"/>
        <v>17778</v>
      </c>
      <c r="AM283" s="8">
        <f t="shared" si="151"/>
        <v>44500</v>
      </c>
      <c r="AN283" s="11">
        <f t="shared" si="148"/>
        <v>4314932</v>
      </c>
      <c r="AO283" s="2" t="str">
        <f t="shared" si="149"/>
        <v>IRAPUATO</v>
      </c>
      <c r="AP283" s="37">
        <f t="shared" si="150"/>
        <v>0</v>
      </c>
      <c r="AQ283" s="37">
        <f t="shared" si="150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152">SUM(D272:D284)</f>
        <v>23610</v>
      </c>
      <c r="E285" s="12">
        <f t="shared" si="152"/>
        <v>1958515</v>
      </c>
      <c r="F285" s="4">
        <f t="shared" si="152"/>
        <v>9261</v>
      </c>
      <c r="G285" s="12">
        <f t="shared" si="152"/>
        <v>888481</v>
      </c>
      <c r="H285" s="4">
        <f t="shared" si="152"/>
        <v>7653</v>
      </c>
      <c r="I285" s="12">
        <f t="shared" si="152"/>
        <v>663395</v>
      </c>
      <c r="J285" s="4">
        <f t="shared" si="152"/>
        <v>431928</v>
      </c>
      <c r="K285" s="12">
        <f t="shared" si="152"/>
        <v>41458278</v>
      </c>
      <c r="L285" s="4">
        <f t="shared" si="152"/>
        <v>7799</v>
      </c>
      <c r="M285" s="12">
        <f t="shared" si="152"/>
        <v>780034</v>
      </c>
      <c r="N285" s="4">
        <f t="shared" si="152"/>
        <v>14179</v>
      </c>
      <c r="O285" s="12">
        <f t="shared" si="152"/>
        <v>1666577</v>
      </c>
      <c r="P285" s="4">
        <f>SUM(P272:P284)</f>
        <v>672</v>
      </c>
      <c r="Q285" s="12">
        <f>SUM(Q272:Q284)</f>
        <v>103998</v>
      </c>
      <c r="R285" s="4">
        <f>SUM(R272:R284)</f>
        <v>2725</v>
      </c>
      <c r="S285" s="12">
        <f>SUM(S272:S284)</f>
        <v>231746</v>
      </c>
      <c r="T285" s="4">
        <f t="shared" si="152"/>
        <v>497827</v>
      </c>
      <c r="U285" s="12">
        <f t="shared" si="152"/>
        <v>47751024</v>
      </c>
      <c r="Y285" s="3" t="s">
        <v>12</v>
      </c>
      <c r="Z285" s="3"/>
      <c r="AA285" s="4">
        <f t="shared" ref="AA285:AN285" si="153">SUM(AA272:AA284)</f>
        <v>40524</v>
      </c>
      <c r="AB285" s="12">
        <f t="shared" si="153"/>
        <v>3510391</v>
      </c>
      <c r="AC285" s="4">
        <f t="shared" si="153"/>
        <v>431928</v>
      </c>
      <c r="AD285" s="12">
        <f t="shared" si="153"/>
        <v>41458278</v>
      </c>
      <c r="AE285" s="4">
        <f t="shared" si="153"/>
        <v>7799</v>
      </c>
      <c r="AF285" s="12">
        <f t="shared" si="153"/>
        <v>780034</v>
      </c>
      <c r="AG285" s="4">
        <f t="shared" si="153"/>
        <v>14179</v>
      </c>
      <c r="AH285" s="12">
        <f t="shared" si="153"/>
        <v>1666577</v>
      </c>
      <c r="AI285" s="4">
        <f t="shared" si="153"/>
        <v>672</v>
      </c>
      <c r="AJ285" s="12">
        <f t="shared" si="153"/>
        <v>103998</v>
      </c>
      <c r="AK285" s="4">
        <f t="shared" si="153"/>
        <v>2725</v>
      </c>
      <c r="AL285" s="12">
        <f t="shared" si="153"/>
        <v>231746</v>
      </c>
      <c r="AM285" s="4">
        <f t="shared" si="153"/>
        <v>497827</v>
      </c>
      <c r="AN285" s="12">
        <f t="shared" si="153"/>
        <v>47751024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592.5</v>
      </c>
      <c r="M286" s="60">
        <f>AVERAGE(M272:M273)</f>
        <v>59635.5</v>
      </c>
      <c r="T286" s="15">
        <f t="shared" ref="T286:U286" si="154">AVERAGE(T272:T273)</f>
        <v>40016.5</v>
      </c>
      <c r="U286" s="28">
        <f t="shared" si="154"/>
        <v>4018989</v>
      </c>
    </row>
    <row r="287" spans="1:43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3.9734166689020627E-3</v>
      </c>
      <c r="M287" s="36">
        <f>+M286/$M$371</f>
        <v>2.2948047170623619E-3</v>
      </c>
      <c r="N287" s="18"/>
      <c r="O287" s="19"/>
      <c r="P287" s="19"/>
      <c r="Q287" s="19"/>
      <c r="R287" s="19"/>
      <c r="S287" s="19"/>
      <c r="T287" s="36">
        <f>+L286/T286</f>
        <v>1.4806392363150201E-2</v>
      </c>
      <c r="U287" s="62">
        <f>+M286/U286</f>
        <v>1.483843324776455E-2</v>
      </c>
    </row>
    <row r="288" spans="1:43" x14ac:dyDescent="0.25">
      <c r="A288" s="67" t="s">
        <v>81</v>
      </c>
      <c r="L288" s="26"/>
      <c r="M288" s="26"/>
    </row>
    <row r="289" spans="1:43" x14ac:dyDescent="0.25">
      <c r="B289" s="5"/>
    </row>
    <row r="290" spans="1:43" x14ac:dyDescent="0.25">
      <c r="D290" s="89" t="s">
        <v>15</v>
      </c>
      <c r="E290" s="90"/>
      <c r="F290" s="89" t="s">
        <v>71</v>
      </c>
      <c r="G290" s="90"/>
      <c r="H290" s="89" t="s">
        <v>16</v>
      </c>
      <c r="I290" s="90"/>
      <c r="J290" s="89" t="s">
        <v>17</v>
      </c>
      <c r="K290" s="93"/>
      <c r="L290" s="89" t="s">
        <v>18</v>
      </c>
      <c r="M290" s="93"/>
      <c r="N290" s="89" t="s">
        <v>13</v>
      </c>
      <c r="O290" s="93"/>
      <c r="P290" s="89" t="s">
        <v>34</v>
      </c>
      <c r="Q290" s="93"/>
      <c r="R290" s="89" t="s">
        <v>87</v>
      </c>
      <c r="S290" s="93"/>
      <c r="T290" s="89" t="s">
        <v>12</v>
      </c>
      <c r="U290" s="93"/>
      <c r="AA290" s="89" t="s">
        <v>69</v>
      </c>
      <c r="AB290" s="90"/>
      <c r="AC290" s="89" t="s">
        <v>17</v>
      </c>
      <c r="AD290" s="93"/>
      <c r="AE290" s="89" t="s">
        <v>18</v>
      </c>
      <c r="AF290" s="93"/>
      <c r="AG290" s="89" t="s">
        <v>13</v>
      </c>
      <c r="AH290" s="93"/>
      <c r="AI290" s="89" t="s">
        <v>34</v>
      </c>
      <c r="AJ290" s="93"/>
      <c r="AK290" s="89" t="s">
        <v>87</v>
      </c>
      <c r="AL290" s="93"/>
      <c r="AM290" s="89" t="s">
        <v>12</v>
      </c>
      <c r="AN290" s="93"/>
    </row>
    <row r="291" spans="1:43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x14ac:dyDescent="0.25">
      <c r="B293" s="2" t="s">
        <v>5</v>
      </c>
      <c r="C293" s="2">
        <v>2025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T304" si="155">N293+L293+J293+H293+D293+P293+F293+R293</f>
        <v>0</v>
      </c>
      <c r="U293" s="54">
        <f t="shared" ref="U293:U304" si="156">O293+M293+K293+I293+E293+Q293+G293+S293</f>
        <v>0</v>
      </c>
      <c r="V293" s="2" t="s">
        <v>82</v>
      </c>
      <c r="Y293" s="2" t="s">
        <v>5</v>
      </c>
      <c r="Z293" s="2">
        <v>2025</v>
      </c>
      <c r="AA293" s="1">
        <f t="shared" ref="AA293:AA304" si="157">D293+H293+F293</f>
        <v>0</v>
      </c>
      <c r="AB293" s="11">
        <f t="shared" ref="AB293:AB304" si="158">E293+I293+G293</f>
        <v>0</v>
      </c>
      <c r="AC293" s="1">
        <f t="shared" ref="AC293:AL304" si="159">+J293</f>
        <v>0</v>
      </c>
      <c r="AD293" s="11">
        <f t="shared" si="159"/>
        <v>0</v>
      </c>
      <c r="AE293" s="8">
        <f t="shared" si="159"/>
        <v>0</v>
      </c>
      <c r="AF293" s="11">
        <f t="shared" si="159"/>
        <v>0</v>
      </c>
      <c r="AG293" s="8">
        <f t="shared" si="159"/>
        <v>0</v>
      </c>
      <c r="AH293" s="11">
        <f t="shared" si="159"/>
        <v>0</v>
      </c>
      <c r="AI293" s="8">
        <f t="shared" si="159"/>
        <v>0</v>
      </c>
      <c r="AJ293" s="11">
        <f t="shared" si="159"/>
        <v>0</v>
      </c>
      <c r="AK293" s="11">
        <f t="shared" si="159"/>
        <v>0</v>
      </c>
      <c r="AL293" s="11">
        <f t="shared" si="159"/>
        <v>0</v>
      </c>
      <c r="AM293" s="8">
        <f>AI293+AG293+AE293+AC293+AA293+AK293</f>
        <v>0</v>
      </c>
      <c r="AN293" s="11">
        <f t="shared" ref="AN293:AN304" si="160">AJ293+AH293+AF293+AD293+AB293+AL293</f>
        <v>0</v>
      </c>
      <c r="AO293" s="2" t="str">
        <f t="shared" ref="AO293:AO304" si="161">+V293</f>
        <v>META</v>
      </c>
      <c r="AP293" s="37">
        <f t="shared" ref="AP293:AQ304" si="162">+AM293-T293</f>
        <v>0</v>
      </c>
      <c r="AQ293" s="37">
        <f t="shared" si="162"/>
        <v>0</v>
      </c>
    </row>
    <row r="294" spans="1:43" x14ac:dyDescent="0.25">
      <c r="B294" s="2" t="s">
        <v>6</v>
      </c>
      <c r="C294" s="2">
        <v>2025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155"/>
        <v>0</v>
      </c>
      <c r="U294" s="54">
        <f t="shared" si="156"/>
        <v>0</v>
      </c>
      <c r="V294" s="2" t="s">
        <v>82</v>
      </c>
      <c r="Y294" s="2" t="s">
        <v>6</v>
      </c>
      <c r="Z294" s="2">
        <v>2025</v>
      </c>
      <c r="AA294" s="1">
        <f t="shared" si="157"/>
        <v>0</v>
      </c>
      <c r="AB294" s="11">
        <f t="shared" si="158"/>
        <v>0</v>
      </c>
      <c r="AC294" s="1">
        <f t="shared" si="159"/>
        <v>0</v>
      </c>
      <c r="AD294" s="11">
        <f t="shared" si="159"/>
        <v>0</v>
      </c>
      <c r="AE294" s="8">
        <f t="shared" si="159"/>
        <v>0</v>
      </c>
      <c r="AF294" s="11">
        <f t="shared" si="159"/>
        <v>0</v>
      </c>
      <c r="AG294" s="8">
        <f t="shared" si="159"/>
        <v>0</v>
      </c>
      <c r="AH294" s="11">
        <f t="shared" si="159"/>
        <v>0</v>
      </c>
      <c r="AI294" s="8">
        <f t="shared" si="159"/>
        <v>0</v>
      </c>
      <c r="AJ294" s="11">
        <f t="shared" si="159"/>
        <v>0</v>
      </c>
      <c r="AK294" s="11">
        <f t="shared" si="159"/>
        <v>0</v>
      </c>
      <c r="AL294" s="11">
        <f t="shared" si="159"/>
        <v>0</v>
      </c>
      <c r="AM294" s="8">
        <f t="shared" ref="AM294:AM304" si="163">AI294+AG294+AE294+AC294+AA294+AK294</f>
        <v>0</v>
      </c>
      <c r="AN294" s="11">
        <f t="shared" si="160"/>
        <v>0</v>
      </c>
      <c r="AO294" s="2" t="str">
        <f t="shared" si="161"/>
        <v>META</v>
      </c>
      <c r="AP294" s="37">
        <f t="shared" si="162"/>
        <v>0</v>
      </c>
      <c r="AQ294" s="37">
        <f t="shared" si="162"/>
        <v>0</v>
      </c>
    </row>
    <row r="295" spans="1:43" x14ac:dyDescent="0.25">
      <c r="B295" s="2" t="s">
        <v>7</v>
      </c>
      <c r="C295" s="2">
        <v>2025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155"/>
        <v>0</v>
      </c>
      <c r="U295" s="54">
        <f t="shared" si="156"/>
        <v>0</v>
      </c>
      <c r="V295" s="2" t="s">
        <v>82</v>
      </c>
      <c r="X295" s="13"/>
      <c r="Y295" s="2" t="s">
        <v>7</v>
      </c>
      <c r="Z295" s="2">
        <v>2025</v>
      </c>
      <c r="AA295" s="1">
        <f t="shared" si="157"/>
        <v>0</v>
      </c>
      <c r="AB295" s="11">
        <f t="shared" si="158"/>
        <v>0</v>
      </c>
      <c r="AC295" s="1">
        <f t="shared" si="159"/>
        <v>0</v>
      </c>
      <c r="AD295" s="11">
        <f t="shared" si="159"/>
        <v>0</v>
      </c>
      <c r="AE295" s="8">
        <f t="shared" si="159"/>
        <v>0</v>
      </c>
      <c r="AF295" s="11">
        <f t="shared" si="159"/>
        <v>0</v>
      </c>
      <c r="AG295" s="8">
        <f t="shared" si="159"/>
        <v>0</v>
      </c>
      <c r="AH295" s="11">
        <f t="shared" si="159"/>
        <v>0</v>
      </c>
      <c r="AI295" s="8">
        <f t="shared" si="159"/>
        <v>0</v>
      </c>
      <c r="AJ295" s="11">
        <f t="shared" si="159"/>
        <v>0</v>
      </c>
      <c r="AK295" s="11">
        <f t="shared" si="159"/>
        <v>0</v>
      </c>
      <c r="AL295" s="11">
        <f t="shared" si="159"/>
        <v>0</v>
      </c>
      <c r="AM295" s="8">
        <f t="shared" si="163"/>
        <v>0</v>
      </c>
      <c r="AN295" s="11">
        <f t="shared" si="160"/>
        <v>0</v>
      </c>
      <c r="AO295" s="2" t="str">
        <f t="shared" si="161"/>
        <v>META</v>
      </c>
      <c r="AP295" s="37">
        <f t="shared" si="162"/>
        <v>0</v>
      </c>
      <c r="AQ295" s="37">
        <f t="shared" si="162"/>
        <v>0</v>
      </c>
    </row>
    <row r="296" spans="1:43" x14ac:dyDescent="0.25">
      <c r="B296" s="2" t="s">
        <v>8</v>
      </c>
      <c r="C296" s="2">
        <v>2025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155"/>
        <v>0</v>
      </c>
      <c r="U296" s="54">
        <f t="shared" si="156"/>
        <v>0</v>
      </c>
      <c r="V296" s="2" t="s">
        <v>82</v>
      </c>
      <c r="X296" s="13"/>
      <c r="Y296" s="2" t="s">
        <v>8</v>
      </c>
      <c r="Z296" s="2">
        <v>2025</v>
      </c>
      <c r="AA296" s="1">
        <f t="shared" si="157"/>
        <v>0</v>
      </c>
      <c r="AB296" s="11">
        <f t="shared" si="158"/>
        <v>0</v>
      </c>
      <c r="AC296" s="1">
        <f t="shared" si="159"/>
        <v>0</v>
      </c>
      <c r="AD296" s="11">
        <f t="shared" si="159"/>
        <v>0</v>
      </c>
      <c r="AE296" s="8">
        <f t="shared" si="159"/>
        <v>0</v>
      </c>
      <c r="AF296" s="11">
        <f t="shared" si="159"/>
        <v>0</v>
      </c>
      <c r="AG296" s="8">
        <f t="shared" si="159"/>
        <v>0</v>
      </c>
      <c r="AH296" s="11">
        <f t="shared" si="159"/>
        <v>0</v>
      </c>
      <c r="AI296" s="8">
        <f t="shared" si="159"/>
        <v>0</v>
      </c>
      <c r="AJ296" s="11">
        <f t="shared" si="159"/>
        <v>0</v>
      </c>
      <c r="AK296" s="11">
        <f t="shared" si="159"/>
        <v>0</v>
      </c>
      <c r="AL296" s="11">
        <f t="shared" si="159"/>
        <v>0</v>
      </c>
      <c r="AM296" s="8">
        <f t="shared" si="163"/>
        <v>0</v>
      </c>
      <c r="AN296" s="11">
        <f t="shared" si="160"/>
        <v>0</v>
      </c>
      <c r="AO296" s="2" t="str">
        <f t="shared" si="161"/>
        <v>META</v>
      </c>
      <c r="AP296" s="37">
        <f t="shared" si="162"/>
        <v>0</v>
      </c>
      <c r="AQ296" s="37">
        <f t="shared" si="162"/>
        <v>0</v>
      </c>
    </row>
    <row r="297" spans="1:43" x14ac:dyDescent="0.25">
      <c r="B297" s="2" t="s">
        <v>9</v>
      </c>
      <c r="C297" s="2">
        <v>2025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155"/>
        <v>0</v>
      </c>
      <c r="U297" s="54">
        <f t="shared" si="156"/>
        <v>0</v>
      </c>
      <c r="V297" s="2" t="s">
        <v>82</v>
      </c>
      <c r="X297" s="13"/>
      <c r="Y297" s="2" t="s">
        <v>9</v>
      </c>
      <c r="Z297" s="2">
        <v>2025</v>
      </c>
      <c r="AA297" s="1">
        <f t="shared" si="157"/>
        <v>0</v>
      </c>
      <c r="AB297" s="11">
        <f t="shared" si="158"/>
        <v>0</v>
      </c>
      <c r="AC297" s="1">
        <f t="shared" si="159"/>
        <v>0</v>
      </c>
      <c r="AD297" s="11">
        <f t="shared" si="159"/>
        <v>0</v>
      </c>
      <c r="AE297" s="8">
        <f t="shared" si="159"/>
        <v>0</v>
      </c>
      <c r="AF297" s="11">
        <f t="shared" si="159"/>
        <v>0</v>
      </c>
      <c r="AG297" s="8">
        <f t="shared" si="159"/>
        <v>0</v>
      </c>
      <c r="AH297" s="11">
        <f t="shared" si="159"/>
        <v>0</v>
      </c>
      <c r="AI297" s="8">
        <f t="shared" si="159"/>
        <v>0</v>
      </c>
      <c r="AJ297" s="11">
        <f t="shared" si="159"/>
        <v>0</v>
      </c>
      <c r="AK297" s="11">
        <f t="shared" si="159"/>
        <v>0</v>
      </c>
      <c r="AL297" s="11">
        <f t="shared" si="159"/>
        <v>0</v>
      </c>
      <c r="AM297" s="8">
        <f t="shared" si="163"/>
        <v>0</v>
      </c>
      <c r="AN297" s="11">
        <f t="shared" si="160"/>
        <v>0</v>
      </c>
      <c r="AO297" s="2" t="str">
        <f t="shared" si="161"/>
        <v>META</v>
      </c>
      <c r="AP297" s="37">
        <f t="shared" si="162"/>
        <v>0</v>
      </c>
      <c r="AQ297" s="37">
        <f t="shared" si="162"/>
        <v>0</v>
      </c>
    </row>
    <row r="298" spans="1:43" x14ac:dyDescent="0.25">
      <c r="B298" s="2" t="s">
        <v>10</v>
      </c>
      <c r="C298" s="2">
        <v>2025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155"/>
        <v>0</v>
      </c>
      <c r="U298" s="54">
        <f t="shared" si="156"/>
        <v>0</v>
      </c>
      <c r="V298" s="2" t="s">
        <v>82</v>
      </c>
      <c r="Y298" s="2" t="s">
        <v>10</v>
      </c>
      <c r="Z298" s="2">
        <v>2025</v>
      </c>
      <c r="AA298" s="1">
        <f t="shared" si="157"/>
        <v>0</v>
      </c>
      <c r="AB298" s="11">
        <f t="shared" si="158"/>
        <v>0</v>
      </c>
      <c r="AC298" s="1">
        <f t="shared" si="159"/>
        <v>0</v>
      </c>
      <c r="AD298" s="11">
        <f t="shared" si="159"/>
        <v>0</v>
      </c>
      <c r="AE298" s="8">
        <f t="shared" si="159"/>
        <v>0</v>
      </c>
      <c r="AF298" s="11">
        <f t="shared" si="159"/>
        <v>0</v>
      </c>
      <c r="AG298" s="8">
        <f t="shared" si="159"/>
        <v>0</v>
      </c>
      <c r="AH298" s="11">
        <f t="shared" si="159"/>
        <v>0</v>
      </c>
      <c r="AI298" s="8">
        <f t="shared" si="159"/>
        <v>0</v>
      </c>
      <c r="AJ298" s="11">
        <f t="shared" si="159"/>
        <v>0</v>
      </c>
      <c r="AK298" s="11">
        <f t="shared" si="159"/>
        <v>0</v>
      </c>
      <c r="AL298" s="11">
        <f t="shared" si="159"/>
        <v>0</v>
      </c>
      <c r="AM298" s="8">
        <f t="shared" si="163"/>
        <v>0</v>
      </c>
      <c r="AN298" s="11">
        <f t="shared" si="160"/>
        <v>0</v>
      </c>
      <c r="AO298" s="2" t="str">
        <f t="shared" si="161"/>
        <v>META</v>
      </c>
      <c r="AP298" s="37">
        <f t="shared" si="162"/>
        <v>0</v>
      </c>
      <c r="AQ298" s="37">
        <f t="shared" si="162"/>
        <v>0</v>
      </c>
    </row>
    <row r="299" spans="1:43" x14ac:dyDescent="0.25">
      <c r="B299" s="2" t="s">
        <v>11</v>
      </c>
      <c r="C299" s="2">
        <v>2025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155"/>
        <v>0</v>
      </c>
      <c r="U299" s="54">
        <f t="shared" si="156"/>
        <v>0</v>
      </c>
      <c r="V299" s="2" t="s">
        <v>82</v>
      </c>
      <c r="Y299" s="2" t="s">
        <v>11</v>
      </c>
      <c r="Z299" s="2">
        <v>2025</v>
      </c>
      <c r="AA299" s="1">
        <f t="shared" si="157"/>
        <v>0</v>
      </c>
      <c r="AB299" s="11">
        <f t="shared" si="158"/>
        <v>0</v>
      </c>
      <c r="AC299" s="1">
        <f t="shared" si="159"/>
        <v>0</v>
      </c>
      <c r="AD299" s="11">
        <f t="shared" si="159"/>
        <v>0</v>
      </c>
      <c r="AE299" s="8">
        <f t="shared" si="159"/>
        <v>0</v>
      </c>
      <c r="AF299" s="11">
        <f t="shared" si="159"/>
        <v>0</v>
      </c>
      <c r="AG299" s="8">
        <f t="shared" si="159"/>
        <v>0</v>
      </c>
      <c r="AH299" s="11">
        <f t="shared" si="159"/>
        <v>0</v>
      </c>
      <c r="AI299" s="8">
        <f t="shared" si="159"/>
        <v>0</v>
      </c>
      <c r="AJ299" s="11">
        <f t="shared" si="159"/>
        <v>0</v>
      </c>
      <c r="AK299" s="11">
        <f t="shared" si="159"/>
        <v>0</v>
      </c>
      <c r="AL299" s="11">
        <f t="shared" si="159"/>
        <v>0</v>
      </c>
      <c r="AM299" s="8">
        <f t="shared" si="163"/>
        <v>0</v>
      </c>
      <c r="AN299" s="11">
        <f t="shared" si="160"/>
        <v>0</v>
      </c>
      <c r="AO299" s="2" t="str">
        <f t="shared" si="161"/>
        <v>META</v>
      </c>
      <c r="AP299" s="37">
        <f t="shared" si="162"/>
        <v>0</v>
      </c>
      <c r="AQ299" s="37">
        <f t="shared" si="162"/>
        <v>0</v>
      </c>
    </row>
    <row r="300" spans="1:43" x14ac:dyDescent="0.25">
      <c r="B300" s="2" t="s">
        <v>4</v>
      </c>
      <c r="C300" s="2">
        <v>2025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155"/>
        <v>0</v>
      </c>
      <c r="U300" s="54">
        <f t="shared" si="156"/>
        <v>0</v>
      </c>
      <c r="V300" s="2" t="s">
        <v>82</v>
      </c>
      <c r="Y300" s="2" t="s">
        <v>4</v>
      </c>
      <c r="Z300" s="2">
        <v>2025</v>
      </c>
      <c r="AA300" s="1">
        <f t="shared" si="157"/>
        <v>0</v>
      </c>
      <c r="AB300" s="11">
        <f t="shared" si="158"/>
        <v>0</v>
      </c>
      <c r="AC300" s="1">
        <f t="shared" si="159"/>
        <v>0</v>
      </c>
      <c r="AD300" s="11">
        <f t="shared" si="159"/>
        <v>0</v>
      </c>
      <c r="AE300" s="8">
        <f t="shared" si="159"/>
        <v>0</v>
      </c>
      <c r="AF300" s="11">
        <f t="shared" si="159"/>
        <v>0</v>
      </c>
      <c r="AG300" s="8">
        <f t="shared" si="159"/>
        <v>0</v>
      </c>
      <c r="AH300" s="11">
        <f t="shared" si="159"/>
        <v>0</v>
      </c>
      <c r="AI300" s="8">
        <f t="shared" si="159"/>
        <v>0</v>
      </c>
      <c r="AJ300" s="11">
        <f t="shared" si="159"/>
        <v>0</v>
      </c>
      <c r="AK300" s="11">
        <f t="shared" si="159"/>
        <v>0</v>
      </c>
      <c r="AL300" s="11">
        <f t="shared" si="159"/>
        <v>0</v>
      </c>
      <c r="AM300" s="27">
        <f t="shared" si="163"/>
        <v>0</v>
      </c>
      <c r="AN300" s="14">
        <f t="shared" si="160"/>
        <v>0</v>
      </c>
      <c r="AO300" s="2" t="str">
        <f t="shared" si="161"/>
        <v>META</v>
      </c>
      <c r="AP300" s="37">
        <f t="shared" si="162"/>
        <v>0</v>
      </c>
      <c r="AQ300" s="37">
        <f t="shared" si="162"/>
        <v>0</v>
      </c>
    </row>
    <row r="301" spans="1:43" x14ac:dyDescent="0.25">
      <c r="B301" s="2" t="s">
        <v>28</v>
      </c>
      <c r="C301" s="2">
        <v>2025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155"/>
        <v>0</v>
      </c>
      <c r="U301" s="54">
        <f t="shared" si="156"/>
        <v>0</v>
      </c>
      <c r="V301" s="2" t="s">
        <v>82</v>
      </c>
      <c r="Y301" s="2" t="s">
        <v>28</v>
      </c>
      <c r="Z301" s="2">
        <v>2025</v>
      </c>
      <c r="AA301" s="1">
        <f t="shared" si="157"/>
        <v>0</v>
      </c>
      <c r="AB301" s="11">
        <f t="shared" si="158"/>
        <v>0</v>
      </c>
      <c r="AC301" s="1">
        <f t="shared" si="159"/>
        <v>0</v>
      </c>
      <c r="AD301" s="11">
        <f t="shared" si="159"/>
        <v>0</v>
      </c>
      <c r="AE301" s="8">
        <f t="shared" si="159"/>
        <v>0</v>
      </c>
      <c r="AF301" s="11">
        <f t="shared" si="159"/>
        <v>0</v>
      </c>
      <c r="AG301" s="8">
        <f t="shared" si="159"/>
        <v>0</v>
      </c>
      <c r="AH301" s="11">
        <f t="shared" si="159"/>
        <v>0</v>
      </c>
      <c r="AI301" s="8">
        <f t="shared" si="159"/>
        <v>0</v>
      </c>
      <c r="AJ301" s="11">
        <f t="shared" si="159"/>
        <v>0</v>
      </c>
      <c r="AK301" s="11">
        <f t="shared" si="159"/>
        <v>0</v>
      </c>
      <c r="AL301" s="11">
        <f t="shared" si="159"/>
        <v>0</v>
      </c>
      <c r="AM301" s="8">
        <f t="shared" si="163"/>
        <v>0</v>
      </c>
      <c r="AN301" s="11">
        <f t="shared" si="160"/>
        <v>0</v>
      </c>
      <c r="AO301" s="2" t="str">
        <f t="shared" si="161"/>
        <v>META</v>
      </c>
      <c r="AP301" s="37">
        <f t="shared" si="162"/>
        <v>0</v>
      </c>
      <c r="AQ301" s="37">
        <f t="shared" si="162"/>
        <v>0</v>
      </c>
    </row>
    <row r="302" spans="1:43" x14ac:dyDescent="0.25">
      <c r="B302" s="2" t="s">
        <v>29</v>
      </c>
      <c r="C302" s="2">
        <v>2025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155"/>
        <v>0</v>
      </c>
      <c r="U302" s="54">
        <f t="shared" si="156"/>
        <v>0</v>
      </c>
      <c r="V302" s="2" t="s">
        <v>82</v>
      </c>
      <c r="Y302" s="2" t="s">
        <v>29</v>
      </c>
      <c r="Z302" s="2">
        <v>2025</v>
      </c>
      <c r="AA302" s="1">
        <f t="shared" si="157"/>
        <v>0</v>
      </c>
      <c r="AB302" s="11">
        <f t="shared" si="158"/>
        <v>0</v>
      </c>
      <c r="AC302" s="1">
        <f t="shared" si="159"/>
        <v>0</v>
      </c>
      <c r="AD302" s="11">
        <f t="shared" si="159"/>
        <v>0</v>
      </c>
      <c r="AE302" s="8">
        <f t="shared" si="159"/>
        <v>0</v>
      </c>
      <c r="AF302" s="11">
        <f t="shared" si="159"/>
        <v>0</v>
      </c>
      <c r="AG302" s="8">
        <f t="shared" si="159"/>
        <v>0</v>
      </c>
      <c r="AH302" s="11">
        <f t="shared" si="159"/>
        <v>0</v>
      </c>
      <c r="AI302" s="8">
        <f t="shared" si="159"/>
        <v>0</v>
      </c>
      <c r="AJ302" s="11">
        <f t="shared" si="159"/>
        <v>0</v>
      </c>
      <c r="AK302" s="11">
        <f t="shared" si="159"/>
        <v>0</v>
      </c>
      <c r="AL302" s="11">
        <f t="shared" si="159"/>
        <v>0</v>
      </c>
      <c r="AM302" s="8">
        <f t="shared" si="163"/>
        <v>0</v>
      </c>
      <c r="AN302" s="11">
        <f t="shared" si="160"/>
        <v>0</v>
      </c>
      <c r="AO302" s="2" t="str">
        <f t="shared" si="161"/>
        <v>META</v>
      </c>
      <c r="AP302" s="37">
        <f t="shared" si="162"/>
        <v>0</v>
      </c>
      <c r="AQ302" s="37">
        <f t="shared" si="162"/>
        <v>0</v>
      </c>
    </row>
    <row r="303" spans="1:43" x14ac:dyDescent="0.25">
      <c r="B303" s="2" t="s">
        <v>30</v>
      </c>
      <c r="C303" s="2">
        <v>2025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155"/>
        <v>0</v>
      </c>
      <c r="U303" s="48">
        <f t="shared" si="156"/>
        <v>0</v>
      </c>
      <c r="V303" s="2" t="s">
        <v>82</v>
      </c>
      <c r="Y303" s="2" t="s">
        <v>30</v>
      </c>
      <c r="Z303" s="2">
        <v>2025</v>
      </c>
      <c r="AA303" s="1">
        <f t="shared" si="157"/>
        <v>0</v>
      </c>
      <c r="AB303" s="11">
        <f t="shared" si="158"/>
        <v>0</v>
      </c>
      <c r="AC303" s="1">
        <f t="shared" si="159"/>
        <v>0</v>
      </c>
      <c r="AD303" s="11">
        <f t="shared" si="159"/>
        <v>0</v>
      </c>
      <c r="AE303" s="8">
        <f t="shared" si="159"/>
        <v>0</v>
      </c>
      <c r="AF303" s="11">
        <f t="shared" si="159"/>
        <v>0</v>
      </c>
      <c r="AG303" s="8">
        <f t="shared" si="159"/>
        <v>0</v>
      </c>
      <c r="AH303" s="11">
        <f t="shared" si="159"/>
        <v>0</v>
      </c>
      <c r="AI303" s="8">
        <f t="shared" si="159"/>
        <v>0</v>
      </c>
      <c r="AJ303" s="11">
        <f t="shared" si="159"/>
        <v>0</v>
      </c>
      <c r="AK303" s="11">
        <f t="shared" si="159"/>
        <v>0</v>
      </c>
      <c r="AL303" s="11">
        <f t="shared" si="159"/>
        <v>0</v>
      </c>
      <c r="AM303" s="79">
        <f t="shared" si="163"/>
        <v>0</v>
      </c>
      <c r="AN303" s="80">
        <f t="shared" si="160"/>
        <v>0</v>
      </c>
      <c r="AO303" s="2" t="str">
        <f t="shared" si="161"/>
        <v>META</v>
      </c>
      <c r="AP303" s="37">
        <f t="shared" si="162"/>
        <v>0</v>
      </c>
      <c r="AQ303" s="37">
        <f t="shared" si="162"/>
        <v>0</v>
      </c>
    </row>
    <row r="304" spans="1:43" x14ac:dyDescent="0.25">
      <c r="B304" s="2" t="s">
        <v>31</v>
      </c>
      <c r="C304" s="2">
        <v>2025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155"/>
        <v>0</v>
      </c>
      <c r="U304" s="48">
        <f t="shared" si="156"/>
        <v>0</v>
      </c>
      <c r="V304" s="2" t="s">
        <v>82</v>
      </c>
      <c r="Y304" s="2" t="s">
        <v>31</v>
      </c>
      <c r="Z304" s="2">
        <v>2025</v>
      </c>
      <c r="AA304" s="1">
        <f t="shared" si="157"/>
        <v>0</v>
      </c>
      <c r="AB304" s="11">
        <f t="shared" si="158"/>
        <v>0</v>
      </c>
      <c r="AC304" s="1">
        <f t="shared" si="159"/>
        <v>0</v>
      </c>
      <c r="AD304" s="11">
        <f t="shared" si="159"/>
        <v>0</v>
      </c>
      <c r="AE304" s="8">
        <f t="shared" si="159"/>
        <v>0</v>
      </c>
      <c r="AF304" s="11">
        <f t="shared" si="159"/>
        <v>0</v>
      </c>
      <c r="AG304" s="8">
        <f t="shared" si="159"/>
        <v>0</v>
      </c>
      <c r="AH304" s="11">
        <f t="shared" si="159"/>
        <v>0</v>
      </c>
      <c r="AI304" s="8">
        <f t="shared" si="159"/>
        <v>0</v>
      </c>
      <c r="AJ304" s="11">
        <f t="shared" si="159"/>
        <v>0</v>
      </c>
      <c r="AK304" s="11">
        <f t="shared" si="159"/>
        <v>0</v>
      </c>
      <c r="AL304" s="11">
        <f t="shared" si="159"/>
        <v>0</v>
      </c>
      <c r="AM304" s="8">
        <f t="shared" si="163"/>
        <v>0</v>
      </c>
      <c r="AN304" s="11">
        <f t="shared" si="160"/>
        <v>0</v>
      </c>
      <c r="AO304" s="2" t="str">
        <f t="shared" si="161"/>
        <v>META</v>
      </c>
      <c r="AP304" s="37">
        <f t="shared" si="162"/>
        <v>0</v>
      </c>
      <c r="AQ304" s="37">
        <f t="shared" si="162"/>
        <v>0</v>
      </c>
    </row>
    <row r="305" spans="1:43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x14ac:dyDescent="0.25">
      <c r="B306" s="3" t="s">
        <v>12</v>
      </c>
      <c r="C306" s="3"/>
      <c r="D306" s="4">
        <f t="shared" ref="D306:U306" si="164">SUM(D293:D305)</f>
        <v>0</v>
      </c>
      <c r="E306" s="12">
        <f t="shared" si="164"/>
        <v>0</v>
      </c>
      <c r="F306" s="4">
        <f t="shared" si="164"/>
        <v>0</v>
      </c>
      <c r="G306" s="12">
        <f t="shared" si="164"/>
        <v>0</v>
      </c>
      <c r="H306" s="4">
        <f t="shared" si="164"/>
        <v>0</v>
      </c>
      <c r="I306" s="12">
        <f t="shared" si="164"/>
        <v>0</v>
      </c>
      <c r="J306" s="4">
        <f t="shared" si="164"/>
        <v>0</v>
      </c>
      <c r="K306" s="12">
        <f t="shared" si="164"/>
        <v>0</v>
      </c>
      <c r="L306" s="4">
        <f t="shared" si="164"/>
        <v>0</v>
      </c>
      <c r="M306" s="12">
        <f t="shared" si="164"/>
        <v>0</v>
      </c>
      <c r="N306" s="4">
        <f t="shared" si="164"/>
        <v>0</v>
      </c>
      <c r="O306" s="12">
        <f t="shared" si="164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164"/>
        <v>0</v>
      </c>
      <c r="U306" s="12">
        <f t="shared" si="164"/>
        <v>0</v>
      </c>
      <c r="Y306" s="3" t="s">
        <v>12</v>
      </c>
      <c r="Z306" s="3"/>
      <c r="AA306" s="4">
        <f t="shared" ref="AA306:AN306" si="165">SUM(AA293:AA305)</f>
        <v>0</v>
      </c>
      <c r="AB306" s="12">
        <f t="shared" si="165"/>
        <v>0</v>
      </c>
      <c r="AC306" s="4">
        <f t="shared" si="165"/>
        <v>0</v>
      </c>
      <c r="AD306" s="12">
        <f t="shared" si="165"/>
        <v>0</v>
      </c>
      <c r="AE306" s="4">
        <f t="shared" si="165"/>
        <v>0</v>
      </c>
      <c r="AF306" s="12">
        <f t="shared" si="165"/>
        <v>0</v>
      </c>
      <c r="AG306" s="4">
        <f t="shared" si="165"/>
        <v>0</v>
      </c>
      <c r="AH306" s="12">
        <f t="shared" si="165"/>
        <v>0</v>
      </c>
      <c r="AI306" s="4">
        <f t="shared" si="165"/>
        <v>0</v>
      </c>
      <c r="AJ306" s="12">
        <f t="shared" si="165"/>
        <v>0</v>
      </c>
      <c r="AK306" s="4">
        <f t="shared" si="165"/>
        <v>0</v>
      </c>
      <c r="AL306" s="12">
        <f t="shared" si="165"/>
        <v>0</v>
      </c>
      <c r="AM306" s="4">
        <f t="shared" si="165"/>
        <v>0</v>
      </c>
      <c r="AN306" s="12">
        <f t="shared" si="165"/>
        <v>0</v>
      </c>
    </row>
    <row r="307" spans="1:43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0"/>
      <c r="F311" s="89" t="s">
        <v>71</v>
      </c>
      <c r="G311" s="90"/>
      <c r="H311" s="89" t="s">
        <v>16</v>
      </c>
      <c r="I311" s="90"/>
      <c r="J311" s="89" t="s">
        <v>17</v>
      </c>
      <c r="K311" s="93"/>
      <c r="L311" s="89" t="s">
        <v>18</v>
      </c>
      <c r="M311" s="93"/>
      <c r="N311" s="89" t="s">
        <v>13</v>
      </c>
      <c r="O311" s="93"/>
      <c r="P311" s="89" t="s">
        <v>34</v>
      </c>
      <c r="Q311" s="93"/>
      <c r="R311" s="89" t="s">
        <v>87</v>
      </c>
      <c r="S311" s="93"/>
      <c r="T311" s="89" t="s">
        <v>12</v>
      </c>
      <c r="U311" s="93"/>
      <c r="AA311" s="89" t="s">
        <v>69</v>
      </c>
      <c r="AB311" s="90"/>
      <c r="AC311" s="89" t="s">
        <v>17</v>
      </c>
      <c r="AD311" s="93"/>
      <c r="AE311" s="89" t="s">
        <v>18</v>
      </c>
      <c r="AF311" s="93"/>
      <c r="AG311" s="89" t="s">
        <v>13</v>
      </c>
      <c r="AH311" s="93"/>
      <c r="AI311" s="89" t="s">
        <v>34</v>
      </c>
      <c r="AJ311" s="93"/>
      <c r="AK311" s="89" t="s">
        <v>87</v>
      </c>
      <c r="AL311" s="93"/>
      <c r="AM311" s="89" t="s">
        <v>12</v>
      </c>
      <c r="AN311" s="93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2025</v>
      </c>
      <c r="D314" s="1">
        <v>223</v>
      </c>
      <c r="E314" s="11">
        <v>28651</v>
      </c>
      <c r="F314" s="1">
        <v>47</v>
      </c>
      <c r="G314" s="11">
        <v>4699</v>
      </c>
      <c r="H314" s="1">
        <v>39</v>
      </c>
      <c r="I314" s="11">
        <v>4609</v>
      </c>
      <c r="J314" s="1">
        <v>6043</v>
      </c>
      <c r="K314" s="11">
        <v>708337</v>
      </c>
      <c r="L314" s="1">
        <v>77</v>
      </c>
      <c r="M314" s="11">
        <v>17752</v>
      </c>
      <c r="N314" s="1">
        <v>55</v>
      </c>
      <c r="O314" s="11">
        <v>10016</v>
      </c>
      <c r="P314" s="8">
        <v>0</v>
      </c>
      <c r="Q314" s="11">
        <v>0</v>
      </c>
      <c r="R314" s="8">
        <v>83</v>
      </c>
      <c r="S314" s="11">
        <v>8550</v>
      </c>
      <c r="T314" s="53">
        <f t="shared" ref="T314:T325" si="166">N314+L314+J314+H314+D314+P314+F314+R314</f>
        <v>6567</v>
      </c>
      <c r="U314" s="54">
        <f t="shared" ref="U314:U325" si="167">O314+M314+K314+I314+E314+Q314+G314+S314</f>
        <v>782614</v>
      </c>
      <c r="V314" s="2" t="s">
        <v>90</v>
      </c>
      <c r="Y314" s="2" t="s">
        <v>5</v>
      </c>
      <c r="Z314" s="2">
        <v>2025</v>
      </c>
      <c r="AA314" s="1">
        <f t="shared" ref="AA314:AA325" si="168">D314+H314+F314</f>
        <v>309</v>
      </c>
      <c r="AB314" s="11">
        <f t="shared" ref="AB314:AB325" si="169">E314+I314+G314</f>
        <v>37959</v>
      </c>
      <c r="AC314" s="1">
        <f t="shared" ref="AC314:AL325" si="170">+J314</f>
        <v>6043</v>
      </c>
      <c r="AD314" s="11">
        <f t="shared" si="170"/>
        <v>708337</v>
      </c>
      <c r="AE314" s="8">
        <f t="shared" si="170"/>
        <v>77</v>
      </c>
      <c r="AF314" s="11">
        <f t="shared" si="170"/>
        <v>17752</v>
      </c>
      <c r="AG314" s="8">
        <f t="shared" si="170"/>
        <v>55</v>
      </c>
      <c r="AH314" s="11">
        <f t="shared" si="170"/>
        <v>10016</v>
      </c>
      <c r="AI314" s="8">
        <f t="shared" si="170"/>
        <v>0</v>
      </c>
      <c r="AJ314" s="11">
        <f t="shared" si="170"/>
        <v>0</v>
      </c>
      <c r="AK314" s="11">
        <f t="shared" si="170"/>
        <v>83</v>
      </c>
      <c r="AL314" s="11">
        <f t="shared" si="170"/>
        <v>8550</v>
      </c>
      <c r="AM314" s="8">
        <f>AI314+AG314+AE314+AC314+AA314+AK314</f>
        <v>6567</v>
      </c>
      <c r="AN314" s="11">
        <f t="shared" ref="AN314:AN325" si="171">AJ314+AH314+AF314+AD314+AB314+AL314</f>
        <v>782614</v>
      </c>
      <c r="AO314" s="2" t="str">
        <f t="shared" ref="AO314:AO325" si="172">+V314</f>
        <v>COTESA</v>
      </c>
      <c r="AP314" s="37">
        <f t="shared" ref="AP314:AQ325" si="173">+AM314-T314</f>
        <v>0</v>
      </c>
      <c r="AQ314" s="37">
        <f t="shared" si="173"/>
        <v>0</v>
      </c>
    </row>
    <row r="315" spans="1:43" x14ac:dyDescent="0.25">
      <c r="B315" s="2" t="s">
        <v>6</v>
      </c>
      <c r="C315" s="2">
        <v>2025</v>
      </c>
      <c r="D315" s="1">
        <v>273</v>
      </c>
      <c r="E315" s="11">
        <v>34493</v>
      </c>
      <c r="F315" s="1">
        <v>46</v>
      </c>
      <c r="G315" s="11">
        <v>4902</v>
      </c>
      <c r="H315" s="1">
        <v>59</v>
      </c>
      <c r="I315" s="11">
        <v>9773</v>
      </c>
      <c r="J315" s="1">
        <v>7586</v>
      </c>
      <c r="K315" s="11">
        <v>885620</v>
      </c>
      <c r="L315" s="1">
        <v>80</v>
      </c>
      <c r="M315" s="11">
        <v>16304</v>
      </c>
      <c r="N315" s="1">
        <v>57</v>
      </c>
      <c r="O315" s="11">
        <v>12084</v>
      </c>
      <c r="P315" s="8">
        <v>0</v>
      </c>
      <c r="Q315" s="11">
        <v>0</v>
      </c>
      <c r="R315" s="8">
        <v>96</v>
      </c>
      <c r="S315" s="11">
        <v>10316</v>
      </c>
      <c r="T315" s="53">
        <f t="shared" si="166"/>
        <v>8197</v>
      </c>
      <c r="U315" s="54">
        <f t="shared" si="167"/>
        <v>973492</v>
      </c>
      <c r="V315" s="2" t="s">
        <v>90</v>
      </c>
      <c r="Y315" s="2" t="s">
        <v>6</v>
      </c>
      <c r="Z315" s="2">
        <v>2025</v>
      </c>
      <c r="AA315" s="1">
        <f t="shared" si="168"/>
        <v>378</v>
      </c>
      <c r="AB315" s="11">
        <f t="shared" si="169"/>
        <v>49168</v>
      </c>
      <c r="AC315" s="1">
        <f t="shared" si="170"/>
        <v>7586</v>
      </c>
      <c r="AD315" s="11">
        <f t="shared" si="170"/>
        <v>885620</v>
      </c>
      <c r="AE315" s="8">
        <f t="shared" si="170"/>
        <v>80</v>
      </c>
      <c r="AF315" s="11">
        <f t="shared" si="170"/>
        <v>16304</v>
      </c>
      <c r="AG315" s="8">
        <f t="shared" si="170"/>
        <v>57</v>
      </c>
      <c r="AH315" s="11">
        <f t="shared" si="170"/>
        <v>12084</v>
      </c>
      <c r="AI315" s="8">
        <f t="shared" si="170"/>
        <v>0</v>
      </c>
      <c r="AJ315" s="11">
        <f t="shared" si="170"/>
        <v>0</v>
      </c>
      <c r="AK315" s="11">
        <f t="shared" si="170"/>
        <v>96</v>
      </c>
      <c r="AL315" s="11">
        <f t="shared" si="170"/>
        <v>10316</v>
      </c>
      <c r="AM315" s="8">
        <f t="shared" ref="AM315:AM325" si="174">AI315+AG315+AE315+AC315+AA315+AK315</f>
        <v>8197</v>
      </c>
      <c r="AN315" s="11">
        <f t="shared" si="171"/>
        <v>973492</v>
      </c>
      <c r="AO315" s="2" t="str">
        <f t="shared" si="172"/>
        <v>COTESA</v>
      </c>
      <c r="AP315" s="37">
        <f t="shared" si="173"/>
        <v>0</v>
      </c>
      <c r="AQ315" s="37">
        <f t="shared" si="173"/>
        <v>0</v>
      </c>
    </row>
    <row r="316" spans="1:43" x14ac:dyDescent="0.25">
      <c r="B316" s="2" t="s">
        <v>7</v>
      </c>
      <c r="C316" s="2">
        <v>2025</v>
      </c>
      <c r="D316" s="1">
        <v>349</v>
      </c>
      <c r="E316" s="11">
        <v>42699</v>
      </c>
      <c r="F316" s="1">
        <v>55</v>
      </c>
      <c r="G316" s="11">
        <v>5670</v>
      </c>
      <c r="H316" s="1">
        <v>38</v>
      </c>
      <c r="I316" s="11">
        <v>5738</v>
      </c>
      <c r="J316" s="1">
        <v>8466</v>
      </c>
      <c r="K316" s="11">
        <v>970676</v>
      </c>
      <c r="L316" s="1">
        <v>85</v>
      </c>
      <c r="M316" s="11">
        <v>19429</v>
      </c>
      <c r="N316" s="1">
        <v>52</v>
      </c>
      <c r="O316" s="11">
        <v>11084</v>
      </c>
      <c r="P316" s="8">
        <v>0</v>
      </c>
      <c r="Q316" s="11">
        <v>0</v>
      </c>
      <c r="R316" s="8">
        <v>92</v>
      </c>
      <c r="S316" s="11">
        <v>9186</v>
      </c>
      <c r="T316" s="53">
        <f t="shared" si="166"/>
        <v>9137</v>
      </c>
      <c r="U316" s="54">
        <f t="shared" si="167"/>
        <v>1064482</v>
      </c>
      <c r="V316" s="2" t="s">
        <v>90</v>
      </c>
      <c r="Y316" s="2" t="s">
        <v>7</v>
      </c>
      <c r="Z316" s="2">
        <v>2025</v>
      </c>
      <c r="AA316" s="1">
        <f t="shared" si="168"/>
        <v>442</v>
      </c>
      <c r="AB316" s="11">
        <f t="shared" si="169"/>
        <v>54107</v>
      </c>
      <c r="AC316" s="1">
        <f t="shared" si="170"/>
        <v>8466</v>
      </c>
      <c r="AD316" s="11">
        <f t="shared" si="170"/>
        <v>970676</v>
      </c>
      <c r="AE316" s="8">
        <f t="shared" si="170"/>
        <v>85</v>
      </c>
      <c r="AF316" s="11">
        <f t="shared" si="170"/>
        <v>19429</v>
      </c>
      <c r="AG316" s="8">
        <f t="shared" si="170"/>
        <v>52</v>
      </c>
      <c r="AH316" s="11">
        <f t="shared" si="170"/>
        <v>11084</v>
      </c>
      <c r="AI316" s="8">
        <f t="shared" si="170"/>
        <v>0</v>
      </c>
      <c r="AJ316" s="11">
        <f t="shared" si="170"/>
        <v>0</v>
      </c>
      <c r="AK316" s="11">
        <f t="shared" si="170"/>
        <v>92</v>
      </c>
      <c r="AL316" s="11">
        <f t="shared" si="170"/>
        <v>9186</v>
      </c>
      <c r="AM316" s="8">
        <f t="shared" si="174"/>
        <v>9137</v>
      </c>
      <c r="AN316" s="11">
        <f t="shared" si="171"/>
        <v>1064482</v>
      </c>
      <c r="AO316" s="2" t="str">
        <f t="shared" si="172"/>
        <v>COTESA</v>
      </c>
      <c r="AP316" s="37">
        <f t="shared" si="173"/>
        <v>0</v>
      </c>
      <c r="AQ316" s="37">
        <f t="shared" si="173"/>
        <v>0</v>
      </c>
    </row>
    <row r="317" spans="1:43" x14ac:dyDescent="0.25">
      <c r="B317" s="2" t="s">
        <v>8</v>
      </c>
      <c r="C317" s="2">
        <v>2025</v>
      </c>
      <c r="D317" s="1">
        <v>527</v>
      </c>
      <c r="E317" s="11">
        <v>60779</v>
      </c>
      <c r="F317" s="1">
        <v>80</v>
      </c>
      <c r="G317" s="11">
        <v>8282</v>
      </c>
      <c r="H317" s="1">
        <v>55</v>
      </c>
      <c r="I317" s="11">
        <v>6806</v>
      </c>
      <c r="J317" s="1">
        <v>9859</v>
      </c>
      <c r="K317" s="11">
        <v>1119798</v>
      </c>
      <c r="L317" s="1">
        <v>156</v>
      </c>
      <c r="M317" s="11">
        <v>34897</v>
      </c>
      <c r="N317" s="1">
        <v>97</v>
      </c>
      <c r="O317" s="11">
        <v>21191</v>
      </c>
      <c r="P317" s="8">
        <v>1</v>
      </c>
      <c r="Q317" s="11">
        <v>48</v>
      </c>
      <c r="R317" s="8">
        <v>130</v>
      </c>
      <c r="S317" s="11">
        <v>13288</v>
      </c>
      <c r="T317" s="53">
        <f t="shared" si="166"/>
        <v>10905</v>
      </c>
      <c r="U317" s="54">
        <f t="shared" si="167"/>
        <v>1265089</v>
      </c>
      <c r="V317" s="2" t="s">
        <v>90</v>
      </c>
      <c r="X317" s="13"/>
      <c r="Y317" s="2" t="s">
        <v>8</v>
      </c>
      <c r="Z317" s="2">
        <v>2025</v>
      </c>
      <c r="AA317" s="1">
        <f t="shared" si="168"/>
        <v>662</v>
      </c>
      <c r="AB317" s="11">
        <f t="shared" si="169"/>
        <v>75867</v>
      </c>
      <c r="AC317" s="1">
        <f t="shared" si="170"/>
        <v>9859</v>
      </c>
      <c r="AD317" s="11">
        <f t="shared" si="170"/>
        <v>1119798</v>
      </c>
      <c r="AE317" s="8">
        <f t="shared" si="170"/>
        <v>156</v>
      </c>
      <c r="AF317" s="11">
        <f t="shared" si="170"/>
        <v>34897</v>
      </c>
      <c r="AG317" s="8">
        <f t="shared" si="170"/>
        <v>97</v>
      </c>
      <c r="AH317" s="11">
        <f t="shared" si="170"/>
        <v>21191</v>
      </c>
      <c r="AI317" s="8">
        <f t="shared" si="170"/>
        <v>1</v>
      </c>
      <c r="AJ317" s="11">
        <f t="shared" si="170"/>
        <v>48</v>
      </c>
      <c r="AK317" s="11">
        <f t="shared" si="170"/>
        <v>130</v>
      </c>
      <c r="AL317" s="11">
        <f t="shared" si="170"/>
        <v>13288</v>
      </c>
      <c r="AM317" s="8">
        <f t="shared" si="174"/>
        <v>10905</v>
      </c>
      <c r="AN317" s="11">
        <f t="shared" si="171"/>
        <v>1265089</v>
      </c>
      <c r="AO317" s="2" t="str">
        <f t="shared" si="172"/>
        <v>COTESA</v>
      </c>
      <c r="AP317" s="37">
        <f t="shared" si="173"/>
        <v>0</v>
      </c>
      <c r="AQ317" s="37">
        <f t="shared" si="173"/>
        <v>0</v>
      </c>
    </row>
    <row r="318" spans="1:43" x14ac:dyDescent="0.25">
      <c r="B318" s="2" t="s">
        <v>9</v>
      </c>
      <c r="C318" s="2">
        <v>2025</v>
      </c>
      <c r="D318" s="1">
        <v>384</v>
      </c>
      <c r="E318" s="11">
        <v>50904</v>
      </c>
      <c r="F318" s="1">
        <v>62</v>
      </c>
      <c r="G318" s="11">
        <v>8900</v>
      </c>
      <c r="H318" s="1">
        <v>52</v>
      </c>
      <c r="I318" s="11">
        <v>8525</v>
      </c>
      <c r="J318" s="1">
        <v>8009</v>
      </c>
      <c r="K318" s="11">
        <v>961480</v>
      </c>
      <c r="L318" s="1">
        <v>135</v>
      </c>
      <c r="M318" s="11">
        <v>30787</v>
      </c>
      <c r="N318" s="1">
        <v>100</v>
      </c>
      <c r="O318" s="11">
        <v>20473</v>
      </c>
      <c r="P318" s="8">
        <v>0</v>
      </c>
      <c r="Q318" s="11">
        <v>0</v>
      </c>
      <c r="R318" s="8">
        <v>105</v>
      </c>
      <c r="S318" s="11">
        <v>10534</v>
      </c>
      <c r="T318" s="53">
        <f t="shared" si="166"/>
        <v>8847</v>
      </c>
      <c r="U318" s="54">
        <f t="shared" si="167"/>
        <v>1091603</v>
      </c>
      <c r="V318" s="2" t="s">
        <v>90</v>
      </c>
      <c r="X318" s="13"/>
      <c r="Y318" s="2" t="s">
        <v>9</v>
      </c>
      <c r="Z318" s="2">
        <v>2025</v>
      </c>
      <c r="AA318" s="1">
        <f t="shared" si="168"/>
        <v>498</v>
      </c>
      <c r="AB318" s="11">
        <f t="shared" si="169"/>
        <v>68329</v>
      </c>
      <c r="AC318" s="1">
        <f t="shared" si="170"/>
        <v>8009</v>
      </c>
      <c r="AD318" s="11">
        <f t="shared" si="170"/>
        <v>961480</v>
      </c>
      <c r="AE318" s="8">
        <f t="shared" si="170"/>
        <v>135</v>
      </c>
      <c r="AF318" s="11">
        <f t="shared" si="170"/>
        <v>30787</v>
      </c>
      <c r="AG318" s="8">
        <f t="shared" si="170"/>
        <v>100</v>
      </c>
      <c r="AH318" s="11">
        <f t="shared" si="170"/>
        <v>20473</v>
      </c>
      <c r="AI318" s="8">
        <f t="shared" si="170"/>
        <v>0</v>
      </c>
      <c r="AJ318" s="11">
        <f t="shared" si="170"/>
        <v>0</v>
      </c>
      <c r="AK318" s="11">
        <f t="shared" si="170"/>
        <v>105</v>
      </c>
      <c r="AL318" s="11">
        <f t="shared" si="170"/>
        <v>10534</v>
      </c>
      <c r="AM318" s="8">
        <f t="shared" si="174"/>
        <v>8847</v>
      </c>
      <c r="AN318" s="11">
        <f t="shared" si="171"/>
        <v>1091603</v>
      </c>
      <c r="AO318" s="2" t="str">
        <f t="shared" si="172"/>
        <v>COTESA</v>
      </c>
      <c r="AP318" s="37">
        <f t="shared" si="173"/>
        <v>0</v>
      </c>
      <c r="AQ318" s="37">
        <f t="shared" si="173"/>
        <v>0</v>
      </c>
    </row>
    <row r="319" spans="1:43" x14ac:dyDescent="0.25">
      <c r="B319" s="2" t="s">
        <v>10</v>
      </c>
      <c r="C319" s="2">
        <v>2025</v>
      </c>
      <c r="D319" s="1">
        <v>347</v>
      </c>
      <c r="E319" s="11">
        <v>47158</v>
      </c>
      <c r="F319" s="1">
        <v>43</v>
      </c>
      <c r="G319" s="11">
        <v>4987</v>
      </c>
      <c r="H319" s="1">
        <v>56</v>
      </c>
      <c r="I319" s="11">
        <v>7856</v>
      </c>
      <c r="J319" s="1">
        <v>6938</v>
      </c>
      <c r="K319" s="11">
        <v>852086</v>
      </c>
      <c r="L319" s="1">
        <v>145</v>
      </c>
      <c r="M319" s="11">
        <v>31948</v>
      </c>
      <c r="N319" s="1">
        <v>67</v>
      </c>
      <c r="O319" s="11">
        <v>17175</v>
      </c>
      <c r="P319" s="8">
        <v>0</v>
      </c>
      <c r="Q319" s="11">
        <v>0</v>
      </c>
      <c r="R319" s="8">
        <v>111</v>
      </c>
      <c r="S319" s="11">
        <v>11627</v>
      </c>
      <c r="T319" s="53">
        <f t="shared" si="166"/>
        <v>7707</v>
      </c>
      <c r="U319" s="54">
        <f t="shared" si="167"/>
        <v>972837</v>
      </c>
      <c r="V319" s="2" t="s">
        <v>90</v>
      </c>
      <c r="Y319" s="2" t="s">
        <v>10</v>
      </c>
      <c r="Z319" s="2">
        <v>2025</v>
      </c>
      <c r="AA319" s="1">
        <f t="shared" si="168"/>
        <v>446</v>
      </c>
      <c r="AB319" s="11">
        <f t="shared" si="169"/>
        <v>60001</v>
      </c>
      <c r="AC319" s="1">
        <f t="shared" si="170"/>
        <v>6938</v>
      </c>
      <c r="AD319" s="11">
        <f t="shared" si="170"/>
        <v>852086</v>
      </c>
      <c r="AE319" s="8">
        <f t="shared" si="170"/>
        <v>145</v>
      </c>
      <c r="AF319" s="11">
        <f t="shared" si="170"/>
        <v>31948</v>
      </c>
      <c r="AG319" s="8">
        <f t="shared" si="170"/>
        <v>67</v>
      </c>
      <c r="AH319" s="11">
        <f t="shared" si="170"/>
        <v>17175</v>
      </c>
      <c r="AI319" s="8">
        <f t="shared" si="170"/>
        <v>0</v>
      </c>
      <c r="AJ319" s="11">
        <f t="shared" si="170"/>
        <v>0</v>
      </c>
      <c r="AK319" s="11">
        <f t="shared" si="170"/>
        <v>111</v>
      </c>
      <c r="AL319" s="11">
        <f t="shared" si="170"/>
        <v>11627</v>
      </c>
      <c r="AM319" s="8">
        <f t="shared" si="174"/>
        <v>7707</v>
      </c>
      <c r="AN319" s="11">
        <f t="shared" si="171"/>
        <v>972837</v>
      </c>
      <c r="AO319" s="2" t="str">
        <f t="shared" si="172"/>
        <v>COTESA</v>
      </c>
      <c r="AP319" s="37">
        <f t="shared" si="173"/>
        <v>0</v>
      </c>
      <c r="AQ319" s="37">
        <f t="shared" si="173"/>
        <v>0</v>
      </c>
    </row>
    <row r="320" spans="1:43" x14ac:dyDescent="0.25">
      <c r="B320" s="2" t="s">
        <v>11</v>
      </c>
      <c r="C320" s="2">
        <v>2025</v>
      </c>
      <c r="D320" s="1">
        <v>522</v>
      </c>
      <c r="E320" s="11">
        <v>64331</v>
      </c>
      <c r="F320" s="1">
        <v>63</v>
      </c>
      <c r="G320" s="11">
        <v>6794</v>
      </c>
      <c r="H320" s="1">
        <v>72</v>
      </c>
      <c r="I320" s="11">
        <v>11473</v>
      </c>
      <c r="J320" s="1">
        <v>8320</v>
      </c>
      <c r="K320" s="11">
        <v>993849</v>
      </c>
      <c r="L320" s="1">
        <v>145</v>
      </c>
      <c r="M320" s="11">
        <v>34032</v>
      </c>
      <c r="N320" s="1">
        <v>65</v>
      </c>
      <c r="O320" s="11">
        <v>11976</v>
      </c>
      <c r="P320" s="8">
        <v>0</v>
      </c>
      <c r="Q320" s="11">
        <v>0</v>
      </c>
      <c r="R320" s="8">
        <v>160</v>
      </c>
      <c r="S320" s="11">
        <v>16560</v>
      </c>
      <c r="T320" s="53">
        <f t="shared" si="166"/>
        <v>9347</v>
      </c>
      <c r="U320" s="54">
        <f t="shared" si="167"/>
        <v>1139015</v>
      </c>
      <c r="V320" s="2" t="s">
        <v>90</v>
      </c>
      <c r="Y320" s="2" t="s">
        <v>11</v>
      </c>
      <c r="Z320" s="2">
        <v>2025</v>
      </c>
      <c r="AA320" s="1">
        <f t="shared" si="168"/>
        <v>657</v>
      </c>
      <c r="AB320" s="11">
        <f t="shared" si="169"/>
        <v>82598</v>
      </c>
      <c r="AC320" s="1">
        <f t="shared" si="170"/>
        <v>8320</v>
      </c>
      <c r="AD320" s="11">
        <f t="shared" si="170"/>
        <v>993849</v>
      </c>
      <c r="AE320" s="8">
        <f t="shared" si="170"/>
        <v>145</v>
      </c>
      <c r="AF320" s="11">
        <f t="shared" si="170"/>
        <v>34032</v>
      </c>
      <c r="AG320" s="8">
        <f t="shared" si="170"/>
        <v>65</v>
      </c>
      <c r="AH320" s="11">
        <f t="shared" si="170"/>
        <v>11976</v>
      </c>
      <c r="AI320" s="8">
        <f t="shared" si="170"/>
        <v>0</v>
      </c>
      <c r="AJ320" s="11">
        <f t="shared" si="170"/>
        <v>0</v>
      </c>
      <c r="AK320" s="11">
        <f t="shared" si="170"/>
        <v>160</v>
      </c>
      <c r="AL320" s="11">
        <f t="shared" si="170"/>
        <v>16560</v>
      </c>
      <c r="AM320" s="8">
        <f t="shared" si="174"/>
        <v>9347</v>
      </c>
      <c r="AN320" s="11">
        <f t="shared" si="171"/>
        <v>1139015</v>
      </c>
      <c r="AO320" s="2" t="str">
        <f t="shared" si="172"/>
        <v>COTESA</v>
      </c>
      <c r="AP320" s="37">
        <f t="shared" si="173"/>
        <v>0</v>
      </c>
      <c r="AQ320" s="37">
        <f t="shared" si="173"/>
        <v>0</v>
      </c>
    </row>
    <row r="321" spans="1:43" x14ac:dyDescent="0.25">
      <c r="B321" s="2" t="s">
        <v>4</v>
      </c>
      <c r="C321" s="2">
        <v>2025</v>
      </c>
      <c r="D321" s="1">
        <v>377</v>
      </c>
      <c r="E321" s="11">
        <v>48580</v>
      </c>
      <c r="F321" s="1">
        <v>73</v>
      </c>
      <c r="G321" s="11">
        <v>7737</v>
      </c>
      <c r="H321" s="1">
        <v>56</v>
      </c>
      <c r="I321" s="11">
        <v>8168</v>
      </c>
      <c r="J321" s="1">
        <v>8384</v>
      </c>
      <c r="K321" s="11">
        <v>982868</v>
      </c>
      <c r="L321" s="1">
        <v>129</v>
      </c>
      <c r="M321" s="11">
        <v>26139</v>
      </c>
      <c r="N321" s="1">
        <v>65</v>
      </c>
      <c r="O321" s="11">
        <v>13550</v>
      </c>
      <c r="P321" s="8">
        <v>0</v>
      </c>
      <c r="Q321" s="11">
        <v>0</v>
      </c>
      <c r="R321" s="8">
        <v>158</v>
      </c>
      <c r="S321" s="11">
        <v>17050</v>
      </c>
      <c r="T321" s="53">
        <f t="shared" si="166"/>
        <v>9242</v>
      </c>
      <c r="U321" s="54">
        <f t="shared" si="167"/>
        <v>1104092</v>
      </c>
      <c r="V321" s="2" t="s">
        <v>90</v>
      </c>
      <c r="Y321" s="2" t="s">
        <v>4</v>
      </c>
      <c r="Z321" s="2">
        <v>2025</v>
      </c>
      <c r="AA321" s="1">
        <f t="shared" si="168"/>
        <v>506</v>
      </c>
      <c r="AB321" s="11">
        <f t="shared" si="169"/>
        <v>64485</v>
      </c>
      <c r="AC321" s="1">
        <f t="shared" si="170"/>
        <v>8384</v>
      </c>
      <c r="AD321" s="11">
        <f t="shared" si="170"/>
        <v>982868</v>
      </c>
      <c r="AE321" s="8">
        <f t="shared" si="170"/>
        <v>129</v>
      </c>
      <c r="AF321" s="11">
        <f t="shared" si="170"/>
        <v>26139</v>
      </c>
      <c r="AG321" s="8">
        <f t="shared" si="170"/>
        <v>65</v>
      </c>
      <c r="AH321" s="11">
        <f t="shared" si="170"/>
        <v>13550</v>
      </c>
      <c r="AI321" s="8">
        <f t="shared" si="170"/>
        <v>0</v>
      </c>
      <c r="AJ321" s="11">
        <f t="shared" si="170"/>
        <v>0</v>
      </c>
      <c r="AK321" s="11">
        <f t="shared" si="170"/>
        <v>158</v>
      </c>
      <c r="AL321" s="11">
        <f t="shared" si="170"/>
        <v>17050</v>
      </c>
      <c r="AM321" s="27">
        <f t="shared" si="174"/>
        <v>9242</v>
      </c>
      <c r="AN321" s="14">
        <f t="shared" si="171"/>
        <v>1104092</v>
      </c>
      <c r="AO321" s="2" t="str">
        <f t="shared" si="172"/>
        <v>COTESA</v>
      </c>
      <c r="AP321" s="37">
        <f t="shared" si="173"/>
        <v>0</v>
      </c>
      <c r="AQ321" s="37">
        <f t="shared" si="173"/>
        <v>0</v>
      </c>
    </row>
    <row r="322" spans="1:43" x14ac:dyDescent="0.25">
      <c r="B322" s="2" t="s">
        <v>28</v>
      </c>
      <c r="C322" s="2">
        <v>2025</v>
      </c>
      <c r="D322" s="1">
        <v>218</v>
      </c>
      <c r="E322" s="11">
        <v>29439</v>
      </c>
      <c r="F322" s="1">
        <v>44</v>
      </c>
      <c r="G322" s="11">
        <v>5117</v>
      </c>
      <c r="H322" s="1">
        <v>79</v>
      </c>
      <c r="I322" s="11">
        <v>12716</v>
      </c>
      <c r="J322" s="1">
        <v>6744</v>
      </c>
      <c r="K322" s="11">
        <v>816214</v>
      </c>
      <c r="L322" s="1">
        <v>85</v>
      </c>
      <c r="M322" s="11">
        <v>17191</v>
      </c>
      <c r="N322" s="1">
        <v>39</v>
      </c>
      <c r="O322" s="11">
        <v>7293</v>
      </c>
      <c r="P322" s="8">
        <v>0</v>
      </c>
      <c r="Q322" s="11">
        <v>0</v>
      </c>
      <c r="R322" s="8">
        <v>94</v>
      </c>
      <c r="S322" s="11">
        <v>9479</v>
      </c>
      <c r="T322" s="53">
        <f t="shared" si="166"/>
        <v>7303</v>
      </c>
      <c r="U322" s="54">
        <f t="shared" si="167"/>
        <v>897449</v>
      </c>
      <c r="V322" s="2" t="s">
        <v>90</v>
      </c>
      <c r="Y322" s="2" t="s">
        <v>28</v>
      </c>
      <c r="Z322" s="2">
        <v>2025</v>
      </c>
      <c r="AA322" s="1">
        <f t="shared" si="168"/>
        <v>341</v>
      </c>
      <c r="AB322" s="11">
        <f t="shared" si="169"/>
        <v>47272</v>
      </c>
      <c r="AC322" s="1">
        <f t="shared" si="170"/>
        <v>6744</v>
      </c>
      <c r="AD322" s="11">
        <f t="shared" si="170"/>
        <v>816214</v>
      </c>
      <c r="AE322" s="8">
        <f t="shared" si="170"/>
        <v>85</v>
      </c>
      <c r="AF322" s="11">
        <f t="shared" si="170"/>
        <v>17191</v>
      </c>
      <c r="AG322" s="8">
        <f t="shared" si="170"/>
        <v>39</v>
      </c>
      <c r="AH322" s="11">
        <f t="shared" si="170"/>
        <v>7293</v>
      </c>
      <c r="AI322" s="8">
        <f t="shared" si="170"/>
        <v>0</v>
      </c>
      <c r="AJ322" s="11">
        <f t="shared" si="170"/>
        <v>0</v>
      </c>
      <c r="AK322" s="11">
        <f t="shared" si="170"/>
        <v>94</v>
      </c>
      <c r="AL322" s="11">
        <f t="shared" si="170"/>
        <v>9479</v>
      </c>
      <c r="AM322" s="8">
        <f t="shared" si="174"/>
        <v>7303</v>
      </c>
      <c r="AN322" s="11">
        <f t="shared" si="171"/>
        <v>897449</v>
      </c>
      <c r="AO322" s="2" t="str">
        <f t="shared" si="172"/>
        <v>COTESA</v>
      </c>
      <c r="AP322" s="37">
        <f t="shared" si="173"/>
        <v>0</v>
      </c>
      <c r="AQ322" s="37">
        <f t="shared" si="173"/>
        <v>0</v>
      </c>
    </row>
    <row r="323" spans="1:43" x14ac:dyDescent="0.25">
      <c r="B323" s="2" t="s">
        <v>29</v>
      </c>
      <c r="C323" s="2">
        <v>2025</v>
      </c>
      <c r="D323" s="1">
        <v>204</v>
      </c>
      <c r="E323" s="11">
        <v>30545</v>
      </c>
      <c r="F323" s="1">
        <v>62</v>
      </c>
      <c r="G323" s="11">
        <v>7998</v>
      </c>
      <c r="H323" s="1">
        <v>508</v>
      </c>
      <c r="I323" s="11">
        <v>109557</v>
      </c>
      <c r="J323" s="1">
        <v>6297</v>
      </c>
      <c r="K323" s="11">
        <v>755522</v>
      </c>
      <c r="L323" s="1">
        <v>90</v>
      </c>
      <c r="M323" s="11">
        <v>19101</v>
      </c>
      <c r="N323" s="1">
        <v>47</v>
      </c>
      <c r="O323" s="11">
        <v>9067</v>
      </c>
      <c r="P323" s="8">
        <v>0</v>
      </c>
      <c r="Q323" s="11">
        <v>0</v>
      </c>
      <c r="R323" s="8">
        <v>118</v>
      </c>
      <c r="S323" s="11">
        <v>12540</v>
      </c>
      <c r="T323" s="53">
        <f t="shared" si="166"/>
        <v>7326</v>
      </c>
      <c r="U323" s="54">
        <f t="shared" si="167"/>
        <v>944330</v>
      </c>
      <c r="V323" s="2" t="s">
        <v>90</v>
      </c>
      <c r="Y323" s="2" t="s">
        <v>29</v>
      </c>
      <c r="Z323" s="2">
        <v>2025</v>
      </c>
      <c r="AA323" s="1">
        <f t="shared" si="168"/>
        <v>774</v>
      </c>
      <c r="AB323" s="11">
        <f t="shared" si="169"/>
        <v>148100</v>
      </c>
      <c r="AC323" s="1">
        <f t="shared" si="170"/>
        <v>6297</v>
      </c>
      <c r="AD323" s="11">
        <f t="shared" si="170"/>
        <v>755522</v>
      </c>
      <c r="AE323" s="8">
        <f t="shared" si="170"/>
        <v>90</v>
      </c>
      <c r="AF323" s="11">
        <f t="shared" si="170"/>
        <v>19101</v>
      </c>
      <c r="AG323" s="8">
        <f t="shared" si="170"/>
        <v>47</v>
      </c>
      <c r="AH323" s="11">
        <f t="shared" si="170"/>
        <v>9067</v>
      </c>
      <c r="AI323" s="8">
        <f t="shared" si="170"/>
        <v>0</v>
      </c>
      <c r="AJ323" s="11">
        <f t="shared" si="170"/>
        <v>0</v>
      </c>
      <c r="AK323" s="11">
        <f t="shared" si="170"/>
        <v>118</v>
      </c>
      <c r="AL323" s="11">
        <f t="shared" si="170"/>
        <v>12540</v>
      </c>
      <c r="AM323" s="8">
        <f t="shared" si="174"/>
        <v>7326</v>
      </c>
      <c r="AN323" s="11">
        <f t="shared" si="171"/>
        <v>944330</v>
      </c>
      <c r="AO323" s="2" t="str">
        <f t="shared" si="172"/>
        <v>COTESA</v>
      </c>
      <c r="AP323" s="37">
        <f t="shared" si="173"/>
        <v>0</v>
      </c>
      <c r="AQ323" s="37">
        <f t="shared" si="173"/>
        <v>0</v>
      </c>
    </row>
    <row r="324" spans="1:43" x14ac:dyDescent="0.25">
      <c r="B324" s="2" t="s">
        <v>30</v>
      </c>
      <c r="C324" s="2">
        <v>2025</v>
      </c>
      <c r="D324" s="1">
        <v>226</v>
      </c>
      <c r="E324" s="11">
        <v>29289</v>
      </c>
      <c r="F324" s="1">
        <v>53</v>
      </c>
      <c r="G324" s="11">
        <v>5885</v>
      </c>
      <c r="H324" s="1">
        <v>384</v>
      </c>
      <c r="I324" s="11">
        <v>80120</v>
      </c>
      <c r="J324" s="1">
        <v>7664</v>
      </c>
      <c r="K324" s="11">
        <v>892474</v>
      </c>
      <c r="L324" s="1">
        <v>81</v>
      </c>
      <c r="M324" s="11">
        <v>16112</v>
      </c>
      <c r="N324" s="1">
        <v>45</v>
      </c>
      <c r="O324" s="11">
        <v>6900</v>
      </c>
      <c r="P324" s="8">
        <v>0</v>
      </c>
      <c r="Q324" s="11">
        <v>0</v>
      </c>
      <c r="R324" s="11">
        <v>150</v>
      </c>
      <c r="S324" s="11">
        <v>15036</v>
      </c>
      <c r="T324" s="53">
        <f t="shared" si="166"/>
        <v>8603</v>
      </c>
      <c r="U324" s="54">
        <f t="shared" si="167"/>
        <v>1045816</v>
      </c>
      <c r="V324" s="2" t="s">
        <v>90</v>
      </c>
      <c r="Y324" s="2" t="s">
        <v>30</v>
      </c>
      <c r="Z324" s="2">
        <v>2025</v>
      </c>
      <c r="AA324" s="1">
        <f t="shared" si="168"/>
        <v>663</v>
      </c>
      <c r="AB324" s="11">
        <f t="shared" si="169"/>
        <v>115294</v>
      </c>
      <c r="AC324" s="1">
        <f t="shared" si="170"/>
        <v>7664</v>
      </c>
      <c r="AD324" s="11">
        <f t="shared" si="170"/>
        <v>892474</v>
      </c>
      <c r="AE324" s="8">
        <f t="shared" si="170"/>
        <v>81</v>
      </c>
      <c r="AF324" s="11">
        <f t="shared" si="170"/>
        <v>16112</v>
      </c>
      <c r="AG324" s="8">
        <f t="shared" si="170"/>
        <v>45</v>
      </c>
      <c r="AH324" s="11">
        <f t="shared" si="170"/>
        <v>6900</v>
      </c>
      <c r="AI324" s="8">
        <f t="shared" si="170"/>
        <v>0</v>
      </c>
      <c r="AJ324" s="11">
        <f t="shared" si="170"/>
        <v>0</v>
      </c>
      <c r="AK324" s="11">
        <f t="shared" si="170"/>
        <v>150</v>
      </c>
      <c r="AL324" s="11">
        <f t="shared" si="170"/>
        <v>15036</v>
      </c>
      <c r="AM324" s="79">
        <f t="shared" si="174"/>
        <v>8603</v>
      </c>
      <c r="AN324" s="80">
        <f t="shared" si="171"/>
        <v>1045816</v>
      </c>
      <c r="AO324" s="2" t="str">
        <f t="shared" si="172"/>
        <v>COTESA</v>
      </c>
      <c r="AP324" s="37">
        <f t="shared" si="173"/>
        <v>0</v>
      </c>
      <c r="AQ324" s="37">
        <f t="shared" si="173"/>
        <v>0</v>
      </c>
    </row>
    <row r="325" spans="1:43" x14ac:dyDescent="0.25">
      <c r="B325" s="2" t="s">
        <v>31</v>
      </c>
      <c r="C325" s="2">
        <v>2025</v>
      </c>
      <c r="D325" s="1">
        <v>492</v>
      </c>
      <c r="E325" s="11">
        <v>55944</v>
      </c>
      <c r="F325" s="1">
        <v>97</v>
      </c>
      <c r="G325" s="11">
        <v>10386</v>
      </c>
      <c r="H325" s="1">
        <v>299</v>
      </c>
      <c r="I325" s="11">
        <v>61967</v>
      </c>
      <c r="J325" s="1">
        <v>9529</v>
      </c>
      <c r="K325" s="11">
        <v>1101438</v>
      </c>
      <c r="L325" s="1">
        <v>83</v>
      </c>
      <c r="M325" s="11">
        <v>17891</v>
      </c>
      <c r="N325" s="1">
        <v>56</v>
      </c>
      <c r="O325" s="11">
        <v>7518</v>
      </c>
      <c r="P325" s="8">
        <v>0</v>
      </c>
      <c r="Q325" s="11">
        <v>0</v>
      </c>
      <c r="R325" s="11">
        <v>186</v>
      </c>
      <c r="S325" s="11">
        <v>18658</v>
      </c>
      <c r="T325" s="53">
        <f t="shared" si="166"/>
        <v>10742</v>
      </c>
      <c r="U325" s="54">
        <f t="shared" si="167"/>
        <v>1273802</v>
      </c>
      <c r="V325" s="2" t="s">
        <v>90</v>
      </c>
      <c r="W325" s="13"/>
      <c r="Y325" s="2" t="s">
        <v>31</v>
      </c>
      <c r="Z325" s="2">
        <v>2025</v>
      </c>
      <c r="AA325" s="1">
        <f t="shared" si="168"/>
        <v>888</v>
      </c>
      <c r="AB325" s="11">
        <f t="shared" si="169"/>
        <v>128297</v>
      </c>
      <c r="AC325" s="1">
        <f t="shared" si="170"/>
        <v>9529</v>
      </c>
      <c r="AD325" s="11">
        <f t="shared" si="170"/>
        <v>1101438</v>
      </c>
      <c r="AE325" s="8">
        <f t="shared" si="170"/>
        <v>83</v>
      </c>
      <c r="AF325" s="11">
        <f t="shared" si="170"/>
        <v>17891</v>
      </c>
      <c r="AG325" s="8">
        <f t="shared" si="170"/>
        <v>56</v>
      </c>
      <c r="AH325" s="11">
        <f t="shared" si="170"/>
        <v>7518</v>
      </c>
      <c r="AI325" s="8">
        <f t="shared" si="170"/>
        <v>0</v>
      </c>
      <c r="AJ325" s="11">
        <f t="shared" si="170"/>
        <v>0</v>
      </c>
      <c r="AK325" s="11">
        <f t="shared" si="170"/>
        <v>186</v>
      </c>
      <c r="AL325" s="11">
        <f t="shared" si="170"/>
        <v>18658</v>
      </c>
      <c r="AM325" s="8">
        <f t="shared" si="174"/>
        <v>10742</v>
      </c>
      <c r="AN325" s="11">
        <f t="shared" si="171"/>
        <v>1273802</v>
      </c>
      <c r="AO325" s="2" t="str">
        <f t="shared" si="172"/>
        <v>COTESA</v>
      </c>
      <c r="AP325" s="37">
        <f t="shared" si="173"/>
        <v>0</v>
      </c>
      <c r="AQ325" s="37">
        <f t="shared" si="173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175">SUM(D314:D326)</f>
        <v>4142</v>
      </c>
      <c r="E327" s="12">
        <f t="shared" si="175"/>
        <v>522812</v>
      </c>
      <c r="F327" s="4">
        <f t="shared" si="175"/>
        <v>725</v>
      </c>
      <c r="G327" s="12">
        <f t="shared" si="175"/>
        <v>81357</v>
      </c>
      <c r="H327" s="4">
        <f t="shared" si="175"/>
        <v>1697</v>
      </c>
      <c r="I327" s="12">
        <f t="shared" si="175"/>
        <v>327308</v>
      </c>
      <c r="J327" s="4">
        <f t="shared" si="175"/>
        <v>93839</v>
      </c>
      <c r="K327" s="12">
        <f t="shared" si="175"/>
        <v>11040362</v>
      </c>
      <c r="L327" s="4">
        <f t="shared" si="175"/>
        <v>1291</v>
      </c>
      <c r="M327" s="12">
        <f t="shared" si="175"/>
        <v>281583</v>
      </c>
      <c r="N327" s="4">
        <f t="shared" si="175"/>
        <v>745</v>
      </c>
      <c r="O327" s="12">
        <f t="shared" si="175"/>
        <v>148327</v>
      </c>
      <c r="P327" s="4">
        <f>SUM(P314:P326)</f>
        <v>1</v>
      </c>
      <c r="Q327" s="12">
        <f>SUM(Q314:Q326)</f>
        <v>48</v>
      </c>
      <c r="R327" s="4">
        <f>SUM(R314:R326)</f>
        <v>1483</v>
      </c>
      <c r="S327" s="12">
        <f>SUM(S314:S326)</f>
        <v>152824</v>
      </c>
      <c r="T327" s="4">
        <f t="shared" ref="T327:U327" si="176">SUM(T314:T326)</f>
        <v>103923</v>
      </c>
      <c r="U327" s="12">
        <f t="shared" si="176"/>
        <v>12554621</v>
      </c>
      <c r="Y327" s="3" t="s">
        <v>12</v>
      </c>
      <c r="Z327" s="3"/>
      <c r="AA327" s="4">
        <f t="shared" ref="AA327:AN327" si="177">SUM(AA314:AA326)</f>
        <v>6564</v>
      </c>
      <c r="AB327" s="12">
        <f t="shared" si="177"/>
        <v>931477</v>
      </c>
      <c r="AC327" s="4">
        <f t="shared" si="177"/>
        <v>93839</v>
      </c>
      <c r="AD327" s="12">
        <f t="shared" si="177"/>
        <v>11040362</v>
      </c>
      <c r="AE327" s="4">
        <f t="shared" si="177"/>
        <v>1291</v>
      </c>
      <c r="AF327" s="12">
        <f t="shared" si="177"/>
        <v>281583</v>
      </c>
      <c r="AG327" s="4">
        <f t="shared" si="177"/>
        <v>745</v>
      </c>
      <c r="AH327" s="12">
        <f t="shared" si="177"/>
        <v>148327</v>
      </c>
      <c r="AI327" s="4">
        <f t="shared" si="177"/>
        <v>1</v>
      </c>
      <c r="AJ327" s="12">
        <f t="shared" si="177"/>
        <v>48</v>
      </c>
      <c r="AK327" s="4">
        <f t="shared" si="177"/>
        <v>1483</v>
      </c>
      <c r="AL327" s="12">
        <f t="shared" si="177"/>
        <v>152824</v>
      </c>
      <c r="AM327" s="4">
        <f t="shared" si="177"/>
        <v>103923</v>
      </c>
      <c r="AN327" s="12">
        <f t="shared" si="177"/>
        <v>12554621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78.5</v>
      </c>
      <c r="M328" s="60">
        <f>AVERAGE(M314:M315)</f>
        <v>17028</v>
      </c>
      <c r="T328" s="15">
        <f>AVERAGE(T314:T315)</f>
        <v>7382</v>
      </c>
      <c r="U328" s="28">
        <f>AVERAGE(U314:U315)</f>
        <v>878053</v>
      </c>
      <c r="V328" s="29"/>
    </row>
    <row r="329" spans="1:43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5.2643579495158135E-4</v>
      </c>
      <c r="M329" s="36">
        <f>+M328/$M$371</f>
        <v>6.5524619936343121E-4</v>
      </c>
      <c r="T329" s="15"/>
      <c r="U329" s="28"/>
      <c r="V329" s="29"/>
    </row>
    <row r="330" spans="1:43" x14ac:dyDescent="0.25">
      <c r="A330" s="67" t="s">
        <v>106</v>
      </c>
      <c r="L330" s="26"/>
      <c r="M330" s="26"/>
    </row>
    <row r="331" spans="1:43" x14ac:dyDescent="0.25">
      <c r="B331" s="5"/>
    </row>
    <row r="332" spans="1:43" x14ac:dyDescent="0.25">
      <c r="D332" s="89" t="s">
        <v>15</v>
      </c>
      <c r="E332" s="90"/>
      <c r="F332" s="89" t="s">
        <v>71</v>
      </c>
      <c r="G332" s="90"/>
      <c r="H332" s="89" t="s">
        <v>16</v>
      </c>
      <c r="I332" s="90"/>
      <c r="J332" s="89" t="s">
        <v>17</v>
      </c>
      <c r="K332" s="93"/>
      <c r="L332" s="89" t="s">
        <v>18</v>
      </c>
      <c r="M332" s="93"/>
      <c r="N332" s="89" t="s">
        <v>13</v>
      </c>
      <c r="O332" s="93"/>
      <c r="P332" s="89" t="s">
        <v>34</v>
      </c>
      <c r="Q332" s="93"/>
      <c r="R332" s="89" t="s">
        <v>87</v>
      </c>
      <c r="S332" s="93"/>
      <c r="T332" s="89" t="s">
        <v>12</v>
      </c>
      <c r="U332" s="93"/>
      <c r="AA332" s="89" t="s">
        <v>69</v>
      </c>
      <c r="AB332" s="90"/>
      <c r="AC332" s="89" t="s">
        <v>17</v>
      </c>
      <c r="AD332" s="93"/>
      <c r="AE332" s="89" t="s">
        <v>18</v>
      </c>
      <c r="AF332" s="93"/>
      <c r="AG332" s="89" t="s">
        <v>13</v>
      </c>
      <c r="AH332" s="93"/>
      <c r="AI332" s="89" t="s">
        <v>34</v>
      </c>
      <c r="AJ332" s="93"/>
      <c r="AK332" s="89" t="s">
        <v>87</v>
      </c>
      <c r="AL332" s="93"/>
      <c r="AM332" s="89" t="s">
        <v>12</v>
      </c>
      <c r="AN332" s="93"/>
    </row>
    <row r="333" spans="1:43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x14ac:dyDescent="0.25">
      <c r="B335" s="2" t="s">
        <v>5</v>
      </c>
      <c r="C335" s="2">
        <v>2025</v>
      </c>
      <c r="D335" s="1">
        <v>33472</v>
      </c>
      <c r="E335" s="11">
        <v>5814180</v>
      </c>
      <c r="F335" s="1">
        <v>12106</v>
      </c>
      <c r="G335" s="11">
        <v>2105392</v>
      </c>
      <c r="H335" s="1">
        <v>1087</v>
      </c>
      <c r="I335" s="11">
        <v>189048</v>
      </c>
      <c r="J335" s="1">
        <v>274586</v>
      </c>
      <c r="K335" s="11">
        <v>47657538</v>
      </c>
      <c r="L335" s="1">
        <v>6796</v>
      </c>
      <c r="M335" s="11">
        <v>1182752</v>
      </c>
      <c r="N335" s="1">
        <v>4089</v>
      </c>
      <c r="O335" s="11">
        <v>710916</v>
      </c>
      <c r="P335" s="8">
        <v>1</v>
      </c>
      <c r="Q335" s="11">
        <v>178</v>
      </c>
      <c r="R335" s="8">
        <v>1878</v>
      </c>
      <c r="S335" s="11">
        <v>326150</v>
      </c>
      <c r="T335" s="53">
        <f t="shared" ref="T335:T346" si="178">N335+L335+J335+H335+D335+P335+F335+R335</f>
        <v>334015</v>
      </c>
      <c r="U335" s="54">
        <f t="shared" ref="U335:U346" si="179">O335+M335+K335+I335+E335+Q335+G335+S335</f>
        <v>57986154</v>
      </c>
      <c r="V335" s="2" t="s">
        <v>107</v>
      </c>
      <c r="Y335" s="2" t="s">
        <v>5</v>
      </c>
      <c r="Z335" s="2">
        <v>2025</v>
      </c>
      <c r="AA335" s="1">
        <f t="shared" ref="AA335:AA346" si="180">D335+H335+F335</f>
        <v>46665</v>
      </c>
      <c r="AB335" s="11">
        <f t="shared" ref="AB335:AB346" si="181">E335+I335+G335</f>
        <v>8108620</v>
      </c>
      <c r="AC335" s="1">
        <f t="shared" ref="AC335:AL346" si="182">+J335</f>
        <v>274586</v>
      </c>
      <c r="AD335" s="11">
        <f t="shared" si="182"/>
        <v>47657538</v>
      </c>
      <c r="AE335" s="8">
        <f t="shared" si="182"/>
        <v>6796</v>
      </c>
      <c r="AF335" s="11">
        <f t="shared" si="182"/>
        <v>1182752</v>
      </c>
      <c r="AG335" s="8">
        <f t="shared" si="182"/>
        <v>4089</v>
      </c>
      <c r="AH335" s="11">
        <f t="shared" si="182"/>
        <v>710916</v>
      </c>
      <c r="AI335" s="8">
        <f t="shared" si="182"/>
        <v>1</v>
      </c>
      <c r="AJ335" s="11">
        <f t="shared" si="182"/>
        <v>178</v>
      </c>
      <c r="AK335" s="11">
        <f t="shared" si="182"/>
        <v>1878</v>
      </c>
      <c r="AL335" s="11">
        <f t="shared" si="182"/>
        <v>326150</v>
      </c>
      <c r="AM335" s="8">
        <f>AI335+AG335+AE335+AC335+AA335+AK335</f>
        <v>334015</v>
      </c>
      <c r="AN335" s="11">
        <f t="shared" ref="AN335:AN346" si="183">AJ335+AH335+AF335+AD335+AB335+AL335</f>
        <v>57986154</v>
      </c>
      <c r="AO335" s="2" t="str">
        <f t="shared" ref="AO335:AO346" si="184">+V335</f>
        <v>VET</v>
      </c>
      <c r="AP335" s="37">
        <f t="shared" ref="AP335:AQ346" si="185">+AM335-T335</f>
        <v>0</v>
      </c>
      <c r="AQ335" s="37">
        <f t="shared" si="185"/>
        <v>0</v>
      </c>
    </row>
    <row r="336" spans="1:43" x14ac:dyDescent="0.25">
      <c r="B336" s="2" t="s">
        <v>6</v>
      </c>
      <c r="C336" s="2">
        <v>2025</v>
      </c>
      <c r="D336" s="1">
        <v>33539</v>
      </c>
      <c r="E336" s="11">
        <v>5969942</v>
      </c>
      <c r="F336" s="1">
        <v>12626</v>
      </c>
      <c r="G336" s="11">
        <v>2247428</v>
      </c>
      <c r="H336" s="1">
        <v>923</v>
      </c>
      <c r="I336" s="11">
        <v>164294</v>
      </c>
      <c r="J336" s="1">
        <v>263635</v>
      </c>
      <c r="K336" s="11">
        <v>46927030</v>
      </c>
      <c r="L336" s="1">
        <v>6588</v>
      </c>
      <c r="M336" s="11">
        <v>1172664</v>
      </c>
      <c r="N336" s="1">
        <v>4083</v>
      </c>
      <c r="O336" s="11">
        <v>726774</v>
      </c>
      <c r="P336" s="8">
        <v>1</v>
      </c>
      <c r="Q336" s="11">
        <v>178</v>
      </c>
      <c r="R336" s="8">
        <v>1914</v>
      </c>
      <c r="S336" s="11">
        <v>340692</v>
      </c>
      <c r="T336" s="53">
        <f t="shared" si="178"/>
        <v>323309</v>
      </c>
      <c r="U336" s="54">
        <f t="shared" si="179"/>
        <v>57549002</v>
      </c>
      <c r="V336" s="2" t="s">
        <v>107</v>
      </c>
      <c r="Y336" s="2" t="s">
        <v>6</v>
      </c>
      <c r="Z336" s="2">
        <v>2025</v>
      </c>
      <c r="AA336" s="1">
        <f t="shared" si="180"/>
        <v>47088</v>
      </c>
      <c r="AB336" s="11">
        <f t="shared" si="181"/>
        <v>8381664</v>
      </c>
      <c r="AC336" s="1">
        <f t="shared" si="182"/>
        <v>263635</v>
      </c>
      <c r="AD336" s="11">
        <f t="shared" si="182"/>
        <v>46927030</v>
      </c>
      <c r="AE336" s="8">
        <f t="shared" si="182"/>
        <v>6588</v>
      </c>
      <c r="AF336" s="11">
        <f t="shared" si="182"/>
        <v>1172664</v>
      </c>
      <c r="AG336" s="8">
        <f t="shared" si="182"/>
        <v>4083</v>
      </c>
      <c r="AH336" s="11">
        <f t="shared" si="182"/>
        <v>726774</v>
      </c>
      <c r="AI336" s="8">
        <f t="shared" si="182"/>
        <v>1</v>
      </c>
      <c r="AJ336" s="11">
        <f t="shared" si="182"/>
        <v>178</v>
      </c>
      <c r="AK336" s="11">
        <f t="shared" si="182"/>
        <v>1914</v>
      </c>
      <c r="AL336" s="11">
        <f t="shared" si="182"/>
        <v>340692</v>
      </c>
      <c r="AM336" s="8">
        <f t="shared" ref="AM336:AM346" si="186">AI336+AG336+AE336+AC336+AA336+AK336</f>
        <v>323309</v>
      </c>
      <c r="AN336" s="11">
        <f t="shared" si="183"/>
        <v>57549002</v>
      </c>
      <c r="AO336" s="2" t="str">
        <f t="shared" si="184"/>
        <v>VET</v>
      </c>
      <c r="AP336" s="37">
        <f t="shared" si="185"/>
        <v>0</v>
      </c>
      <c r="AQ336" s="37">
        <f t="shared" si="185"/>
        <v>0</v>
      </c>
    </row>
    <row r="337" spans="1:43" x14ac:dyDescent="0.25">
      <c r="B337" s="2" t="s">
        <v>7</v>
      </c>
      <c r="C337" s="2">
        <v>2025</v>
      </c>
      <c r="D337" s="1">
        <v>40197</v>
      </c>
      <c r="E337" s="11">
        <v>7155066</v>
      </c>
      <c r="F337" s="1">
        <v>13843</v>
      </c>
      <c r="G337" s="11">
        <v>2464054</v>
      </c>
      <c r="H337" s="1">
        <v>1065</v>
      </c>
      <c r="I337" s="11">
        <v>189570</v>
      </c>
      <c r="J337" s="1">
        <v>302205</v>
      </c>
      <c r="K337" s="11">
        <v>53792490</v>
      </c>
      <c r="L337" s="1">
        <v>7569</v>
      </c>
      <c r="M337" s="11">
        <v>1347282</v>
      </c>
      <c r="N337" s="1">
        <v>4449</v>
      </c>
      <c r="O337" s="11">
        <v>791922</v>
      </c>
      <c r="P337" s="8">
        <v>1</v>
      </c>
      <c r="Q337" s="11">
        <v>178</v>
      </c>
      <c r="R337" s="8">
        <v>2580</v>
      </c>
      <c r="S337" s="11">
        <v>459240</v>
      </c>
      <c r="T337" s="53">
        <f t="shared" si="178"/>
        <v>371909</v>
      </c>
      <c r="U337" s="54">
        <f t="shared" si="179"/>
        <v>66199802</v>
      </c>
      <c r="V337" s="2" t="s">
        <v>107</v>
      </c>
      <c r="Y337" s="2" t="s">
        <v>7</v>
      </c>
      <c r="Z337" s="2">
        <v>2025</v>
      </c>
      <c r="AA337" s="1">
        <f t="shared" si="180"/>
        <v>55105</v>
      </c>
      <c r="AB337" s="11">
        <f t="shared" si="181"/>
        <v>9808690</v>
      </c>
      <c r="AC337" s="1">
        <f t="shared" si="182"/>
        <v>302205</v>
      </c>
      <c r="AD337" s="11">
        <f t="shared" si="182"/>
        <v>53792490</v>
      </c>
      <c r="AE337" s="8">
        <f t="shared" si="182"/>
        <v>7569</v>
      </c>
      <c r="AF337" s="11">
        <f t="shared" si="182"/>
        <v>1347282</v>
      </c>
      <c r="AG337" s="8">
        <f t="shared" si="182"/>
        <v>4449</v>
      </c>
      <c r="AH337" s="11">
        <f t="shared" si="182"/>
        <v>791922</v>
      </c>
      <c r="AI337" s="8">
        <f t="shared" si="182"/>
        <v>1</v>
      </c>
      <c r="AJ337" s="11">
        <f t="shared" si="182"/>
        <v>178</v>
      </c>
      <c r="AK337" s="11">
        <f t="shared" si="182"/>
        <v>2580</v>
      </c>
      <c r="AL337" s="11">
        <f t="shared" si="182"/>
        <v>459240</v>
      </c>
      <c r="AM337" s="8">
        <f t="shared" si="186"/>
        <v>371909</v>
      </c>
      <c r="AN337" s="11">
        <f t="shared" si="183"/>
        <v>66199802</v>
      </c>
      <c r="AO337" s="2" t="str">
        <f t="shared" si="184"/>
        <v>VET</v>
      </c>
      <c r="AP337" s="37">
        <f t="shared" si="185"/>
        <v>0</v>
      </c>
      <c r="AQ337" s="37">
        <f t="shared" si="185"/>
        <v>0</v>
      </c>
    </row>
    <row r="338" spans="1:43" x14ac:dyDescent="0.25">
      <c r="B338" s="2" t="s">
        <v>8</v>
      </c>
      <c r="C338" s="2">
        <v>2025</v>
      </c>
      <c r="D338" s="1">
        <v>47568</v>
      </c>
      <c r="E338" s="11">
        <v>8467104</v>
      </c>
      <c r="F338" s="1">
        <v>14164</v>
      </c>
      <c r="G338" s="11">
        <v>2521192</v>
      </c>
      <c r="H338" s="1">
        <v>1595</v>
      </c>
      <c r="I338" s="11">
        <v>283910</v>
      </c>
      <c r="J338" s="1">
        <v>316450</v>
      </c>
      <c r="K338" s="11">
        <v>56328100</v>
      </c>
      <c r="L338" s="1">
        <v>7678</v>
      </c>
      <c r="M338" s="11">
        <v>1366684</v>
      </c>
      <c r="N338" s="1">
        <v>4465</v>
      </c>
      <c r="O338" s="11">
        <v>794770</v>
      </c>
      <c r="P338" s="8">
        <v>1</v>
      </c>
      <c r="Q338" s="11">
        <v>178</v>
      </c>
      <c r="R338" s="8">
        <v>2822</v>
      </c>
      <c r="S338" s="11">
        <v>502316</v>
      </c>
      <c r="T338" s="53">
        <f t="shared" si="178"/>
        <v>394743</v>
      </c>
      <c r="U338" s="54">
        <f t="shared" si="179"/>
        <v>70264254</v>
      </c>
      <c r="V338" s="2" t="s">
        <v>107</v>
      </c>
      <c r="X338" s="13"/>
      <c r="Y338" s="2" t="s">
        <v>8</v>
      </c>
      <c r="Z338" s="2">
        <v>2025</v>
      </c>
      <c r="AA338" s="1">
        <f t="shared" si="180"/>
        <v>63327</v>
      </c>
      <c r="AB338" s="11">
        <f t="shared" si="181"/>
        <v>11272206</v>
      </c>
      <c r="AC338" s="1">
        <f t="shared" si="182"/>
        <v>316450</v>
      </c>
      <c r="AD338" s="11">
        <f t="shared" si="182"/>
        <v>56328100</v>
      </c>
      <c r="AE338" s="8">
        <f t="shared" si="182"/>
        <v>7678</v>
      </c>
      <c r="AF338" s="11">
        <f t="shared" si="182"/>
        <v>1366684</v>
      </c>
      <c r="AG338" s="8">
        <f t="shared" si="182"/>
        <v>4465</v>
      </c>
      <c r="AH338" s="11">
        <f t="shared" si="182"/>
        <v>794770</v>
      </c>
      <c r="AI338" s="8">
        <f t="shared" si="182"/>
        <v>1</v>
      </c>
      <c r="AJ338" s="11">
        <f t="shared" si="182"/>
        <v>178</v>
      </c>
      <c r="AK338" s="11">
        <f t="shared" si="182"/>
        <v>2822</v>
      </c>
      <c r="AL338" s="11">
        <f t="shared" si="182"/>
        <v>502316</v>
      </c>
      <c r="AM338" s="8">
        <f t="shared" si="186"/>
        <v>394743</v>
      </c>
      <c r="AN338" s="11">
        <f t="shared" si="183"/>
        <v>70264254</v>
      </c>
      <c r="AO338" s="2" t="str">
        <f t="shared" si="184"/>
        <v>VET</v>
      </c>
      <c r="AP338" s="37">
        <f t="shared" si="185"/>
        <v>0</v>
      </c>
      <c r="AQ338" s="37">
        <f t="shared" si="185"/>
        <v>0</v>
      </c>
    </row>
    <row r="339" spans="1:43" x14ac:dyDescent="0.25">
      <c r="B339" s="2" t="s">
        <v>9</v>
      </c>
      <c r="C339" s="2">
        <v>2025</v>
      </c>
      <c r="D339" s="1">
        <v>41580</v>
      </c>
      <c r="E339" s="11">
        <v>7401240</v>
      </c>
      <c r="F339" s="1">
        <v>13068</v>
      </c>
      <c r="G339" s="11">
        <v>2326104</v>
      </c>
      <c r="H339" s="1">
        <v>1358</v>
      </c>
      <c r="I339" s="11">
        <v>241346</v>
      </c>
      <c r="J339" s="1">
        <v>290512</v>
      </c>
      <c r="K339" s="11">
        <v>51711136</v>
      </c>
      <c r="L339" s="1">
        <v>7388</v>
      </c>
      <c r="M339" s="11">
        <v>1315064</v>
      </c>
      <c r="N339" s="8">
        <v>4321</v>
      </c>
      <c r="O339" s="11">
        <v>769138</v>
      </c>
      <c r="P339" s="8">
        <v>0</v>
      </c>
      <c r="Q339" s="11">
        <v>0</v>
      </c>
      <c r="R339" s="8">
        <v>2728</v>
      </c>
      <c r="S339" s="11">
        <v>485584</v>
      </c>
      <c r="T339" s="53">
        <f t="shared" si="178"/>
        <v>360955</v>
      </c>
      <c r="U339" s="54">
        <f t="shared" si="179"/>
        <v>64249612</v>
      </c>
      <c r="V339" s="2" t="s">
        <v>107</v>
      </c>
      <c r="X339" s="13"/>
      <c r="Y339" s="2" t="s">
        <v>9</v>
      </c>
      <c r="Z339" s="2">
        <v>2025</v>
      </c>
      <c r="AA339" s="1">
        <f t="shared" si="180"/>
        <v>56006</v>
      </c>
      <c r="AB339" s="11">
        <f t="shared" si="181"/>
        <v>9968690</v>
      </c>
      <c r="AC339" s="1">
        <f t="shared" si="182"/>
        <v>290512</v>
      </c>
      <c r="AD339" s="11">
        <f t="shared" si="182"/>
        <v>51711136</v>
      </c>
      <c r="AE339" s="8">
        <f t="shared" si="182"/>
        <v>7388</v>
      </c>
      <c r="AF339" s="11">
        <f t="shared" si="182"/>
        <v>1315064</v>
      </c>
      <c r="AG339" s="8">
        <f t="shared" si="182"/>
        <v>4321</v>
      </c>
      <c r="AH339" s="11">
        <f t="shared" si="182"/>
        <v>769138</v>
      </c>
      <c r="AI339" s="8">
        <f t="shared" si="182"/>
        <v>0</v>
      </c>
      <c r="AJ339" s="11">
        <f t="shared" si="182"/>
        <v>0</v>
      </c>
      <c r="AK339" s="11">
        <f t="shared" si="182"/>
        <v>2728</v>
      </c>
      <c r="AL339" s="11">
        <f t="shared" si="182"/>
        <v>485584</v>
      </c>
      <c r="AM339" s="8">
        <f t="shared" si="186"/>
        <v>360955</v>
      </c>
      <c r="AN339" s="11">
        <f t="shared" si="183"/>
        <v>64249612</v>
      </c>
      <c r="AO339" s="2" t="str">
        <f t="shared" si="184"/>
        <v>VET</v>
      </c>
      <c r="AP339" s="37">
        <f t="shared" si="185"/>
        <v>0</v>
      </c>
      <c r="AQ339" s="37">
        <f t="shared" si="185"/>
        <v>0</v>
      </c>
    </row>
    <row r="340" spans="1:43" x14ac:dyDescent="0.25">
      <c r="B340" s="2" t="s">
        <v>10</v>
      </c>
      <c r="C340" s="2">
        <v>2025</v>
      </c>
      <c r="D340" s="1">
        <v>34905</v>
      </c>
      <c r="E340" s="11">
        <v>6213090</v>
      </c>
      <c r="F340" s="1">
        <v>11118</v>
      </c>
      <c r="G340" s="11">
        <v>1979004</v>
      </c>
      <c r="H340" s="1">
        <v>1098</v>
      </c>
      <c r="I340" s="11">
        <v>195402</v>
      </c>
      <c r="J340" s="1">
        <v>261390</v>
      </c>
      <c r="K340" s="11">
        <v>46527420</v>
      </c>
      <c r="L340" s="1">
        <v>6758</v>
      </c>
      <c r="M340" s="11">
        <v>1202924</v>
      </c>
      <c r="N340" s="1">
        <v>4132</v>
      </c>
      <c r="O340" s="11">
        <v>735496</v>
      </c>
      <c r="P340" s="8">
        <v>1</v>
      </c>
      <c r="Q340" s="11">
        <v>178</v>
      </c>
      <c r="R340" s="8">
        <v>2190</v>
      </c>
      <c r="S340" s="11">
        <v>389820</v>
      </c>
      <c r="T340" s="53">
        <f t="shared" si="178"/>
        <v>321592</v>
      </c>
      <c r="U340" s="54">
        <f t="shared" si="179"/>
        <v>57243334</v>
      </c>
      <c r="V340" s="2" t="s">
        <v>107</v>
      </c>
      <c r="Y340" s="2" t="s">
        <v>10</v>
      </c>
      <c r="Z340" s="2">
        <v>2025</v>
      </c>
      <c r="AA340" s="1">
        <f t="shared" si="180"/>
        <v>47121</v>
      </c>
      <c r="AB340" s="11">
        <f t="shared" si="181"/>
        <v>8387496</v>
      </c>
      <c r="AC340" s="1">
        <f t="shared" si="182"/>
        <v>261390</v>
      </c>
      <c r="AD340" s="11">
        <f t="shared" si="182"/>
        <v>46527420</v>
      </c>
      <c r="AE340" s="8">
        <f t="shared" si="182"/>
        <v>6758</v>
      </c>
      <c r="AF340" s="11">
        <f t="shared" si="182"/>
        <v>1202924</v>
      </c>
      <c r="AG340" s="8">
        <f t="shared" si="182"/>
        <v>4132</v>
      </c>
      <c r="AH340" s="11">
        <f t="shared" si="182"/>
        <v>735496</v>
      </c>
      <c r="AI340" s="8">
        <f t="shared" si="182"/>
        <v>1</v>
      </c>
      <c r="AJ340" s="11">
        <f t="shared" si="182"/>
        <v>178</v>
      </c>
      <c r="AK340" s="11">
        <f t="shared" si="182"/>
        <v>2190</v>
      </c>
      <c r="AL340" s="11">
        <f t="shared" si="182"/>
        <v>389820</v>
      </c>
      <c r="AM340" s="8">
        <f t="shared" si="186"/>
        <v>321592</v>
      </c>
      <c r="AN340" s="11">
        <f t="shared" si="183"/>
        <v>57243334</v>
      </c>
      <c r="AO340" s="2" t="str">
        <f t="shared" si="184"/>
        <v>VET</v>
      </c>
      <c r="AP340" s="37">
        <f t="shared" si="185"/>
        <v>0</v>
      </c>
      <c r="AQ340" s="37">
        <f t="shared" si="185"/>
        <v>0</v>
      </c>
    </row>
    <row r="341" spans="1:43" x14ac:dyDescent="0.25">
      <c r="B341" s="2" t="s">
        <v>11</v>
      </c>
      <c r="C341" s="2">
        <v>2025</v>
      </c>
      <c r="D341" s="1">
        <v>37878</v>
      </c>
      <c r="E341" s="11">
        <v>6742284</v>
      </c>
      <c r="F341" s="1">
        <v>12644</v>
      </c>
      <c r="G341" s="11">
        <v>2250632</v>
      </c>
      <c r="H341" s="1">
        <v>937</v>
      </c>
      <c r="I341" s="11">
        <v>166786</v>
      </c>
      <c r="J341" s="1">
        <v>286840</v>
      </c>
      <c r="K341" s="11">
        <v>51057520</v>
      </c>
      <c r="L341" s="1">
        <v>7154</v>
      </c>
      <c r="M341" s="11">
        <v>1273412</v>
      </c>
      <c r="N341" s="1">
        <v>4350</v>
      </c>
      <c r="O341" s="11">
        <v>774300</v>
      </c>
      <c r="P341" s="8">
        <v>3</v>
      </c>
      <c r="Q341" s="11">
        <v>534</v>
      </c>
      <c r="R341" s="8">
        <v>2635</v>
      </c>
      <c r="S341" s="11">
        <v>469030</v>
      </c>
      <c r="T341" s="53">
        <f t="shared" si="178"/>
        <v>352441</v>
      </c>
      <c r="U341" s="54">
        <f t="shared" si="179"/>
        <v>62734498</v>
      </c>
      <c r="V341" s="2" t="s">
        <v>107</v>
      </c>
      <c r="Y341" s="2" t="s">
        <v>11</v>
      </c>
      <c r="Z341" s="2">
        <v>2025</v>
      </c>
      <c r="AA341" s="1">
        <f t="shared" si="180"/>
        <v>51459</v>
      </c>
      <c r="AB341" s="11">
        <f t="shared" si="181"/>
        <v>9159702</v>
      </c>
      <c r="AC341" s="1">
        <f t="shared" si="182"/>
        <v>286840</v>
      </c>
      <c r="AD341" s="11">
        <f t="shared" si="182"/>
        <v>51057520</v>
      </c>
      <c r="AE341" s="8">
        <f t="shared" si="182"/>
        <v>7154</v>
      </c>
      <c r="AF341" s="11">
        <f t="shared" si="182"/>
        <v>1273412</v>
      </c>
      <c r="AG341" s="8">
        <f t="shared" si="182"/>
        <v>4350</v>
      </c>
      <c r="AH341" s="11">
        <f t="shared" si="182"/>
        <v>774300</v>
      </c>
      <c r="AI341" s="8">
        <f t="shared" si="182"/>
        <v>3</v>
      </c>
      <c r="AJ341" s="11">
        <f t="shared" si="182"/>
        <v>534</v>
      </c>
      <c r="AK341" s="11">
        <f t="shared" si="182"/>
        <v>2635</v>
      </c>
      <c r="AL341" s="11">
        <f t="shared" si="182"/>
        <v>469030</v>
      </c>
      <c r="AM341" s="8">
        <f t="shared" si="186"/>
        <v>352441</v>
      </c>
      <c r="AN341" s="11">
        <f t="shared" si="183"/>
        <v>62734498</v>
      </c>
      <c r="AO341" s="2" t="str">
        <f t="shared" si="184"/>
        <v>VET</v>
      </c>
      <c r="AP341" s="37">
        <f t="shared" si="185"/>
        <v>0</v>
      </c>
      <c r="AQ341" s="37">
        <f t="shared" si="185"/>
        <v>0</v>
      </c>
    </row>
    <row r="342" spans="1:43" x14ac:dyDescent="0.25">
      <c r="B342" s="2" t="s">
        <v>4</v>
      </c>
      <c r="C342" s="2">
        <v>2025</v>
      </c>
      <c r="D342" s="1">
        <v>42857</v>
      </c>
      <c r="E342" s="11">
        <v>7624630</v>
      </c>
      <c r="F342" s="1">
        <v>13607</v>
      </c>
      <c r="G342" s="11">
        <v>2422046</v>
      </c>
      <c r="H342" s="1">
        <v>1711</v>
      </c>
      <c r="I342" s="11">
        <v>304558</v>
      </c>
      <c r="J342" s="1">
        <v>327933</v>
      </c>
      <c r="K342" s="11">
        <v>58372074</v>
      </c>
      <c r="L342" s="1">
        <v>7840</v>
      </c>
      <c r="M342" s="11">
        <v>1395520</v>
      </c>
      <c r="N342" s="1">
        <v>5165</v>
      </c>
      <c r="O342" s="11">
        <v>919370</v>
      </c>
      <c r="P342" s="8">
        <v>1</v>
      </c>
      <c r="Q342" s="11">
        <v>178</v>
      </c>
      <c r="R342" s="8">
        <v>2925</v>
      </c>
      <c r="S342" s="11">
        <v>520650</v>
      </c>
      <c r="T342" s="53">
        <f t="shared" si="178"/>
        <v>402039</v>
      </c>
      <c r="U342" s="54">
        <f t="shared" si="179"/>
        <v>71559026</v>
      </c>
      <c r="V342" s="2" t="s">
        <v>107</v>
      </c>
      <c r="Y342" s="2" t="s">
        <v>4</v>
      </c>
      <c r="Z342" s="2">
        <v>2025</v>
      </c>
      <c r="AA342" s="1">
        <f t="shared" si="180"/>
        <v>58175</v>
      </c>
      <c r="AB342" s="11">
        <f t="shared" si="181"/>
        <v>10351234</v>
      </c>
      <c r="AC342" s="1">
        <f t="shared" si="182"/>
        <v>327933</v>
      </c>
      <c r="AD342" s="11">
        <f t="shared" si="182"/>
        <v>58372074</v>
      </c>
      <c r="AE342" s="8">
        <f t="shared" si="182"/>
        <v>7840</v>
      </c>
      <c r="AF342" s="11">
        <f t="shared" si="182"/>
        <v>1395520</v>
      </c>
      <c r="AG342" s="8">
        <f t="shared" si="182"/>
        <v>5165</v>
      </c>
      <c r="AH342" s="11">
        <f t="shared" si="182"/>
        <v>919370</v>
      </c>
      <c r="AI342" s="8">
        <f t="shared" si="182"/>
        <v>1</v>
      </c>
      <c r="AJ342" s="11">
        <f t="shared" si="182"/>
        <v>178</v>
      </c>
      <c r="AK342" s="11">
        <f t="shared" si="182"/>
        <v>2925</v>
      </c>
      <c r="AL342" s="11">
        <f t="shared" si="182"/>
        <v>520650</v>
      </c>
      <c r="AM342" s="27">
        <f t="shared" si="186"/>
        <v>402039</v>
      </c>
      <c r="AN342" s="14">
        <f t="shared" si="183"/>
        <v>71559026</v>
      </c>
      <c r="AO342" s="2" t="str">
        <f t="shared" si="184"/>
        <v>VET</v>
      </c>
      <c r="AP342" s="37">
        <f t="shared" si="185"/>
        <v>0</v>
      </c>
      <c r="AQ342" s="37">
        <f t="shared" si="185"/>
        <v>0</v>
      </c>
    </row>
    <row r="343" spans="1:43" x14ac:dyDescent="0.25">
      <c r="B343" s="2" t="s">
        <v>28</v>
      </c>
      <c r="C343" s="2">
        <v>2025</v>
      </c>
      <c r="D343" s="1">
        <v>11025</v>
      </c>
      <c r="E343" s="11">
        <v>1962450</v>
      </c>
      <c r="F343" s="1">
        <v>3748</v>
      </c>
      <c r="G343" s="11">
        <v>667144</v>
      </c>
      <c r="H343" s="1">
        <v>476</v>
      </c>
      <c r="I343" s="11">
        <v>84728</v>
      </c>
      <c r="J343" s="1">
        <v>92302</v>
      </c>
      <c r="K343" s="11">
        <v>16429756</v>
      </c>
      <c r="L343" s="1">
        <v>2566</v>
      </c>
      <c r="M343" s="11">
        <v>456748</v>
      </c>
      <c r="N343" s="1">
        <v>1744</v>
      </c>
      <c r="O343" s="11">
        <v>310432</v>
      </c>
      <c r="P343" s="8">
        <v>1</v>
      </c>
      <c r="Q343" s="11">
        <v>178</v>
      </c>
      <c r="R343" s="8">
        <v>803</v>
      </c>
      <c r="S343" s="11">
        <v>142934</v>
      </c>
      <c r="T343" s="53">
        <f t="shared" si="178"/>
        <v>112665</v>
      </c>
      <c r="U343" s="54">
        <f t="shared" si="179"/>
        <v>20054370</v>
      </c>
      <c r="V343" s="2" t="s">
        <v>107</v>
      </c>
      <c r="Y343" s="2" t="s">
        <v>28</v>
      </c>
      <c r="Z343" s="2">
        <v>2025</v>
      </c>
      <c r="AA343" s="1">
        <f t="shared" si="180"/>
        <v>15249</v>
      </c>
      <c r="AB343" s="11">
        <f t="shared" si="181"/>
        <v>2714322</v>
      </c>
      <c r="AC343" s="1">
        <f t="shared" si="182"/>
        <v>92302</v>
      </c>
      <c r="AD343" s="11">
        <f t="shared" si="182"/>
        <v>16429756</v>
      </c>
      <c r="AE343" s="8">
        <f t="shared" si="182"/>
        <v>2566</v>
      </c>
      <c r="AF343" s="11">
        <f t="shared" si="182"/>
        <v>456748</v>
      </c>
      <c r="AG343" s="8">
        <f t="shared" si="182"/>
        <v>1744</v>
      </c>
      <c r="AH343" s="11">
        <f t="shared" si="182"/>
        <v>310432</v>
      </c>
      <c r="AI343" s="8">
        <f t="shared" si="182"/>
        <v>1</v>
      </c>
      <c r="AJ343" s="11">
        <f t="shared" si="182"/>
        <v>178</v>
      </c>
      <c r="AK343" s="11">
        <f t="shared" si="182"/>
        <v>803</v>
      </c>
      <c r="AL343" s="11">
        <f t="shared" si="182"/>
        <v>142934</v>
      </c>
      <c r="AM343" s="8">
        <f t="shared" si="186"/>
        <v>112665</v>
      </c>
      <c r="AN343" s="11">
        <f t="shared" si="183"/>
        <v>20054370</v>
      </c>
      <c r="AO343" s="2" t="str">
        <f t="shared" si="184"/>
        <v>VET</v>
      </c>
      <c r="AP343" s="37">
        <f t="shared" si="185"/>
        <v>0</v>
      </c>
      <c r="AQ343" s="37">
        <f t="shared" si="185"/>
        <v>0</v>
      </c>
    </row>
    <row r="344" spans="1:43" x14ac:dyDescent="0.25">
      <c r="B344" s="2" t="s">
        <v>29</v>
      </c>
      <c r="C344" s="2">
        <v>2025</v>
      </c>
      <c r="D344" s="1"/>
      <c r="E344" s="11"/>
      <c r="F344" s="1"/>
      <c r="G344" s="11"/>
      <c r="H344" s="1"/>
      <c r="I344" s="11"/>
      <c r="J344" s="1"/>
      <c r="K344" s="11"/>
      <c r="L344" s="1"/>
      <c r="M344" s="11"/>
      <c r="N344" s="1"/>
      <c r="O344" s="11"/>
      <c r="P344" s="8"/>
      <c r="Q344" s="11"/>
      <c r="R344" s="8"/>
      <c r="S344" s="11"/>
      <c r="T344" s="53">
        <f t="shared" si="178"/>
        <v>0</v>
      </c>
      <c r="U344" s="54">
        <f t="shared" si="179"/>
        <v>0</v>
      </c>
      <c r="V344" s="2" t="s">
        <v>107</v>
      </c>
      <c r="Y344" s="2" t="s">
        <v>29</v>
      </c>
      <c r="Z344" s="2">
        <v>2025</v>
      </c>
      <c r="AA344" s="1">
        <f t="shared" si="180"/>
        <v>0</v>
      </c>
      <c r="AB344" s="11">
        <f t="shared" si="181"/>
        <v>0</v>
      </c>
      <c r="AC344" s="1">
        <f t="shared" si="182"/>
        <v>0</v>
      </c>
      <c r="AD344" s="11">
        <f t="shared" si="182"/>
        <v>0</v>
      </c>
      <c r="AE344" s="8">
        <f t="shared" si="182"/>
        <v>0</v>
      </c>
      <c r="AF344" s="11">
        <f t="shared" si="182"/>
        <v>0</v>
      </c>
      <c r="AG344" s="8">
        <f t="shared" si="182"/>
        <v>0</v>
      </c>
      <c r="AH344" s="11">
        <f t="shared" si="182"/>
        <v>0</v>
      </c>
      <c r="AI344" s="8">
        <f t="shared" si="182"/>
        <v>0</v>
      </c>
      <c r="AJ344" s="11">
        <f t="shared" si="182"/>
        <v>0</v>
      </c>
      <c r="AK344" s="11">
        <f t="shared" si="182"/>
        <v>0</v>
      </c>
      <c r="AL344" s="11">
        <f t="shared" si="182"/>
        <v>0</v>
      </c>
      <c r="AM344" s="8">
        <f t="shared" si="186"/>
        <v>0</v>
      </c>
      <c r="AN344" s="11">
        <f t="shared" si="183"/>
        <v>0</v>
      </c>
      <c r="AO344" s="2" t="str">
        <f t="shared" si="184"/>
        <v>VET</v>
      </c>
      <c r="AP344" s="37">
        <f t="shared" si="185"/>
        <v>0</v>
      </c>
      <c r="AQ344" s="37">
        <f t="shared" si="185"/>
        <v>0</v>
      </c>
    </row>
    <row r="345" spans="1:43" x14ac:dyDescent="0.25">
      <c r="B345" s="2" t="s">
        <v>30</v>
      </c>
      <c r="C345" s="2">
        <v>2025</v>
      </c>
      <c r="D345" s="1"/>
      <c r="E345" s="11"/>
      <c r="F345" s="1"/>
      <c r="G345" s="11"/>
      <c r="H345" s="1"/>
      <c r="I345" s="11"/>
      <c r="J345" s="1"/>
      <c r="K345" s="11"/>
      <c r="L345" s="1"/>
      <c r="M345" s="11"/>
      <c r="N345" s="1"/>
      <c r="O345" s="11"/>
      <c r="P345" s="8"/>
      <c r="Q345" s="11"/>
      <c r="R345" s="8"/>
      <c r="S345" s="11"/>
      <c r="T345" s="53">
        <f t="shared" si="178"/>
        <v>0</v>
      </c>
      <c r="U345" s="54">
        <f t="shared" si="179"/>
        <v>0</v>
      </c>
      <c r="V345" s="2" t="s">
        <v>107</v>
      </c>
      <c r="Y345" s="2" t="s">
        <v>30</v>
      </c>
      <c r="Z345" s="2">
        <v>2025</v>
      </c>
      <c r="AA345" s="1">
        <f t="shared" si="180"/>
        <v>0</v>
      </c>
      <c r="AB345" s="11">
        <f t="shared" si="181"/>
        <v>0</v>
      </c>
      <c r="AC345" s="1">
        <f t="shared" si="182"/>
        <v>0</v>
      </c>
      <c r="AD345" s="11">
        <f t="shared" si="182"/>
        <v>0</v>
      </c>
      <c r="AE345" s="8">
        <f t="shared" si="182"/>
        <v>0</v>
      </c>
      <c r="AF345" s="11">
        <f t="shared" si="182"/>
        <v>0</v>
      </c>
      <c r="AG345" s="8">
        <f t="shared" si="182"/>
        <v>0</v>
      </c>
      <c r="AH345" s="11">
        <f t="shared" si="182"/>
        <v>0</v>
      </c>
      <c r="AI345" s="8">
        <f t="shared" si="182"/>
        <v>0</v>
      </c>
      <c r="AJ345" s="11">
        <f t="shared" si="182"/>
        <v>0</v>
      </c>
      <c r="AK345" s="11">
        <f t="shared" si="182"/>
        <v>0</v>
      </c>
      <c r="AL345" s="11">
        <f t="shared" si="182"/>
        <v>0</v>
      </c>
      <c r="AM345" s="79">
        <f t="shared" si="186"/>
        <v>0</v>
      </c>
      <c r="AN345" s="80">
        <f t="shared" si="183"/>
        <v>0</v>
      </c>
      <c r="AO345" s="2" t="str">
        <f t="shared" si="184"/>
        <v>VET</v>
      </c>
      <c r="AP345" s="37">
        <f t="shared" si="185"/>
        <v>0</v>
      </c>
      <c r="AQ345" s="37">
        <f t="shared" si="185"/>
        <v>0</v>
      </c>
    </row>
    <row r="346" spans="1:43" x14ac:dyDescent="0.25">
      <c r="B346" s="2" t="s">
        <v>31</v>
      </c>
      <c r="C346" s="2">
        <v>2025</v>
      </c>
      <c r="D346" s="1"/>
      <c r="E346" s="11"/>
      <c r="F346" s="1"/>
      <c r="G346" s="11"/>
      <c r="H346" s="1"/>
      <c r="I346" s="11"/>
      <c r="J346" s="1"/>
      <c r="K346" s="11"/>
      <c r="L346" s="1"/>
      <c r="M346" s="11"/>
      <c r="N346" s="1"/>
      <c r="O346" s="11"/>
      <c r="P346" s="8"/>
      <c r="Q346" s="11"/>
      <c r="R346" s="8"/>
      <c r="S346" s="11"/>
      <c r="T346" s="53">
        <f t="shared" si="178"/>
        <v>0</v>
      </c>
      <c r="U346" s="54">
        <f t="shared" si="179"/>
        <v>0</v>
      </c>
      <c r="V346" s="2" t="s">
        <v>107</v>
      </c>
      <c r="W346" s="13"/>
      <c r="Y346" s="2" t="s">
        <v>31</v>
      </c>
      <c r="Z346" s="2">
        <v>2025</v>
      </c>
      <c r="AA346" s="1">
        <f t="shared" si="180"/>
        <v>0</v>
      </c>
      <c r="AB346" s="11">
        <f t="shared" si="181"/>
        <v>0</v>
      </c>
      <c r="AC346" s="1">
        <f t="shared" si="182"/>
        <v>0</v>
      </c>
      <c r="AD346" s="11">
        <f t="shared" si="182"/>
        <v>0</v>
      </c>
      <c r="AE346" s="8">
        <f t="shared" si="182"/>
        <v>0</v>
      </c>
      <c r="AF346" s="11">
        <f t="shared" si="182"/>
        <v>0</v>
      </c>
      <c r="AG346" s="8">
        <f t="shared" si="182"/>
        <v>0</v>
      </c>
      <c r="AH346" s="11">
        <f t="shared" si="182"/>
        <v>0</v>
      </c>
      <c r="AI346" s="8">
        <f t="shared" si="182"/>
        <v>0</v>
      </c>
      <c r="AJ346" s="11">
        <f t="shared" si="182"/>
        <v>0</v>
      </c>
      <c r="AK346" s="11">
        <f t="shared" si="182"/>
        <v>0</v>
      </c>
      <c r="AL346" s="11">
        <f t="shared" si="182"/>
        <v>0</v>
      </c>
      <c r="AM346" s="8">
        <f t="shared" si="186"/>
        <v>0</v>
      </c>
      <c r="AN346" s="11">
        <f t="shared" si="183"/>
        <v>0</v>
      </c>
      <c r="AO346" s="2" t="str">
        <f t="shared" si="184"/>
        <v>VET</v>
      </c>
      <c r="AP346" s="37">
        <f t="shared" si="185"/>
        <v>0</v>
      </c>
      <c r="AQ346" s="37">
        <f t="shared" si="185"/>
        <v>0</v>
      </c>
    </row>
    <row r="347" spans="1:43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x14ac:dyDescent="0.25">
      <c r="B348" s="3" t="s">
        <v>12</v>
      </c>
      <c r="C348" s="3"/>
      <c r="D348" s="4">
        <f t="shared" ref="D348:O348" si="187">SUM(D335:D347)</f>
        <v>323021</v>
      </c>
      <c r="E348" s="12">
        <f t="shared" si="187"/>
        <v>57349986</v>
      </c>
      <c r="F348" s="4">
        <f t="shared" si="187"/>
        <v>106924</v>
      </c>
      <c r="G348" s="12">
        <f t="shared" si="187"/>
        <v>18982996</v>
      </c>
      <c r="H348" s="4">
        <f t="shared" si="187"/>
        <v>10250</v>
      </c>
      <c r="I348" s="12">
        <f t="shared" si="187"/>
        <v>1819642</v>
      </c>
      <c r="J348" s="4">
        <f t="shared" si="187"/>
        <v>2415853</v>
      </c>
      <c r="K348" s="12">
        <f t="shared" si="187"/>
        <v>428803064</v>
      </c>
      <c r="L348" s="4">
        <f t="shared" si="187"/>
        <v>60337</v>
      </c>
      <c r="M348" s="12">
        <f t="shared" si="187"/>
        <v>10713050</v>
      </c>
      <c r="N348" s="4">
        <f t="shared" si="187"/>
        <v>36798</v>
      </c>
      <c r="O348" s="12">
        <f t="shared" si="187"/>
        <v>6533118</v>
      </c>
      <c r="P348" s="4">
        <f>SUM(P335:P347)</f>
        <v>10</v>
      </c>
      <c r="Q348" s="12">
        <f>SUM(Q335:Q347)</f>
        <v>1780</v>
      </c>
      <c r="R348" s="4">
        <f>SUM(R335:R347)</f>
        <v>20475</v>
      </c>
      <c r="S348" s="12">
        <f>SUM(S335:S347)</f>
        <v>3636416</v>
      </c>
      <c r="T348" s="4">
        <f t="shared" ref="T348:U348" si="188">SUM(T335:T347)</f>
        <v>2973668</v>
      </c>
      <c r="U348" s="12">
        <f t="shared" si="188"/>
        <v>527840052</v>
      </c>
      <c r="Y348" s="3" t="s">
        <v>12</v>
      </c>
      <c r="Z348" s="3"/>
      <c r="AA348" s="4">
        <f t="shared" ref="AA348:AN348" si="189">SUM(AA335:AA347)</f>
        <v>440195</v>
      </c>
      <c r="AB348" s="12">
        <f t="shared" si="189"/>
        <v>78152624</v>
      </c>
      <c r="AC348" s="4">
        <f t="shared" si="189"/>
        <v>2415853</v>
      </c>
      <c r="AD348" s="12">
        <f t="shared" si="189"/>
        <v>428803064</v>
      </c>
      <c r="AE348" s="4">
        <f t="shared" si="189"/>
        <v>60337</v>
      </c>
      <c r="AF348" s="12">
        <f t="shared" si="189"/>
        <v>10713050</v>
      </c>
      <c r="AG348" s="4">
        <f t="shared" si="189"/>
        <v>36798</v>
      </c>
      <c r="AH348" s="12">
        <f t="shared" si="189"/>
        <v>6533118</v>
      </c>
      <c r="AI348" s="4">
        <f t="shared" si="189"/>
        <v>10</v>
      </c>
      <c r="AJ348" s="12">
        <f t="shared" si="189"/>
        <v>1780</v>
      </c>
      <c r="AK348" s="4">
        <f t="shared" si="189"/>
        <v>20475</v>
      </c>
      <c r="AL348" s="12">
        <f t="shared" si="189"/>
        <v>3636416</v>
      </c>
      <c r="AM348" s="4">
        <f t="shared" si="189"/>
        <v>2973668</v>
      </c>
      <c r="AN348" s="12">
        <f t="shared" si="189"/>
        <v>527840052</v>
      </c>
    </row>
    <row r="349" spans="1:43" x14ac:dyDescent="0.25">
      <c r="J349" s="46" t="str">
        <f>+$A$309</f>
        <v>Aforo e Ingreso - COTESA</v>
      </c>
      <c r="K349" s="9" t="s">
        <v>84</v>
      </c>
      <c r="L349" s="15">
        <f>AVERAGE(L335:L336)</f>
        <v>6692</v>
      </c>
      <c r="M349" s="60">
        <f>AVERAGE(M335:M336)</f>
        <v>1177708</v>
      </c>
      <c r="T349" s="15">
        <f>AVERAGE(T335:T336)</f>
        <v>328662</v>
      </c>
      <c r="U349" s="28">
        <f>AVERAGE(U335:U336)</f>
        <v>57767578</v>
      </c>
      <c r="V349" s="29"/>
    </row>
    <row r="350" spans="1:43" x14ac:dyDescent="0.25">
      <c r="J350" s="46" t="str">
        <f>+$A$309</f>
        <v>Aforo e Ingreso - COTESA</v>
      </c>
      <c r="K350" s="9" t="s">
        <v>85</v>
      </c>
      <c r="L350" s="26">
        <f>+L349/$L$371</f>
        <v>4.4877813246063471E-2</v>
      </c>
      <c r="M350" s="36">
        <f>+M349/$M$371</f>
        <v>4.5318809664077274E-2</v>
      </c>
      <c r="T350" s="15"/>
      <c r="U350" s="28"/>
      <c r="V350" s="29"/>
    </row>
    <row r="351" spans="1:43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1.063397453264698E-2</v>
      </c>
      <c r="U351" s="62">
        <f>+M328/U328</f>
        <v>1.9392906806308959E-2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0"/>
      <c r="F354" s="89" t="s">
        <v>71</v>
      </c>
      <c r="G354" s="90"/>
      <c r="H354" s="89" t="s">
        <v>16</v>
      </c>
      <c r="I354" s="90"/>
      <c r="J354" s="89" t="s">
        <v>17</v>
      </c>
      <c r="K354" s="93"/>
      <c r="L354" s="89" t="s">
        <v>18</v>
      </c>
      <c r="M354" s="93"/>
      <c r="N354" s="89" t="s">
        <v>13</v>
      </c>
      <c r="O354" s="93"/>
      <c r="P354" s="89" t="s">
        <v>34</v>
      </c>
      <c r="Q354" s="93"/>
      <c r="R354" s="89" t="s">
        <v>87</v>
      </c>
      <c r="S354" s="93"/>
      <c r="T354" s="89" t="s">
        <v>44</v>
      </c>
      <c r="U354" s="93"/>
      <c r="AA354" s="89" t="s">
        <v>69</v>
      </c>
      <c r="AB354" s="90"/>
      <c r="AC354" s="89" t="s">
        <v>17</v>
      </c>
      <c r="AD354" s="93"/>
      <c r="AE354" s="89" t="s">
        <v>18</v>
      </c>
      <c r="AF354" s="93"/>
      <c r="AG354" s="89" t="s">
        <v>13</v>
      </c>
      <c r="AH354" s="93"/>
      <c r="AI354" s="89" t="s">
        <v>34</v>
      </c>
      <c r="AJ354" s="93"/>
      <c r="AK354" s="89" t="s">
        <v>87</v>
      </c>
      <c r="AL354" s="93"/>
      <c r="AM354" s="89" t="s">
        <v>12</v>
      </c>
      <c r="AN354" s="93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1" t="s">
        <v>100</v>
      </c>
      <c r="AT355" s="92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2025</v>
      </c>
      <c r="D357" s="1">
        <f>+D125+D71+D50+D29+D8+D146+D167+D188+D209+D230+D251+D272+D293+D314+D335+D93</f>
        <v>1946621</v>
      </c>
      <c r="E357" s="1">
        <f t="shared" ref="E357:S357" si="190">+E125+E71+E50+E29+E8+E146+E167+E188+E209+E230+E251+E272+E293+E314+E335+E93</f>
        <v>131982229.75999999</v>
      </c>
      <c r="F357" s="1">
        <f t="shared" si="190"/>
        <v>1186430</v>
      </c>
      <c r="G357" s="1">
        <f t="shared" si="190"/>
        <v>82207197.920000002</v>
      </c>
      <c r="H357" s="1">
        <f t="shared" si="190"/>
        <v>289200</v>
      </c>
      <c r="I357" s="1">
        <f t="shared" si="190"/>
        <v>42435192.019999996</v>
      </c>
      <c r="J357" s="1">
        <f t="shared" si="190"/>
        <v>11105257</v>
      </c>
      <c r="K357" s="1">
        <f t="shared" si="190"/>
        <v>1124563017.3299994</v>
      </c>
      <c r="L357" s="1">
        <f t="shared" si="190"/>
        <v>155559</v>
      </c>
      <c r="M357" s="1">
        <f t="shared" si="190"/>
        <v>27275960.990000002</v>
      </c>
      <c r="N357" s="1">
        <f t="shared" si="190"/>
        <v>348472</v>
      </c>
      <c r="O357" s="1">
        <f t="shared" si="190"/>
        <v>58412124.780000001</v>
      </c>
      <c r="P357" s="1">
        <f t="shared" si="190"/>
        <v>737</v>
      </c>
      <c r="Q357" s="1">
        <f t="shared" si="190"/>
        <v>205742.61</v>
      </c>
      <c r="R357" s="1">
        <f t="shared" si="190"/>
        <v>74349</v>
      </c>
      <c r="S357" s="1">
        <f t="shared" si="190"/>
        <v>5352339.9000000004</v>
      </c>
      <c r="T357" s="53">
        <f t="shared" ref="T357:T368" si="191">N357+L357+J357+H357+D357+P357+F357+R357</f>
        <v>15106625</v>
      </c>
      <c r="U357" s="54">
        <f t="shared" ref="U357:U368" si="192">O357+M357+K357+I357+E357+Q357+G357+S357</f>
        <v>1472433805.3099995</v>
      </c>
      <c r="V357" s="2" t="s">
        <v>80</v>
      </c>
      <c r="Y357" s="2" t="s">
        <v>5</v>
      </c>
      <c r="Z357" s="2">
        <v>2025</v>
      </c>
      <c r="AA357" s="1">
        <f t="shared" ref="AA357:AA368" si="193">D357+H357+F357</f>
        <v>3422251</v>
      </c>
      <c r="AB357" s="11">
        <f t="shared" ref="AB357:AB368" si="194">E357+I357+G357</f>
        <v>256624619.69999999</v>
      </c>
      <c r="AC357" s="1">
        <f t="shared" ref="AC357:AL368" si="195">+J357</f>
        <v>11105257</v>
      </c>
      <c r="AD357" s="11">
        <f t="shared" si="195"/>
        <v>1124563017.3299994</v>
      </c>
      <c r="AE357" s="8">
        <f t="shared" si="195"/>
        <v>155559</v>
      </c>
      <c r="AF357" s="11">
        <f t="shared" si="195"/>
        <v>27275960.990000002</v>
      </c>
      <c r="AG357" s="8">
        <f t="shared" si="195"/>
        <v>348472</v>
      </c>
      <c r="AH357" s="11">
        <f t="shared" si="195"/>
        <v>58412124.780000001</v>
      </c>
      <c r="AI357" s="8">
        <f t="shared" si="195"/>
        <v>737</v>
      </c>
      <c r="AJ357" s="11">
        <f t="shared" si="195"/>
        <v>205742.61</v>
      </c>
      <c r="AK357" s="11">
        <f t="shared" si="195"/>
        <v>74349</v>
      </c>
      <c r="AL357" s="11">
        <f t="shared" si="195"/>
        <v>5352339.9000000004</v>
      </c>
      <c r="AM357" s="8">
        <f>AI357+AG357+AE357+AC357+AA357+AK357</f>
        <v>15106625</v>
      </c>
      <c r="AN357" s="11">
        <f t="shared" ref="AN357:AN368" si="196">AJ357+AH357+AF357+AD357+AB357+AL357</f>
        <v>1472433805.3099997</v>
      </c>
      <c r="AO357" s="2" t="s">
        <v>70</v>
      </c>
      <c r="AP357" s="37">
        <f t="shared" ref="AP357:AQ368" si="197">+AM357-T357</f>
        <v>0</v>
      </c>
      <c r="AQ357" s="37">
        <f t="shared" si="197"/>
        <v>0</v>
      </c>
      <c r="AR357" s="13"/>
      <c r="AS357" s="15">
        <f>+AM357-AA357</f>
        <v>11684374</v>
      </c>
      <c r="AT357" s="9">
        <f>+AN357-AB357</f>
        <v>1215809185.6099997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2025</v>
      </c>
      <c r="D358" s="1">
        <f>+D126+D72+D51+D30+D9+D147+D168+D189+D210+D231+D252+D273+D294+D315+D336+D95</f>
        <v>1818610</v>
      </c>
      <c r="E358" s="1">
        <f t="shared" ref="E358:S358" si="198">+E126+E72+E51+E30+E9+E147+E168+E189+E210+E231+E252+E273+E294+E315+E336+E95</f>
        <v>127172838.28</v>
      </c>
      <c r="F358" s="1">
        <f t="shared" si="198"/>
        <v>1134989</v>
      </c>
      <c r="G358" s="1">
        <f t="shared" si="198"/>
        <v>79298370.519999996</v>
      </c>
      <c r="H358" s="1">
        <f t="shared" si="198"/>
        <v>311802</v>
      </c>
      <c r="I358" s="1">
        <f t="shared" si="198"/>
        <v>41772301.590000004</v>
      </c>
      <c r="J358" s="1">
        <f t="shared" si="198"/>
        <v>10382936</v>
      </c>
      <c r="K358" s="1">
        <f t="shared" si="198"/>
        <v>1037776959.4699978</v>
      </c>
      <c r="L358" s="1">
        <f t="shared" si="198"/>
        <v>142673</v>
      </c>
      <c r="M358" s="1">
        <f t="shared" si="198"/>
        <v>24698396.18</v>
      </c>
      <c r="N358" s="1">
        <f t="shared" si="198"/>
        <v>314692</v>
      </c>
      <c r="O358" s="1">
        <f t="shared" si="198"/>
        <v>52237821.980000004</v>
      </c>
      <c r="P358" s="1">
        <f t="shared" si="198"/>
        <v>806</v>
      </c>
      <c r="Q358" s="1">
        <f t="shared" si="198"/>
        <v>233117.77000000002</v>
      </c>
      <c r="R358" s="1">
        <f t="shared" si="198"/>
        <v>75860</v>
      </c>
      <c r="S358" s="1">
        <f t="shared" si="198"/>
        <v>5609363.4900000002</v>
      </c>
      <c r="T358" s="53">
        <f t="shared" si="191"/>
        <v>14182368</v>
      </c>
      <c r="U358" s="54">
        <f t="shared" si="192"/>
        <v>1368799169.2799976</v>
      </c>
      <c r="V358" s="2" t="s">
        <v>80</v>
      </c>
      <c r="Y358" s="2" t="s">
        <v>6</v>
      </c>
      <c r="Z358" s="2">
        <v>2025</v>
      </c>
      <c r="AA358" s="1">
        <f t="shared" si="193"/>
        <v>3265401</v>
      </c>
      <c r="AB358" s="11">
        <f t="shared" si="194"/>
        <v>248243510.38999999</v>
      </c>
      <c r="AC358" s="1">
        <f t="shared" si="195"/>
        <v>10382936</v>
      </c>
      <c r="AD358" s="11">
        <f t="shared" si="195"/>
        <v>1037776959.4699978</v>
      </c>
      <c r="AE358" s="8">
        <f t="shared" si="195"/>
        <v>142673</v>
      </c>
      <c r="AF358" s="11">
        <f t="shared" si="195"/>
        <v>24698396.18</v>
      </c>
      <c r="AG358" s="8">
        <f t="shared" si="195"/>
        <v>314692</v>
      </c>
      <c r="AH358" s="11">
        <f t="shared" si="195"/>
        <v>52237821.980000004</v>
      </c>
      <c r="AI358" s="8">
        <f t="shared" si="195"/>
        <v>806</v>
      </c>
      <c r="AJ358" s="11">
        <f t="shared" si="195"/>
        <v>233117.77000000002</v>
      </c>
      <c r="AK358" s="11">
        <f t="shared" si="195"/>
        <v>75860</v>
      </c>
      <c r="AL358" s="11">
        <f t="shared" si="195"/>
        <v>5609363.4900000002</v>
      </c>
      <c r="AM358" s="8">
        <f t="shared" ref="AM358:AM368" si="199">AI358+AG358+AE358+AC358+AA358+AK358</f>
        <v>14182368</v>
      </c>
      <c r="AN358" s="11">
        <f t="shared" si="196"/>
        <v>1368799169.2799976</v>
      </c>
      <c r="AO358" s="2" t="s">
        <v>70</v>
      </c>
      <c r="AP358" s="37">
        <f t="shared" si="197"/>
        <v>0</v>
      </c>
      <c r="AQ358" s="37">
        <f t="shared" si="197"/>
        <v>0</v>
      </c>
      <c r="AR358" s="13"/>
      <c r="AS358" s="15">
        <f t="shared" ref="AS358:AT359" si="200">+AM358-AA358</f>
        <v>10916967</v>
      </c>
      <c r="AT358" s="9">
        <f t="shared" si="200"/>
        <v>1120555658.8899975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2025</v>
      </c>
      <c r="D359" s="1">
        <f>+D127+D73+D52+D31+D10+D148+D169+D190+D211+D232+D253+D274+D295+D316+D337+D97</f>
        <v>2059565</v>
      </c>
      <c r="E359" s="1">
        <f t="shared" ref="E359:S359" si="201">+E127+E73+E52+E31+E10+E148+E169+E190+E211+E232+E253+E274+E295+E316+E337+E97</f>
        <v>145536367.22</v>
      </c>
      <c r="F359" s="1">
        <f t="shared" si="201"/>
        <v>1274635</v>
      </c>
      <c r="G359" s="1">
        <f t="shared" si="201"/>
        <v>89584728.25999999</v>
      </c>
      <c r="H359" s="1">
        <f t="shared" si="201"/>
        <v>313215</v>
      </c>
      <c r="I359" s="1">
        <f t="shared" si="201"/>
        <v>44999005.769999996</v>
      </c>
      <c r="J359" s="1">
        <f t="shared" si="201"/>
        <v>11500388</v>
      </c>
      <c r="K359" s="1">
        <f t="shared" si="201"/>
        <v>1161144604.3600001</v>
      </c>
      <c r="L359" s="1">
        <f t="shared" si="201"/>
        <v>158540</v>
      </c>
      <c r="M359" s="1">
        <f t="shared" si="201"/>
        <v>27925475.600000001</v>
      </c>
      <c r="N359" s="1">
        <f t="shared" si="201"/>
        <v>345056</v>
      </c>
      <c r="O359" s="1">
        <f t="shared" si="201"/>
        <v>56632988.869999997</v>
      </c>
      <c r="P359" s="1">
        <f t="shared" si="201"/>
        <v>959</v>
      </c>
      <c r="Q359" s="1">
        <f t="shared" si="201"/>
        <v>250366.19999999998</v>
      </c>
      <c r="R359" s="1">
        <f t="shared" si="201"/>
        <v>89753</v>
      </c>
      <c r="S359" s="1">
        <f t="shared" si="201"/>
        <v>6812779.6099999994</v>
      </c>
      <c r="T359" s="53">
        <f t="shared" si="191"/>
        <v>15742111</v>
      </c>
      <c r="U359" s="54">
        <f t="shared" si="192"/>
        <v>1532886315.8900001</v>
      </c>
      <c r="V359" s="2" t="s">
        <v>80</v>
      </c>
      <c r="Y359" s="2" t="s">
        <v>7</v>
      </c>
      <c r="Z359" s="2">
        <v>2025</v>
      </c>
      <c r="AA359" s="1">
        <f t="shared" si="193"/>
        <v>3647415</v>
      </c>
      <c r="AB359" s="11">
        <f t="shared" si="194"/>
        <v>280120101.25</v>
      </c>
      <c r="AC359" s="1">
        <f t="shared" si="195"/>
        <v>11500388</v>
      </c>
      <c r="AD359" s="11">
        <f t="shared" si="195"/>
        <v>1161144604.3600001</v>
      </c>
      <c r="AE359" s="8">
        <f t="shared" si="195"/>
        <v>158540</v>
      </c>
      <c r="AF359" s="11">
        <f t="shared" si="195"/>
        <v>27925475.600000001</v>
      </c>
      <c r="AG359" s="8">
        <f t="shared" si="195"/>
        <v>345056</v>
      </c>
      <c r="AH359" s="11">
        <f t="shared" si="195"/>
        <v>56632988.869999997</v>
      </c>
      <c r="AI359" s="8">
        <f t="shared" si="195"/>
        <v>959</v>
      </c>
      <c r="AJ359" s="11">
        <f t="shared" si="195"/>
        <v>250366.19999999998</v>
      </c>
      <c r="AK359" s="11">
        <f t="shared" si="195"/>
        <v>89753</v>
      </c>
      <c r="AL359" s="11">
        <f t="shared" si="195"/>
        <v>6812779.6099999994</v>
      </c>
      <c r="AM359" s="8">
        <f t="shared" si="199"/>
        <v>15742111</v>
      </c>
      <c r="AN359" s="11">
        <f t="shared" si="196"/>
        <v>1532886315.8900001</v>
      </c>
      <c r="AO359" s="2" t="s">
        <v>70</v>
      </c>
      <c r="AP359" s="37">
        <f t="shared" si="197"/>
        <v>0</v>
      </c>
      <c r="AQ359" s="37">
        <f t="shared" si="197"/>
        <v>0</v>
      </c>
      <c r="AR359" s="13"/>
      <c r="AS359" s="15">
        <f t="shared" si="200"/>
        <v>12094696</v>
      </c>
      <c r="AT359" s="9">
        <f t="shared" si="200"/>
        <v>1252766214.6400001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2025</v>
      </c>
      <c r="D360" s="1">
        <f>+D128+D74+D53+D32+D11+D149+D170+D191+D212+D233+D254+D275+D296+D317+D338+D99</f>
        <v>1969050</v>
      </c>
      <c r="E360" s="1">
        <f t="shared" ref="E360:S360" si="202">+E128+E74+E53+E32+E11+E149+E170+E191+E212+E233+E254+E275+E296+E317+E338+E99</f>
        <v>141508214.34</v>
      </c>
      <c r="F360" s="1">
        <f t="shared" si="202"/>
        <v>1182506</v>
      </c>
      <c r="G360" s="1">
        <f t="shared" si="202"/>
        <v>83761445.799999997</v>
      </c>
      <c r="H360" s="1">
        <f t="shared" si="202"/>
        <v>319252</v>
      </c>
      <c r="I360" s="1">
        <f t="shared" si="202"/>
        <v>45380600.119999997</v>
      </c>
      <c r="J360" s="1">
        <f t="shared" si="202"/>
        <v>10732732</v>
      </c>
      <c r="K360" s="1">
        <f t="shared" si="202"/>
        <v>1097074925.52</v>
      </c>
      <c r="L360" s="1">
        <f t="shared" si="202"/>
        <v>151089</v>
      </c>
      <c r="M360" s="1">
        <f t="shared" si="202"/>
        <v>26146818.210000001</v>
      </c>
      <c r="N360" s="1">
        <f t="shared" si="202"/>
        <v>331810</v>
      </c>
      <c r="O360" s="1">
        <f t="shared" si="202"/>
        <v>53850670.060000002</v>
      </c>
      <c r="P360" s="1">
        <f t="shared" si="202"/>
        <v>949</v>
      </c>
      <c r="Q360" s="1">
        <f t="shared" si="202"/>
        <v>279871</v>
      </c>
      <c r="R360" s="1">
        <f t="shared" si="202"/>
        <v>90154</v>
      </c>
      <c r="S360" s="1">
        <f t="shared" si="202"/>
        <v>7269189.1400000006</v>
      </c>
      <c r="T360" s="53">
        <f t="shared" si="191"/>
        <v>14777542</v>
      </c>
      <c r="U360" s="54">
        <f t="shared" si="192"/>
        <v>1455271734.1899998</v>
      </c>
      <c r="V360" s="2" t="s">
        <v>80</v>
      </c>
      <c r="Y360" s="2" t="s">
        <v>8</v>
      </c>
      <c r="Z360" s="2">
        <v>2025</v>
      </c>
      <c r="AA360" s="1">
        <f t="shared" si="193"/>
        <v>3470808</v>
      </c>
      <c r="AB360" s="11">
        <f t="shared" si="194"/>
        <v>270650260.25999999</v>
      </c>
      <c r="AC360" s="1">
        <f t="shared" si="195"/>
        <v>10732732</v>
      </c>
      <c r="AD360" s="11">
        <f t="shared" si="195"/>
        <v>1097074925.52</v>
      </c>
      <c r="AE360" s="8">
        <f t="shared" si="195"/>
        <v>151089</v>
      </c>
      <c r="AF360" s="11">
        <f t="shared" si="195"/>
        <v>26146818.210000001</v>
      </c>
      <c r="AG360" s="8">
        <f t="shared" si="195"/>
        <v>331810</v>
      </c>
      <c r="AH360" s="11">
        <f t="shared" si="195"/>
        <v>53850670.060000002</v>
      </c>
      <c r="AI360" s="8">
        <f t="shared" si="195"/>
        <v>949</v>
      </c>
      <c r="AJ360" s="11">
        <f t="shared" si="195"/>
        <v>279871</v>
      </c>
      <c r="AK360" s="11">
        <f t="shared" si="195"/>
        <v>90154</v>
      </c>
      <c r="AL360" s="11">
        <f t="shared" si="195"/>
        <v>7269189.1400000006</v>
      </c>
      <c r="AM360" s="8">
        <f t="shared" si="199"/>
        <v>14777542</v>
      </c>
      <c r="AN360" s="11">
        <f t="shared" si="196"/>
        <v>1455271734.1900001</v>
      </c>
      <c r="AO360" s="2" t="s">
        <v>70</v>
      </c>
      <c r="AP360" s="37">
        <f t="shared" si="197"/>
        <v>0</v>
      </c>
      <c r="AQ360" s="37">
        <f t="shared" si="197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2025</v>
      </c>
      <c r="D361" s="1">
        <f>+D129+D75+D54+D33+D12+D150+D171+D192+D213+D234+D255+D276+D297+D318+D339+D101</f>
        <v>2140490</v>
      </c>
      <c r="E361" s="1">
        <f t="shared" ref="E361:S361" si="203">+E129+E75+E54+E33+E12+E150+E171+E192+E213+E234+E255+E276+E297+E318+E339+E101</f>
        <v>150970913.10000002</v>
      </c>
      <c r="F361" s="1">
        <f t="shared" si="203"/>
        <v>1287892</v>
      </c>
      <c r="G361" s="1">
        <f t="shared" si="203"/>
        <v>90989879.370000005</v>
      </c>
      <c r="H361" s="1">
        <f t="shared" si="203"/>
        <v>343867</v>
      </c>
      <c r="I361" s="1">
        <f t="shared" si="203"/>
        <v>48068195.359999999</v>
      </c>
      <c r="J361" s="1">
        <f t="shared" si="203"/>
        <v>11701971</v>
      </c>
      <c r="K361" s="1">
        <f t="shared" si="203"/>
        <v>1175682437.1599998</v>
      </c>
      <c r="L361" s="1">
        <f t="shared" si="203"/>
        <v>160694</v>
      </c>
      <c r="M361" s="1">
        <f t="shared" si="203"/>
        <v>27433743.399999999</v>
      </c>
      <c r="N361" s="1">
        <f t="shared" si="203"/>
        <v>355752</v>
      </c>
      <c r="O361" s="1">
        <f t="shared" si="203"/>
        <v>58173787.25</v>
      </c>
      <c r="P361" s="1">
        <f t="shared" si="203"/>
        <v>1197</v>
      </c>
      <c r="Q361" s="1">
        <f t="shared" si="203"/>
        <v>329895.75</v>
      </c>
      <c r="R361" s="1">
        <f t="shared" si="203"/>
        <v>104190</v>
      </c>
      <c r="S361" s="1">
        <f t="shared" si="203"/>
        <v>8309407.1799999997</v>
      </c>
      <c r="T361" s="53">
        <f t="shared" si="191"/>
        <v>16096053</v>
      </c>
      <c r="U361" s="54">
        <f t="shared" si="192"/>
        <v>1559958258.5699999</v>
      </c>
      <c r="V361" s="2" t="s">
        <v>80</v>
      </c>
      <c r="Y361" s="2" t="s">
        <v>9</v>
      </c>
      <c r="Z361" s="2">
        <v>2025</v>
      </c>
      <c r="AA361" s="1">
        <f t="shared" si="193"/>
        <v>3772249</v>
      </c>
      <c r="AB361" s="11">
        <f t="shared" si="194"/>
        <v>290028987.83000004</v>
      </c>
      <c r="AC361" s="1">
        <f t="shared" si="195"/>
        <v>11701971</v>
      </c>
      <c r="AD361" s="11">
        <f t="shared" si="195"/>
        <v>1175682437.1599998</v>
      </c>
      <c r="AE361" s="8">
        <f t="shared" si="195"/>
        <v>160694</v>
      </c>
      <c r="AF361" s="11">
        <f t="shared" si="195"/>
        <v>27433743.399999999</v>
      </c>
      <c r="AG361" s="8">
        <f t="shared" si="195"/>
        <v>355752</v>
      </c>
      <c r="AH361" s="11">
        <f t="shared" si="195"/>
        <v>58173787.25</v>
      </c>
      <c r="AI361" s="8">
        <f t="shared" si="195"/>
        <v>1197</v>
      </c>
      <c r="AJ361" s="11">
        <f t="shared" si="195"/>
        <v>329895.75</v>
      </c>
      <c r="AK361" s="11">
        <f t="shared" si="195"/>
        <v>104190</v>
      </c>
      <c r="AL361" s="11">
        <f t="shared" si="195"/>
        <v>8309407.1799999997</v>
      </c>
      <c r="AM361" s="8">
        <f t="shared" si="199"/>
        <v>16096053</v>
      </c>
      <c r="AN361" s="11">
        <f t="shared" si="196"/>
        <v>1559958258.5699999</v>
      </c>
      <c r="AO361" s="2" t="s">
        <v>70</v>
      </c>
      <c r="AP361" s="37">
        <f t="shared" si="197"/>
        <v>0</v>
      </c>
      <c r="AQ361" s="37">
        <f t="shared" si="197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2025</v>
      </c>
      <c r="D362" s="1">
        <f>+D130+D76+D55+D34+D13+D151+D172+D193+D214+D235+D256+D277+D298+D319+D340+D103</f>
        <v>2073909</v>
      </c>
      <c r="E362" s="1">
        <f t="shared" ref="E362:S362" si="204">+E130+E76+E55+E34+E13+E151+E172+E193+E214+E235+E256+E277+E298+E319+E340+E103</f>
        <v>145372989.87</v>
      </c>
      <c r="F362" s="1">
        <f t="shared" si="204"/>
        <v>1237235</v>
      </c>
      <c r="G362" s="1">
        <f t="shared" si="204"/>
        <v>87035820.140000001</v>
      </c>
      <c r="H362" s="1">
        <f t="shared" si="204"/>
        <v>331401</v>
      </c>
      <c r="I362" s="1">
        <f t="shared" si="204"/>
        <v>45610116.219999999</v>
      </c>
      <c r="J362" s="1">
        <f t="shared" si="204"/>
        <v>11233846</v>
      </c>
      <c r="K362" s="1">
        <f t="shared" si="204"/>
        <v>1122289736.8900001</v>
      </c>
      <c r="L362" s="1">
        <f t="shared" si="204"/>
        <v>155819</v>
      </c>
      <c r="M362" s="1">
        <f t="shared" si="204"/>
        <v>26909517.939999998</v>
      </c>
      <c r="N362" s="1">
        <f t="shared" si="204"/>
        <v>343023</v>
      </c>
      <c r="O362" s="1">
        <f t="shared" si="204"/>
        <v>56374073.869999997</v>
      </c>
      <c r="P362" s="1">
        <f t="shared" si="204"/>
        <v>1328</v>
      </c>
      <c r="Q362" s="1">
        <f t="shared" si="204"/>
        <v>355461.54000000004</v>
      </c>
      <c r="R362" s="1">
        <f t="shared" si="204"/>
        <v>98682</v>
      </c>
      <c r="S362" s="1">
        <f t="shared" si="204"/>
        <v>7799158.3899999997</v>
      </c>
      <c r="T362" s="53">
        <f t="shared" si="191"/>
        <v>15475243</v>
      </c>
      <c r="U362" s="54">
        <f t="shared" si="192"/>
        <v>1491746874.8600001</v>
      </c>
      <c r="V362" s="2" t="s">
        <v>80</v>
      </c>
      <c r="Y362" s="2" t="s">
        <v>10</v>
      </c>
      <c r="Z362" s="2">
        <v>2025</v>
      </c>
      <c r="AA362" s="1">
        <f t="shared" si="193"/>
        <v>3642545</v>
      </c>
      <c r="AB362" s="11">
        <f t="shared" si="194"/>
        <v>278018926.23000002</v>
      </c>
      <c r="AC362" s="1">
        <f t="shared" si="195"/>
        <v>11233846</v>
      </c>
      <c r="AD362" s="11">
        <f t="shared" si="195"/>
        <v>1122289736.8900001</v>
      </c>
      <c r="AE362" s="8">
        <f t="shared" si="195"/>
        <v>155819</v>
      </c>
      <c r="AF362" s="11">
        <f t="shared" si="195"/>
        <v>26909517.939999998</v>
      </c>
      <c r="AG362" s="8">
        <f t="shared" si="195"/>
        <v>343023</v>
      </c>
      <c r="AH362" s="11">
        <f t="shared" si="195"/>
        <v>56374073.869999997</v>
      </c>
      <c r="AI362" s="8">
        <f t="shared" si="195"/>
        <v>1328</v>
      </c>
      <c r="AJ362" s="11">
        <f t="shared" si="195"/>
        <v>355461.54000000004</v>
      </c>
      <c r="AK362" s="11">
        <f t="shared" si="195"/>
        <v>98682</v>
      </c>
      <c r="AL362" s="11">
        <f t="shared" si="195"/>
        <v>7799158.3899999997</v>
      </c>
      <c r="AM362" s="8">
        <f t="shared" si="199"/>
        <v>15475243</v>
      </c>
      <c r="AN362" s="11">
        <f t="shared" si="196"/>
        <v>1491746874.8600001</v>
      </c>
      <c r="AO362" s="2" t="s">
        <v>70</v>
      </c>
      <c r="AP362" s="37">
        <f t="shared" si="197"/>
        <v>0</v>
      </c>
      <c r="AQ362" s="37">
        <f t="shared" si="197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2025</v>
      </c>
      <c r="D363" s="1">
        <f>+D131+D77+D56+D35+D14+D152+D173+D194+D215+D236+D257+D278+D299+D320+D341+D105</f>
        <v>2131590</v>
      </c>
      <c r="E363" s="1">
        <f t="shared" ref="E363:S363" si="205">+E131+E77+E56+E35+E14+E152+E173+E194+E215+E236+E257+E278+E299+E320+E341+E105</f>
        <v>153191182.21000001</v>
      </c>
      <c r="F363" s="1">
        <f t="shared" si="205"/>
        <v>1262068</v>
      </c>
      <c r="G363" s="1">
        <f t="shared" si="205"/>
        <v>88956590.969999999</v>
      </c>
      <c r="H363" s="1">
        <f t="shared" si="205"/>
        <v>320504</v>
      </c>
      <c r="I363" s="1">
        <f t="shared" si="205"/>
        <v>47399486.469999999</v>
      </c>
      <c r="J363" s="1">
        <f t="shared" si="205"/>
        <v>11429219</v>
      </c>
      <c r="K363" s="1">
        <f t="shared" si="205"/>
        <v>1166207329.22</v>
      </c>
      <c r="L363" s="1">
        <f t="shared" si="205"/>
        <v>166256</v>
      </c>
      <c r="M363" s="1">
        <f t="shared" si="205"/>
        <v>29747098.920000002</v>
      </c>
      <c r="N363" s="1">
        <f t="shared" si="205"/>
        <v>346566</v>
      </c>
      <c r="O363" s="1">
        <f t="shared" si="205"/>
        <v>59467749.769999996</v>
      </c>
      <c r="P363" s="1">
        <f t="shared" si="205"/>
        <v>1042</v>
      </c>
      <c r="Q363" s="1">
        <f t="shared" si="205"/>
        <v>273459.94</v>
      </c>
      <c r="R363" s="1">
        <f t="shared" si="205"/>
        <v>112324</v>
      </c>
      <c r="S363" s="1">
        <f t="shared" si="205"/>
        <v>9953072.2599999998</v>
      </c>
      <c r="T363" s="53">
        <f t="shared" si="191"/>
        <v>15769569</v>
      </c>
      <c r="U363" s="54">
        <f t="shared" si="192"/>
        <v>1555195969.7600002</v>
      </c>
      <c r="V363" s="2" t="s">
        <v>80</v>
      </c>
      <c r="Y363" s="2" t="s">
        <v>11</v>
      </c>
      <c r="Z363" s="2">
        <v>2025</v>
      </c>
      <c r="AA363" s="1">
        <f t="shared" si="193"/>
        <v>3714162</v>
      </c>
      <c r="AB363" s="11">
        <f t="shared" si="194"/>
        <v>289547259.64999998</v>
      </c>
      <c r="AC363" s="1">
        <f t="shared" si="195"/>
        <v>11429219</v>
      </c>
      <c r="AD363" s="11">
        <f t="shared" si="195"/>
        <v>1166207329.22</v>
      </c>
      <c r="AE363" s="8">
        <f t="shared" si="195"/>
        <v>166256</v>
      </c>
      <c r="AF363" s="11">
        <f t="shared" si="195"/>
        <v>29747098.920000002</v>
      </c>
      <c r="AG363" s="8">
        <f t="shared" si="195"/>
        <v>346566</v>
      </c>
      <c r="AH363" s="11">
        <f t="shared" si="195"/>
        <v>59467749.769999996</v>
      </c>
      <c r="AI363" s="8">
        <f t="shared" si="195"/>
        <v>1042</v>
      </c>
      <c r="AJ363" s="11">
        <f t="shared" si="195"/>
        <v>273459.94</v>
      </c>
      <c r="AK363" s="11">
        <f t="shared" si="195"/>
        <v>112324</v>
      </c>
      <c r="AL363" s="11">
        <f t="shared" si="195"/>
        <v>9953072.2599999998</v>
      </c>
      <c r="AM363" s="8">
        <f t="shared" si="199"/>
        <v>15769569</v>
      </c>
      <c r="AN363" s="11">
        <f t="shared" si="196"/>
        <v>1555195969.76</v>
      </c>
      <c r="AO363" s="2" t="s">
        <v>70</v>
      </c>
      <c r="AP363" s="37">
        <f t="shared" si="197"/>
        <v>0</v>
      </c>
      <c r="AQ363" s="37">
        <f t="shared" si="197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2025</v>
      </c>
      <c r="D364" s="1">
        <f>+D132+D78+D57+D36+D15+D153+D174+D195+D216+D237+D258+D279+D300+D321+D342+D107</f>
        <v>2191949</v>
      </c>
      <c r="E364" s="1">
        <f t="shared" ref="E364:S364" si="206">+E132+E78+E57+E36+E15+E153+E174+E195+E216+E237+E258+E279+E300+E321+E342+E107</f>
        <v>157811103.33999997</v>
      </c>
      <c r="F364" s="1">
        <f t="shared" si="206"/>
        <v>1317565</v>
      </c>
      <c r="G364" s="1">
        <f t="shared" si="206"/>
        <v>91265299.279999986</v>
      </c>
      <c r="H364" s="1">
        <f t="shared" si="206"/>
        <v>330572</v>
      </c>
      <c r="I364" s="1">
        <f t="shared" si="206"/>
        <v>48594838.739999995</v>
      </c>
      <c r="J364" s="1">
        <f t="shared" si="206"/>
        <v>11892048</v>
      </c>
      <c r="K364" s="1">
        <f t="shared" si="206"/>
        <v>1169807264.8800001</v>
      </c>
      <c r="L364" s="1">
        <f t="shared" si="206"/>
        <v>172948</v>
      </c>
      <c r="M364" s="1">
        <f t="shared" si="206"/>
        <v>29659804.530000001</v>
      </c>
      <c r="N364" s="1">
        <f t="shared" si="206"/>
        <v>358430</v>
      </c>
      <c r="O364" s="1">
        <f t="shared" si="206"/>
        <v>58022374.540000007</v>
      </c>
      <c r="P364" s="1">
        <f t="shared" si="206"/>
        <v>1046</v>
      </c>
      <c r="Q364" s="1">
        <f t="shared" si="206"/>
        <v>266654.63</v>
      </c>
      <c r="R364" s="1">
        <f t="shared" si="206"/>
        <v>123708</v>
      </c>
      <c r="S364" s="1">
        <f t="shared" si="206"/>
        <v>11142281.199999999</v>
      </c>
      <c r="T364" s="53">
        <f t="shared" si="191"/>
        <v>16388266</v>
      </c>
      <c r="U364" s="54">
        <f t="shared" si="192"/>
        <v>1566569621.1400001</v>
      </c>
      <c r="V364" s="2" t="s">
        <v>80</v>
      </c>
      <c r="Y364" s="2" t="s">
        <v>4</v>
      </c>
      <c r="Z364" s="2">
        <v>2025</v>
      </c>
      <c r="AA364" s="1">
        <f t="shared" si="193"/>
        <v>3840086</v>
      </c>
      <c r="AB364" s="11">
        <f t="shared" si="194"/>
        <v>297671241.35999995</v>
      </c>
      <c r="AC364" s="1">
        <f t="shared" si="195"/>
        <v>11892048</v>
      </c>
      <c r="AD364" s="11">
        <f t="shared" si="195"/>
        <v>1169807264.8800001</v>
      </c>
      <c r="AE364" s="8">
        <f t="shared" si="195"/>
        <v>172948</v>
      </c>
      <c r="AF364" s="11">
        <f t="shared" si="195"/>
        <v>29659804.530000001</v>
      </c>
      <c r="AG364" s="8">
        <f t="shared" si="195"/>
        <v>358430</v>
      </c>
      <c r="AH364" s="11">
        <f t="shared" si="195"/>
        <v>58022374.540000007</v>
      </c>
      <c r="AI364" s="8">
        <f t="shared" si="195"/>
        <v>1046</v>
      </c>
      <c r="AJ364" s="11">
        <f t="shared" si="195"/>
        <v>266654.63</v>
      </c>
      <c r="AK364" s="11">
        <f t="shared" si="195"/>
        <v>123708</v>
      </c>
      <c r="AL364" s="11">
        <f t="shared" si="195"/>
        <v>11142281.199999999</v>
      </c>
      <c r="AM364" s="27">
        <f t="shared" si="199"/>
        <v>16388266</v>
      </c>
      <c r="AN364" s="14">
        <f t="shared" si="196"/>
        <v>1566569621.1400001</v>
      </c>
      <c r="AO364" s="2" t="s">
        <v>70</v>
      </c>
      <c r="AP364" s="37">
        <f t="shared" si="197"/>
        <v>0</v>
      </c>
      <c r="AQ364" s="37">
        <f t="shared" si="197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84" t="s">
        <v>28</v>
      </c>
      <c r="C365" s="84">
        <v>2025</v>
      </c>
      <c r="D365" s="85">
        <f>+D133+D79+D58+D37+D16+D154+D175+D196+D217+D238+D259+D280+D301+D322+D343+D109</f>
        <v>2062562</v>
      </c>
      <c r="E365" s="85">
        <f t="shared" ref="E365:S365" si="207">+E133+E79+E58+E37+E16+E154+E175+E196+E217+E238+E259+E280+E301+E322+E343+E109</f>
        <v>145816575.02000001</v>
      </c>
      <c r="F365" s="85">
        <f t="shared" si="207"/>
        <v>1234043</v>
      </c>
      <c r="G365" s="85">
        <f t="shared" si="207"/>
        <v>86130939.930000007</v>
      </c>
      <c r="H365" s="85">
        <f t="shared" si="207"/>
        <v>295864</v>
      </c>
      <c r="I365" s="85">
        <f t="shared" si="207"/>
        <v>43712451.659999996</v>
      </c>
      <c r="J365" s="85">
        <f t="shared" si="207"/>
        <v>11524925</v>
      </c>
      <c r="K365" s="85">
        <f t="shared" si="207"/>
        <v>1195415431.73</v>
      </c>
      <c r="L365" s="85">
        <f t="shared" si="207"/>
        <v>165122</v>
      </c>
      <c r="M365" s="85">
        <f t="shared" si="207"/>
        <v>29998201.890000001</v>
      </c>
      <c r="N365" s="85">
        <f t="shared" si="207"/>
        <v>366271</v>
      </c>
      <c r="O365" s="85">
        <f t="shared" si="207"/>
        <v>64325064.25</v>
      </c>
      <c r="P365" s="85">
        <f t="shared" si="207"/>
        <v>1188</v>
      </c>
      <c r="Q365" s="85">
        <f t="shared" si="207"/>
        <v>319368.40000000002</v>
      </c>
      <c r="R365" s="85">
        <f t="shared" si="207"/>
        <v>121985</v>
      </c>
      <c r="S365" s="85">
        <f t="shared" si="207"/>
        <v>11705115.039999999</v>
      </c>
      <c r="T365" s="53">
        <f t="shared" si="191"/>
        <v>15771960</v>
      </c>
      <c r="U365" s="54">
        <f t="shared" si="192"/>
        <v>1577423147.9200003</v>
      </c>
      <c r="V365" s="2" t="s">
        <v>80</v>
      </c>
      <c r="Y365" s="2" t="s">
        <v>28</v>
      </c>
      <c r="Z365" s="2">
        <v>2025</v>
      </c>
      <c r="AA365" s="1">
        <f t="shared" si="193"/>
        <v>3592469</v>
      </c>
      <c r="AB365" s="11">
        <f t="shared" si="194"/>
        <v>275659966.61000001</v>
      </c>
      <c r="AC365" s="1">
        <f t="shared" si="195"/>
        <v>11524925</v>
      </c>
      <c r="AD365" s="11">
        <f t="shared" si="195"/>
        <v>1195415431.73</v>
      </c>
      <c r="AE365" s="8">
        <f t="shared" si="195"/>
        <v>165122</v>
      </c>
      <c r="AF365" s="11">
        <f t="shared" si="195"/>
        <v>29998201.890000001</v>
      </c>
      <c r="AG365" s="8">
        <f t="shared" si="195"/>
        <v>366271</v>
      </c>
      <c r="AH365" s="11">
        <f t="shared" si="195"/>
        <v>64325064.25</v>
      </c>
      <c r="AI365" s="8">
        <f t="shared" si="195"/>
        <v>1188</v>
      </c>
      <c r="AJ365" s="11">
        <f t="shared" si="195"/>
        <v>319368.40000000002</v>
      </c>
      <c r="AK365" s="11">
        <f t="shared" si="195"/>
        <v>121985</v>
      </c>
      <c r="AL365" s="11">
        <f t="shared" si="195"/>
        <v>11705115.039999999</v>
      </c>
      <c r="AM365" s="8">
        <f t="shared" si="199"/>
        <v>15771960</v>
      </c>
      <c r="AN365" s="11">
        <f t="shared" si="196"/>
        <v>1577423147.9200001</v>
      </c>
      <c r="AO365" s="2" t="s">
        <v>70</v>
      </c>
      <c r="AP365" s="37">
        <f t="shared" si="197"/>
        <v>0</v>
      </c>
      <c r="AQ365" s="37">
        <f t="shared" si="197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2025</v>
      </c>
      <c r="D366" s="1">
        <f>+D134+D80+D59+D38+D17+D155+D176+D197+D218+D239+D260+D281+D302+D323+D344+D111</f>
        <v>2133602</v>
      </c>
      <c r="E366" s="1">
        <f t="shared" ref="E366:S366" si="208">+E134+E80+E59+E38+E17+E155+E176+E197+E218+E239+E260+E281+E302+E323+E344+E111</f>
        <v>150061620.88</v>
      </c>
      <c r="F366" s="1">
        <f t="shared" si="208"/>
        <v>1296749</v>
      </c>
      <c r="G366" s="1">
        <f t="shared" si="208"/>
        <v>90215260.230000004</v>
      </c>
      <c r="H366" s="1">
        <f t="shared" si="208"/>
        <v>313328</v>
      </c>
      <c r="I366" s="1">
        <f t="shared" si="208"/>
        <v>45352163.489999995</v>
      </c>
      <c r="J366" s="1">
        <f t="shared" si="208"/>
        <v>11683341</v>
      </c>
      <c r="K366" s="1">
        <f t="shared" si="208"/>
        <v>1168745301.3600001</v>
      </c>
      <c r="L366" s="1">
        <f t="shared" si="208"/>
        <v>162429</v>
      </c>
      <c r="M366" s="1">
        <f t="shared" si="208"/>
        <v>29246130.279999997</v>
      </c>
      <c r="N366" s="1">
        <f t="shared" si="208"/>
        <v>362652</v>
      </c>
      <c r="O366" s="1">
        <f t="shared" si="208"/>
        <v>64101773.960000001</v>
      </c>
      <c r="P366" s="1">
        <f t="shared" si="208"/>
        <v>1361</v>
      </c>
      <c r="Q366" s="1">
        <f t="shared" si="208"/>
        <v>346137.62</v>
      </c>
      <c r="R366" s="1">
        <f t="shared" si="208"/>
        <v>133839</v>
      </c>
      <c r="S366" s="1">
        <f t="shared" si="208"/>
        <v>13164252.109999999</v>
      </c>
      <c r="T366" s="53">
        <f t="shared" si="191"/>
        <v>16087301</v>
      </c>
      <c r="U366" s="54">
        <f t="shared" si="192"/>
        <v>1561232639.9300001</v>
      </c>
      <c r="V366" s="2" t="s">
        <v>80</v>
      </c>
      <c r="Y366" s="2" t="s">
        <v>29</v>
      </c>
      <c r="Z366" s="2">
        <v>2025</v>
      </c>
      <c r="AA366" s="1">
        <f t="shared" si="193"/>
        <v>3743679</v>
      </c>
      <c r="AB366" s="11">
        <f t="shared" si="194"/>
        <v>285629044.60000002</v>
      </c>
      <c r="AC366" s="1">
        <f t="shared" si="195"/>
        <v>11683341</v>
      </c>
      <c r="AD366" s="11">
        <f t="shared" si="195"/>
        <v>1168745301.3600001</v>
      </c>
      <c r="AE366" s="8">
        <f t="shared" si="195"/>
        <v>162429</v>
      </c>
      <c r="AF366" s="11">
        <f t="shared" si="195"/>
        <v>29246130.279999997</v>
      </c>
      <c r="AG366" s="8">
        <f t="shared" si="195"/>
        <v>362652</v>
      </c>
      <c r="AH366" s="11">
        <f t="shared" si="195"/>
        <v>64101773.960000001</v>
      </c>
      <c r="AI366" s="8">
        <f t="shared" si="195"/>
        <v>1361</v>
      </c>
      <c r="AJ366" s="11">
        <f t="shared" si="195"/>
        <v>346137.62</v>
      </c>
      <c r="AK366" s="11">
        <f t="shared" si="195"/>
        <v>133839</v>
      </c>
      <c r="AL366" s="11">
        <f t="shared" si="195"/>
        <v>13164252.109999999</v>
      </c>
      <c r="AM366" s="8">
        <f t="shared" si="199"/>
        <v>16087301</v>
      </c>
      <c r="AN366" s="11">
        <f t="shared" si="196"/>
        <v>1561232639.9300001</v>
      </c>
      <c r="AO366" s="2" t="s">
        <v>70</v>
      </c>
      <c r="AP366" s="37">
        <f t="shared" si="197"/>
        <v>0</v>
      </c>
      <c r="AQ366" s="37">
        <f t="shared" si="197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2025</v>
      </c>
      <c r="D367" s="1">
        <f>+D135+D81+D60+D39+D18+D156+D177+D198+D219+D240+D261+D282+D303+D324+D345+D113</f>
        <v>2102656</v>
      </c>
      <c r="E367" s="1">
        <f t="shared" ref="E367:S367" si="209">+E135+E81+E60+E39+E18+E156+E177+E198+E219+E240+E261+E282+E303+E324+E345+E113</f>
        <v>145387355.42000002</v>
      </c>
      <c r="F367" s="1">
        <f t="shared" si="209"/>
        <v>1377034</v>
      </c>
      <c r="G367" s="1">
        <f t="shared" si="209"/>
        <v>92190838.569999993</v>
      </c>
      <c r="H367" s="1">
        <f t="shared" si="209"/>
        <v>296709</v>
      </c>
      <c r="I367" s="1">
        <f t="shared" si="209"/>
        <v>43157155.760000005</v>
      </c>
      <c r="J367" s="1">
        <f t="shared" si="209"/>
        <v>11809957</v>
      </c>
      <c r="K367" s="1">
        <f t="shared" si="209"/>
        <v>1163101323.9200001</v>
      </c>
      <c r="L367" s="1">
        <f t="shared" si="209"/>
        <v>157586</v>
      </c>
      <c r="M367" s="1">
        <f t="shared" si="209"/>
        <v>27991892.77</v>
      </c>
      <c r="N367" s="1">
        <f t="shared" si="209"/>
        <v>374015</v>
      </c>
      <c r="O367" s="1">
        <f t="shared" si="209"/>
        <v>64787090.259999998</v>
      </c>
      <c r="P367" s="1">
        <f t="shared" si="209"/>
        <v>1363</v>
      </c>
      <c r="Q367" s="1">
        <f t="shared" si="209"/>
        <v>340807.83999999997</v>
      </c>
      <c r="R367" s="1">
        <f t="shared" si="209"/>
        <v>143419</v>
      </c>
      <c r="S367" s="1">
        <f t="shared" si="209"/>
        <v>13595547.82</v>
      </c>
      <c r="T367" s="53">
        <f t="shared" si="191"/>
        <v>16262739</v>
      </c>
      <c r="U367" s="54">
        <f t="shared" si="192"/>
        <v>1550552012.3599999</v>
      </c>
      <c r="V367" s="2" t="s">
        <v>80</v>
      </c>
      <c r="Y367" s="2" t="s">
        <v>30</v>
      </c>
      <c r="Z367" s="2">
        <v>2025</v>
      </c>
      <c r="AA367" s="81">
        <f t="shared" si="193"/>
        <v>3776399</v>
      </c>
      <c r="AB367" s="80">
        <f t="shared" si="194"/>
        <v>280735349.75</v>
      </c>
      <c r="AC367" s="81">
        <f t="shared" si="195"/>
        <v>11809957</v>
      </c>
      <c r="AD367" s="80">
        <f t="shared" si="195"/>
        <v>1163101323.9200001</v>
      </c>
      <c r="AE367" s="79">
        <f t="shared" si="195"/>
        <v>157586</v>
      </c>
      <c r="AF367" s="80">
        <f t="shared" si="195"/>
        <v>27991892.77</v>
      </c>
      <c r="AG367" s="79">
        <f t="shared" si="195"/>
        <v>374015</v>
      </c>
      <c r="AH367" s="80">
        <f t="shared" si="195"/>
        <v>64787090.259999998</v>
      </c>
      <c r="AI367" s="79">
        <f t="shared" si="195"/>
        <v>1363</v>
      </c>
      <c r="AJ367" s="80">
        <f t="shared" si="195"/>
        <v>340807.83999999997</v>
      </c>
      <c r="AK367" s="80">
        <f t="shared" si="195"/>
        <v>143419</v>
      </c>
      <c r="AL367" s="80">
        <f t="shared" si="195"/>
        <v>13595547.82</v>
      </c>
      <c r="AM367" s="79">
        <f t="shared" si="199"/>
        <v>16262739</v>
      </c>
      <c r="AN367" s="80">
        <f t="shared" si="196"/>
        <v>1550552012.3599999</v>
      </c>
      <c r="AO367" s="2" t="s">
        <v>70</v>
      </c>
      <c r="AP367" s="37">
        <f t="shared" si="197"/>
        <v>0</v>
      </c>
      <c r="AQ367" s="37">
        <f t="shared" si="197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2025</v>
      </c>
      <c r="D368" s="1">
        <f>+D136+D82+D61+D40+D19+D157+D178+D199+D220+D241+D262+D283+D304+D325+D346+D115</f>
        <v>2100901</v>
      </c>
      <c r="E368" s="1">
        <f t="shared" ref="E368:S368" si="210">+E136+E82+E61+E40+E19+E157+E178+E199+E220+E241+E262+E283+E304+E325+E346+E115</f>
        <v>146831189.88999999</v>
      </c>
      <c r="F368" s="1">
        <f t="shared" si="210"/>
        <v>1279820</v>
      </c>
      <c r="G368" s="1">
        <f t="shared" si="210"/>
        <v>86901345.439999998</v>
      </c>
      <c r="H368" s="1">
        <f t="shared" si="210"/>
        <v>315881</v>
      </c>
      <c r="I368" s="1">
        <f t="shared" si="210"/>
        <v>46950083.340000004</v>
      </c>
      <c r="J368" s="1">
        <f t="shared" si="210"/>
        <v>11498164</v>
      </c>
      <c r="K368" s="1">
        <f t="shared" si="210"/>
        <v>1142506525.7</v>
      </c>
      <c r="L368" s="1">
        <f t="shared" si="210"/>
        <v>157836</v>
      </c>
      <c r="M368" s="1">
        <f t="shared" si="210"/>
        <v>27910795.43</v>
      </c>
      <c r="N368" s="1">
        <f t="shared" si="210"/>
        <v>374319</v>
      </c>
      <c r="O368" s="1">
        <f t="shared" si="210"/>
        <v>63457381.75</v>
      </c>
      <c r="P368" s="1">
        <f t="shared" si="210"/>
        <v>1509</v>
      </c>
      <c r="Q368" s="1">
        <f t="shared" si="210"/>
        <v>350339.98</v>
      </c>
      <c r="R368" s="1">
        <f t="shared" si="210"/>
        <v>152583</v>
      </c>
      <c r="S368" s="1">
        <f t="shared" si="210"/>
        <v>14359936.629999999</v>
      </c>
      <c r="T368" s="53">
        <f t="shared" si="191"/>
        <v>15881013</v>
      </c>
      <c r="U368" s="54">
        <f t="shared" si="192"/>
        <v>1529267598.1600003</v>
      </c>
      <c r="V368" s="2" t="s">
        <v>80</v>
      </c>
      <c r="Y368" s="2" t="s">
        <v>31</v>
      </c>
      <c r="Z368" s="2">
        <v>2025</v>
      </c>
      <c r="AA368" s="1">
        <f t="shared" si="193"/>
        <v>3696602</v>
      </c>
      <c r="AB368" s="11">
        <f t="shared" si="194"/>
        <v>280682618.66999996</v>
      </c>
      <c r="AC368" s="1">
        <f t="shared" si="195"/>
        <v>11498164</v>
      </c>
      <c r="AD368" s="11">
        <f t="shared" si="195"/>
        <v>1142506525.7</v>
      </c>
      <c r="AE368" s="8">
        <f t="shared" si="195"/>
        <v>157836</v>
      </c>
      <c r="AF368" s="11">
        <f t="shared" si="195"/>
        <v>27910795.43</v>
      </c>
      <c r="AG368" s="8">
        <f t="shared" si="195"/>
        <v>374319</v>
      </c>
      <c r="AH368" s="11">
        <f t="shared" si="195"/>
        <v>63457381.75</v>
      </c>
      <c r="AI368" s="8">
        <f t="shared" si="195"/>
        <v>1509</v>
      </c>
      <c r="AJ368" s="11">
        <f t="shared" si="195"/>
        <v>350339.98</v>
      </c>
      <c r="AK368" s="11">
        <f t="shared" si="195"/>
        <v>152583</v>
      </c>
      <c r="AL368" s="11">
        <f t="shared" si="195"/>
        <v>14359936.629999999</v>
      </c>
      <c r="AM368" s="8">
        <f t="shared" si="199"/>
        <v>15881013</v>
      </c>
      <c r="AN368" s="11">
        <f t="shared" si="196"/>
        <v>1529267598.1600003</v>
      </c>
      <c r="AO368" s="2" t="s">
        <v>70</v>
      </c>
      <c r="AP368" s="37">
        <f t="shared" si="197"/>
        <v>0</v>
      </c>
      <c r="AQ368" s="37">
        <f t="shared" si="197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53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53" x14ac:dyDescent="0.25">
      <c r="B370" s="3" t="s">
        <v>12</v>
      </c>
      <c r="C370" s="3"/>
      <c r="D370" s="4">
        <f t="shared" ref="D370:U370" si="211">SUM(D357:D369)</f>
        <v>24731505</v>
      </c>
      <c r="E370" s="12">
        <f t="shared" si="211"/>
        <v>1741642579.3299999</v>
      </c>
      <c r="F370" s="4">
        <f t="shared" si="211"/>
        <v>15070966</v>
      </c>
      <c r="G370" s="12">
        <f t="shared" si="211"/>
        <v>1048537716.4300001</v>
      </c>
      <c r="H370" s="4">
        <f t="shared" si="211"/>
        <v>3781595</v>
      </c>
      <c r="I370" s="12">
        <f t="shared" si="211"/>
        <v>543431590.54000008</v>
      </c>
      <c r="J370" s="4">
        <f t="shared" si="211"/>
        <v>136494784</v>
      </c>
      <c r="K370" s="12">
        <f t="shared" si="211"/>
        <v>13724314857.539999</v>
      </c>
      <c r="L370" s="4">
        <f t="shared" si="211"/>
        <v>1906551</v>
      </c>
      <c r="M370" s="12">
        <f t="shared" si="211"/>
        <v>334943836.13999999</v>
      </c>
      <c r="N370" s="4">
        <f t="shared" si="211"/>
        <v>4221058</v>
      </c>
      <c r="O370" s="12">
        <f t="shared" si="211"/>
        <v>709842901.34000003</v>
      </c>
      <c r="P370" s="4">
        <f t="shared" si="211"/>
        <v>13485</v>
      </c>
      <c r="Q370" s="12">
        <f t="shared" si="211"/>
        <v>3551223.28</v>
      </c>
      <c r="R370" s="4">
        <f t="shared" si="211"/>
        <v>1320846</v>
      </c>
      <c r="S370" s="12">
        <f t="shared" si="211"/>
        <v>115072442.77000001</v>
      </c>
      <c r="T370" s="4">
        <f t="shared" si="211"/>
        <v>187540790</v>
      </c>
      <c r="U370" s="12">
        <f t="shared" si="211"/>
        <v>18221337147.369999</v>
      </c>
      <c r="Y370" s="3" t="s">
        <v>12</v>
      </c>
      <c r="Z370" s="3"/>
      <c r="AA370" s="4">
        <f t="shared" ref="AA370:AN370" si="212">SUM(AA357:AA369)</f>
        <v>43584066</v>
      </c>
      <c r="AB370" s="12">
        <f t="shared" si="212"/>
        <v>3333611886.3000002</v>
      </c>
      <c r="AC370" s="4">
        <f t="shared" si="212"/>
        <v>136494784</v>
      </c>
      <c r="AD370" s="12">
        <f t="shared" si="212"/>
        <v>13724314857.539999</v>
      </c>
      <c r="AE370" s="4">
        <f t="shared" si="212"/>
        <v>1906551</v>
      </c>
      <c r="AF370" s="12">
        <f t="shared" si="212"/>
        <v>334943836.13999999</v>
      </c>
      <c r="AG370" s="4">
        <f t="shared" si="212"/>
        <v>4221058</v>
      </c>
      <c r="AH370" s="12">
        <f t="shared" si="212"/>
        <v>709842901.34000003</v>
      </c>
      <c r="AI370" s="4">
        <f t="shared" si="212"/>
        <v>13485</v>
      </c>
      <c r="AJ370" s="12">
        <f t="shared" si="212"/>
        <v>3551223.28</v>
      </c>
      <c r="AK370" s="4">
        <f t="shared" si="212"/>
        <v>1320846</v>
      </c>
      <c r="AL370" s="12">
        <f t="shared" si="212"/>
        <v>115072442.77000001</v>
      </c>
      <c r="AM370" s="4">
        <f t="shared" si="212"/>
        <v>187540790</v>
      </c>
      <c r="AN370" s="12">
        <f t="shared" si="212"/>
        <v>18221337147.369999</v>
      </c>
    </row>
    <row r="371" spans="1:53" x14ac:dyDescent="0.25">
      <c r="D371" s="39"/>
      <c r="E371" s="9">
        <f>E363+G363+I363</f>
        <v>289547259.64999998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149116</v>
      </c>
      <c r="M371" s="28">
        <f>AVERAGE(M357:M358)</f>
        <v>25987178.585000001</v>
      </c>
    </row>
    <row r="372" spans="1:53" x14ac:dyDescent="0.25">
      <c r="A372" s="67" t="s">
        <v>14</v>
      </c>
      <c r="F372" s="9">
        <f>+F370+D370+H370</f>
        <v>43584066</v>
      </c>
      <c r="G372" s="9">
        <f>+G370+E370+I370</f>
        <v>3333611886.3000002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53" x14ac:dyDescent="0.25">
      <c r="A373" s="67" t="s">
        <v>47</v>
      </c>
      <c r="J373" s="39">
        <f>+J370+L370+N370+P370+R370</f>
        <v>143956724</v>
      </c>
      <c r="K373" s="9">
        <f>+K370+M370+O370+Q370+S370</f>
        <v>14887725261.07</v>
      </c>
    </row>
    <row r="374" spans="1:53" x14ac:dyDescent="0.25">
      <c r="B374" s="5"/>
      <c r="F374" s="39"/>
      <c r="G374" s="39"/>
      <c r="J374" s="9"/>
    </row>
    <row r="375" spans="1:53" ht="15" customHeight="1" x14ac:dyDescent="0.25">
      <c r="D375" s="89" t="s">
        <v>53</v>
      </c>
      <c r="E375" s="90"/>
      <c r="F375" s="89" t="s">
        <v>54</v>
      </c>
      <c r="G375" s="90"/>
      <c r="H375" s="89" t="s">
        <v>18</v>
      </c>
      <c r="I375" s="90"/>
      <c r="J375" s="89" t="s">
        <v>133</v>
      </c>
      <c r="K375" s="90"/>
      <c r="L375" s="89" t="s">
        <v>136</v>
      </c>
      <c r="M375" s="90"/>
      <c r="N375" s="89" t="s">
        <v>91</v>
      </c>
      <c r="O375" s="90"/>
      <c r="P375" s="89" t="s">
        <v>52</v>
      </c>
      <c r="Q375" s="90"/>
      <c r="R375" s="89" t="s">
        <v>13</v>
      </c>
      <c r="S375" s="90"/>
      <c r="T375" s="89" t="s">
        <v>34</v>
      </c>
      <c r="U375" s="90"/>
      <c r="V375" s="89" t="s">
        <v>87</v>
      </c>
      <c r="W375" s="90"/>
      <c r="X375" s="89" t="s">
        <v>43</v>
      </c>
      <c r="Y375" s="93"/>
      <c r="AB375" s="25"/>
    </row>
    <row r="376" spans="1:53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V376" s="7" t="s">
        <v>2</v>
      </c>
      <c r="W376" s="10" t="s">
        <v>3</v>
      </c>
      <c r="X376" s="7" t="s">
        <v>2</v>
      </c>
      <c r="Y376" s="10" t="s">
        <v>3</v>
      </c>
      <c r="AB376" s="25"/>
    </row>
    <row r="377" spans="1:53" x14ac:dyDescent="0.25">
      <c r="F377"/>
      <c r="J377" s="9"/>
      <c r="L377" s="9"/>
      <c r="N377" s="9"/>
      <c r="P377"/>
      <c r="R377"/>
      <c r="W377" s="9"/>
      <c r="Y377" s="9"/>
      <c r="AB377" s="25"/>
    </row>
    <row r="378" spans="1:53" x14ac:dyDescent="0.25">
      <c r="B378" s="2" t="s">
        <v>5</v>
      </c>
      <c r="C378" s="2">
        <v>2025</v>
      </c>
      <c r="D378" s="1">
        <v>350364</v>
      </c>
      <c r="E378" s="11">
        <v>8041695.4699999988</v>
      </c>
      <c r="F378" s="1">
        <v>1666751</v>
      </c>
      <c r="G378" s="11">
        <v>366595951</v>
      </c>
      <c r="H378" s="1">
        <v>181845</v>
      </c>
      <c r="I378" s="11">
        <v>8749131</v>
      </c>
      <c r="J378" s="11"/>
      <c r="K378" s="11"/>
      <c r="L378" s="11"/>
      <c r="M378" s="11"/>
      <c r="N378" s="1">
        <v>192150</v>
      </c>
      <c r="O378" s="11">
        <v>9446489</v>
      </c>
      <c r="P378" s="1">
        <v>1607002</v>
      </c>
      <c r="Q378" s="11">
        <v>273593826</v>
      </c>
      <c r="R378" s="8">
        <v>591747</v>
      </c>
      <c r="S378" s="11">
        <v>70797302</v>
      </c>
      <c r="T378" s="8">
        <v>44040</v>
      </c>
      <c r="U378" s="11">
        <v>9244392</v>
      </c>
      <c r="V378" s="8">
        <v>588328</v>
      </c>
      <c r="W378" s="11">
        <v>45849678</v>
      </c>
      <c r="X378" s="8">
        <f t="shared" ref="X378:X389" si="213">+R378+H378+F378+D378+T378+P378+V378+N378+J378+L378</f>
        <v>5222227</v>
      </c>
      <c r="Y378" s="11">
        <f t="shared" ref="Y378:Y389" si="214">+S378+I378+G378+E378+U378+Q378+W378+O378+K378+M378</f>
        <v>792318464.47000003</v>
      </c>
      <c r="AV378" s="13"/>
      <c r="AW378" s="40"/>
      <c r="AX378" s="40"/>
      <c r="AY378" s="13"/>
      <c r="AZ378" s="41"/>
      <c r="BA378" s="42"/>
    </row>
    <row r="379" spans="1:53" x14ac:dyDescent="0.25">
      <c r="B379" s="2" t="s">
        <v>6</v>
      </c>
      <c r="C379" s="2">
        <v>2025</v>
      </c>
      <c r="D379" s="1">
        <v>354493</v>
      </c>
      <c r="E379" s="11">
        <v>8395609.3499999996</v>
      </c>
      <c r="F379" s="1">
        <v>1500788</v>
      </c>
      <c r="G379" s="11">
        <v>331195693.35999995</v>
      </c>
      <c r="H379" s="1">
        <v>159685</v>
      </c>
      <c r="I379" s="11">
        <v>7820972</v>
      </c>
      <c r="J379" s="11"/>
      <c r="K379" s="11"/>
      <c r="L379" s="11"/>
      <c r="M379" s="11"/>
      <c r="N379" s="1">
        <v>190657</v>
      </c>
      <c r="O379" s="11">
        <v>9359615</v>
      </c>
      <c r="P379" s="1">
        <v>1443633</v>
      </c>
      <c r="Q379" s="11">
        <v>255815582</v>
      </c>
      <c r="R379" s="8">
        <v>560866</v>
      </c>
      <c r="S379" s="11">
        <v>65999090</v>
      </c>
      <c r="T379" s="8">
        <v>39910</v>
      </c>
      <c r="U379" s="11">
        <v>8592080</v>
      </c>
      <c r="V379" s="8">
        <v>542826</v>
      </c>
      <c r="W379" s="11">
        <v>43437569</v>
      </c>
      <c r="X379" s="8">
        <f t="shared" si="213"/>
        <v>4792858</v>
      </c>
      <c r="Y379" s="11">
        <f t="shared" si="214"/>
        <v>730616210.71000004</v>
      </c>
      <c r="AV379" s="13"/>
      <c r="AW379" s="40"/>
      <c r="AX379" s="40"/>
      <c r="AY379" s="13"/>
      <c r="AZ379" s="41"/>
      <c r="BA379" s="42"/>
    </row>
    <row r="380" spans="1:53" x14ac:dyDescent="0.25">
      <c r="B380" s="2" t="s">
        <v>7</v>
      </c>
      <c r="C380" s="2">
        <v>2025</v>
      </c>
      <c r="D380" s="1">
        <v>403142</v>
      </c>
      <c r="E380" s="11">
        <v>9665469.8300000019</v>
      </c>
      <c r="F380" s="1">
        <v>1747205</v>
      </c>
      <c r="G380" s="11">
        <v>393115894.96999997</v>
      </c>
      <c r="H380" s="1">
        <v>196062</v>
      </c>
      <c r="I380" s="11">
        <v>9272166</v>
      </c>
      <c r="J380" s="11"/>
      <c r="K380" s="11"/>
      <c r="L380" s="11"/>
      <c r="M380" s="11"/>
      <c r="N380" s="1">
        <v>215248</v>
      </c>
      <c r="O380" s="11">
        <v>10528427</v>
      </c>
      <c r="P380" s="1">
        <v>1677802</v>
      </c>
      <c r="Q380" s="11">
        <v>298577791</v>
      </c>
      <c r="R380" s="8">
        <v>616832</v>
      </c>
      <c r="S380" s="11">
        <v>73855868</v>
      </c>
      <c r="T380" s="8">
        <v>44808</v>
      </c>
      <c r="U380" s="11">
        <v>9604708</v>
      </c>
      <c r="V380" s="8">
        <v>610351</v>
      </c>
      <c r="W380" s="11">
        <v>48426819</v>
      </c>
      <c r="X380" s="8">
        <f t="shared" si="213"/>
        <v>5511450</v>
      </c>
      <c r="Y380" s="11">
        <f t="shared" si="214"/>
        <v>853047143.79999995</v>
      </c>
      <c r="AV380" s="13"/>
      <c r="AW380" s="40"/>
      <c r="AX380" s="40"/>
      <c r="AY380" s="13"/>
      <c r="AZ380" s="41"/>
      <c r="BA380" s="42"/>
    </row>
    <row r="381" spans="1:53" x14ac:dyDescent="0.25">
      <c r="B381" s="2" t="s">
        <v>8</v>
      </c>
      <c r="C381" s="2">
        <v>2025</v>
      </c>
      <c r="D381" s="1">
        <v>359395</v>
      </c>
      <c r="E381" s="11">
        <v>8747132.2899999991</v>
      </c>
      <c r="F381" s="1">
        <v>1730382</v>
      </c>
      <c r="G381" s="11">
        <v>385181093.9600001</v>
      </c>
      <c r="H381" s="1">
        <v>193126</v>
      </c>
      <c r="I381" s="11">
        <v>9061836</v>
      </c>
      <c r="J381" s="11"/>
      <c r="K381" s="11"/>
      <c r="L381" s="11"/>
      <c r="M381" s="11"/>
      <c r="N381" s="1">
        <v>190206</v>
      </c>
      <c r="O381" s="11">
        <v>9371462</v>
      </c>
      <c r="P381" s="1">
        <v>1817173</v>
      </c>
      <c r="Q381" s="11">
        <v>320346064</v>
      </c>
      <c r="R381" s="8">
        <v>630448</v>
      </c>
      <c r="S381" s="11">
        <v>73645022</v>
      </c>
      <c r="T381" s="8">
        <v>44304</v>
      </c>
      <c r="U381" s="11">
        <v>9414556</v>
      </c>
      <c r="V381" s="8">
        <v>606118</v>
      </c>
      <c r="W381" s="11">
        <v>49006631</v>
      </c>
      <c r="X381" s="8">
        <f t="shared" si="213"/>
        <v>5571152</v>
      </c>
      <c r="Y381" s="11">
        <f t="shared" si="214"/>
        <v>864773797.25000012</v>
      </c>
      <c r="AV381" s="13"/>
      <c r="AW381" s="40"/>
      <c r="AX381" s="40"/>
      <c r="AY381" s="13"/>
      <c r="AZ381" s="41"/>
      <c r="BA381" s="42"/>
    </row>
    <row r="382" spans="1:53" x14ac:dyDescent="0.25">
      <c r="B382" s="2" t="s">
        <v>9</v>
      </c>
      <c r="C382" s="2">
        <v>2025</v>
      </c>
      <c r="D382" s="1">
        <v>397249</v>
      </c>
      <c r="E382" s="11">
        <v>9461746.3300000001</v>
      </c>
      <c r="F382" s="1">
        <v>1794568</v>
      </c>
      <c r="G382" s="11">
        <v>399357680.07999992</v>
      </c>
      <c r="H382" s="1">
        <v>181006</v>
      </c>
      <c r="I382" s="11">
        <v>8400461</v>
      </c>
      <c r="J382" s="11"/>
      <c r="K382" s="11"/>
      <c r="L382" s="11"/>
      <c r="M382" s="11"/>
      <c r="N382" s="1">
        <v>220994</v>
      </c>
      <c r="O382" s="11">
        <v>11298477</v>
      </c>
      <c r="P382" s="1">
        <v>1764140</v>
      </c>
      <c r="Q382" s="11">
        <v>316710855</v>
      </c>
      <c r="R382" s="8">
        <v>652092</v>
      </c>
      <c r="S382" s="11">
        <v>76015771</v>
      </c>
      <c r="T382" s="8">
        <v>48987</v>
      </c>
      <c r="U382" s="11">
        <v>10098221</v>
      </c>
      <c r="V382" s="8">
        <v>628339</v>
      </c>
      <c r="W382" s="11">
        <v>50305744</v>
      </c>
      <c r="X382" s="8">
        <f t="shared" si="213"/>
        <v>5687375</v>
      </c>
      <c r="Y382" s="11">
        <f t="shared" si="214"/>
        <v>881648955.40999985</v>
      </c>
      <c r="AV382" s="13"/>
      <c r="AW382" s="40"/>
      <c r="AX382" s="40"/>
      <c r="AY382" s="13"/>
      <c r="AZ382" s="41"/>
      <c r="BA382" s="42"/>
    </row>
    <row r="383" spans="1:53" x14ac:dyDescent="0.25">
      <c r="B383" s="2" t="s">
        <v>10</v>
      </c>
      <c r="C383" s="2">
        <v>2025</v>
      </c>
      <c r="D383" s="1">
        <v>374772</v>
      </c>
      <c r="E383" s="11">
        <v>8842171.1599999983</v>
      </c>
      <c r="F383" s="1">
        <v>1654434</v>
      </c>
      <c r="G383" s="11">
        <v>365167703.90000004</v>
      </c>
      <c r="H383" s="1">
        <v>165898</v>
      </c>
      <c r="I383" s="11">
        <v>8052307</v>
      </c>
      <c r="J383" s="11"/>
      <c r="K383" s="11"/>
      <c r="L383" s="11"/>
      <c r="M383" s="11"/>
      <c r="N383" s="1">
        <v>211782</v>
      </c>
      <c r="O383" s="11">
        <v>11222364</v>
      </c>
      <c r="P383" s="1">
        <v>1638631</v>
      </c>
      <c r="Q383" s="11">
        <v>295752511</v>
      </c>
      <c r="R383" s="8">
        <v>606072</v>
      </c>
      <c r="S383" s="11">
        <v>71539970</v>
      </c>
      <c r="T383" s="8">
        <v>48146</v>
      </c>
      <c r="U383" s="11">
        <v>9876030</v>
      </c>
      <c r="V383" s="8">
        <v>608476</v>
      </c>
      <c r="W383" s="11">
        <v>48241310</v>
      </c>
      <c r="X383" s="8">
        <f t="shared" si="213"/>
        <v>5308211</v>
      </c>
      <c r="Y383" s="11">
        <f t="shared" si="214"/>
        <v>818694367.06000006</v>
      </c>
      <c r="AV383" s="13"/>
      <c r="AW383" s="40"/>
      <c r="AX383" s="40"/>
      <c r="AY383" s="13"/>
      <c r="AZ383" s="41"/>
      <c r="BA383" s="42"/>
    </row>
    <row r="384" spans="1:53" x14ac:dyDescent="0.25">
      <c r="B384" s="2" t="s">
        <v>11</v>
      </c>
      <c r="C384" s="2">
        <v>2025</v>
      </c>
      <c r="D384" s="1">
        <v>354702</v>
      </c>
      <c r="E384" s="11">
        <v>8581959.3899999987</v>
      </c>
      <c r="F384" s="1">
        <v>1765739</v>
      </c>
      <c r="G384" s="11">
        <v>384447620.47000003</v>
      </c>
      <c r="H384" s="1">
        <v>186237</v>
      </c>
      <c r="I384" s="11">
        <v>8950702</v>
      </c>
      <c r="J384" s="11"/>
      <c r="K384" s="11"/>
      <c r="L384" s="11"/>
      <c r="M384" s="11"/>
      <c r="N384" s="1">
        <v>198716</v>
      </c>
      <c r="O384" s="11">
        <v>10703539</v>
      </c>
      <c r="P384" s="1">
        <v>1829218</v>
      </c>
      <c r="Q384" s="11">
        <v>321991310</v>
      </c>
      <c r="R384" s="8">
        <v>650229</v>
      </c>
      <c r="S384" s="11">
        <v>77416666</v>
      </c>
      <c r="T384" s="8">
        <f>52305-1247</f>
        <v>51058</v>
      </c>
      <c r="U384" s="11">
        <v>10558585</v>
      </c>
      <c r="V384" s="8">
        <v>644656</v>
      </c>
      <c r="W384" s="11">
        <v>51466459</v>
      </c>
      <c r="X384" s="8">
        <f t="shared" si="213"/>
        <v>5680555</v>
      </c>
      <c r="Y384" s="11">
        <f t="shared" si="214"/>
        <v>874116840.86000001</v>
      </c>
      <c r="AV384" s="13"/>
      <c r="AW384" s="40"/>
      <c r="AX384" s="40"/>
      <c r="AY384" s="13"/>
      <c r="AZ384" s="41"/>
      <c r="BA384" s="42"/>
    </row>
    <row r="385" spans="2:53" x14ac:dyDescent="0.25">
      <c r="B385" s="2" t="s">
        <v>4</v>
      </c>
      <c r="C385" s="2">
        <v>2025</v>
      </c>
      <c r="D385" s="1">
        <v>398549</v>
      </c>
      <c r="E385" s="11">
        <v>9596335.790000001</v>
      </c>
      <c r="F385" s="1">
        <v>1767111</v>
      </c>
      <c r="G385" s="11">
        <v>384820185.39000005</v>
      </c>
      <c r="H385" s="1">
        <v>171373</v>
      </c>
      <c r="I385" s="11">
        <v>8190737</v>
      </c>
      <c r="J385" s="11"/>
      <c r="K385" s="11"/>
      <c r="L385" s="11"/>
      <c r="M385" s="11"/>
      <c r="N385" s="1">
        <v>130965</v>
      </c>
      <c r="O385" s="11">
        <v>9931793</v>
      </c>
      <c r="P385" s="1">
        <v>1782964</v>
      </c>
      <c r="Q385" s="11">
        <v>309836172</v>
      </c>
      <c r="R385" s="8">
        <v>673444</v>
      </c>
      <c r="S385" s="11">
        <v>78354519</v>
      </c>
      <c r="T385" s="8">
        <v>52251</v>
      </c>
      <c r="U385" s="11">
        <v>10503028</v>
      </c>
      <c r="V385" s="8">
        <v>683617</v>
      </c>
      <c r="W385" s="11">
        <v>53919404</v>
      </c>
      <c r="X385" s="8">
        <f t="shared" si="213"/>
        <v>5660274</v>
      </c>
      <c r="Y385" s="11">
        <f t="shared" si="214"/>
        <v>865152174.18000007</v>
      </c>
      <c r="AV385" s="13"/>
      <c r="AW385" s="40"/>
      <c r="AX385" s="40"/>
      <c r="AY385" s="13"/>
      <c r="AZ385" s="41"/>
      <c r="BA385" s="42"/>
    </row>
    <row r="386" spans="2:53" x14ac:dyDescent="0.25">
      <c r="B386" s="2" t="s">
        <v>28</v>
      </c>
      <c r="C386" s="2">
        <v>2025</v>
      </c>
      <c r="D386" s="1">
        <v>373806</v>
      </c>
      <c r="E386" s="11">
        <v>8734105.4900000021</v>
      </c>
      <c r="F386" s="1">
        <v>1633805</v>
      </c>
      <c r="G386" s="11">
        <v>350262463.23999989</v>
      </c>
      <c r="H386" s="1">
        <v>180328</v>
      </c>
      <c r="I386" s="11">
        <v>8441263</v>
      </c>
      <c r="J386" s="11">
        <v>26450</v>
      </c>
      <c r="K386" s="11">
        <v>4708058</v>
      </c>
      <c r="L386" s="11"/>
      <c r="M386" s="11"/>
      <c r="N386" s="83">
        <v>140267</v>
      </c>
      <c r="O386" s="14">
        <v>10621607</v>
      </c>
      <c r="P386" s="83">
        <v>1688789</v>
      </c>
      <c r="Q386" s="14">
        <v>298065048</v>
      </c>
      <c r="R386" s="27">
        <v>636990</v>
      </c>
      <c r="S386" s="14">
        <v>72874460</v>
      </c>
      <c r="T386" s="27">
        <v>50049</v>
      </c>
      <c r="U386" s="14">
        <v>9812145</v>
      </c>
      <c r="V386" s="27">
        <v>634625</v>
      </c>
      <c r="W386" s="14">
        <v>49446142</v>
      </c>
      <c r="X386" s="8">
        <f t="shared" si="213"/>
        <v>5365109</v>
      </c>
      <c r="Y386" s="11">
        <f t="shared" si="214"/>
        <v>812965291.7299999</v>
      </c>
      <c r="AV386" s="13"/>
      <c r="AW386" s="40"/>
      <c r="AX386" s="40"/>
      <c r="AY386" s="13"/>
      <c r="AZ386" s="41"/>
      <c r="BA386" s="42"/>
    </row>
    <row r="387" spans="2:53" x14ac:dyDescent="0.25">
      <c r="B387" s="2" t="s">
        <v>29</v>
      </c>
      <c r="C387" s="2">
        <v>2025</v>
      </c>
      <c r="D387" s="1">
        <v>422873</v>
      </c>
      <c r="E387" s="11">
        <v>9853798.8399999999</v>
      </c>
      <c r="F387" s="1">
        <v>1782390</v>
      </c>
      <c r="G387" s="11">
        <v>378291021.89000005</v>
      </c>
      <c r="H387" s="1">
        <v>171956</v>
      </c>
      <c r="I387" s="11">
        <v>8179793</v>
      </c>
      <c r="J387" s="11">
        <v>44221</v>
      </c>
      <c r="K387" s="11">
        <v>7871338</v>
      </c>
      <c r="L387" s="11">
        <v>3113</v>
      </c>
      <c r="M387" s="11">
        <v>656077</v>
      </c>
      <c r="N387" s="1">
        <v>191574</v>
      </c>
      <c r="O387" s="11">
        <v>12828725</v>
      </c>
      <c r="P387" s="1">
        <v>1725792</v>
      </c>
      <c r="Q387" s="11">
        <v>299467610</v>
      </c>
      <c r="R387" s="8">
        <v>687156</v>
      </c>
      <c r="S387" s="11">
        <v>79098508</v>
      </c>
      <c r="T387" s="8">
        <v>51843</v>
      </c>
      <c r="U387" s="11">
        <v>10174354</v>
      </c>
      <c r="V387" s="8">
        <v>668333</v>
      </c>
      <c r="W387" s="11">
        <v>52381250</v>
      </c>
      <c r="X387" s="8">
        <f t="shared" si="213"/>
        <v>5749251</v>
      </c>
      <c r="Y387" s="11">
        <f t="shared" si="214"/>
        <v>858802475.73000002</v>
      </c>
      <c r="AV387" s="13"/>
      <c r="AW387" s="40"/>
      <c r="AX387" s="40"/>
      <c r="AY387" s="13"/>
      <c r="AZ387" s="40"/>
      <c r="BA387" s="40"/>
    </row>
    <row r="388" spans="2:53" x14ac:dyDescent="0.25">
      <c r="B388" s="2" t="s">
        <v>30</v>
      </c>
      <c r="C388" s="2">
        <v>2025</v>
      </c>
      <c r="D388" s="1">
        <v>404256</v>
      </c>
      <c r="E388" s="11">
        <v>9571692.5399999991</v>
      </c>
      <c r="F388" s="1">
        <v>1722278</v>
      </c>
      <c r="G388" s="11">
        <v>370061118.97000009</v>
      </c>
      <c r="H388" s="1">
        <v>165019</v>
      </c>
      <c r="I388" s="11">
        <v>7918092</v>
      </c>
      <c r="J388" s="11">
        <v>50370</v>
      </c>
      <c r="K388" s="11">
        <v>8965860</v>
      </c>
      <c r="L388" s="11">
        <v>3777</v>
      </c>
      <c r="M388" s="11">
        <v>738051</v>
      </c>
      <c r="N388" s="1">
        <v>172826</v>
      </c>
      <c r="O388" s="11">
        <v>11138127</v>
      </c>
      <c r="P388" s="1">
        <v>1772882</v>
      </c>
      <c r="Q388" s="11">
        <v>300187585</v>
      </c>
      <c r="R388" s="8">
        <v>680014</v>
      </c>
      <c r="S388" s="11">
        <v>78342613</v>
      </c>
      <c r="T388" s="8">
        <v>52581</v>
      </c>
      <c r="U388" s="11">
        <v>10698452</v>
      </c>
      <c r="V388" s="8">
        <v>644492</v>
      </c>
      <c r="W388" s="11">
        <v>51111492</v>
      </c>
      <c r="X388" s="8">
        <f t="shared" si="213"/>
        <v>5668495</v>
      </c>
      <c r="Y388" s="11">
        <f t="shared" si="214"/>
        <v>848733083.51000011</v>
      </c>
      <c r="AV388" s="13"/>
      <c r="AW388" s="40"/>
      <c r="AX388" s="40"/>
      <c r="AY388" s="13"/>
      <c r="AZ388" s="40"/>
      <c r="BA388" s="40"/>
    </row>
    <row r="389" spans="2:53" x14ac:dyDescent="0.25">
      <c r="B389" s="2" t="s">
        <v>31</v>
      </c>
      <c r="C389" s="2">
        <v>2025</v>
      </c>
      <c r="D389" s="1">
        <v>379149</v>
      </c>
      <c r="E389" s="11">
        <v>9050357.1899999976</v>
      </c>
      <c r="F389" s="1">
        <v>1829289</v>
      </c>
      <c r="G389" s="11">
        <v>394707075.04000002</v>
      </c>
      <c r="H389" s="1">
        <v>183020</v>
      </c>
      <c r="I389" s="11">
        <v>8656777</v>
      </c>
      <c r="J389" s="11">
        <v>49955</v>
      </c>
      <c r="K389" s="11">
        <v>8891990</v>
      </c>
      <c r="L389" s="11">
        <v>3901</v>
      </c>
      <c r="M389" s="11">
        <v>705523</v>
      </c>
      <c r="N389" s="1">
        <v>165302</v>
      </c>
      <c r="O389" s="11">
        <v>10247064</v>
      </c>
      <c r="P389" s="1">
        <v>2005398</v>
      </c>
      <c r="Q389" s="11">
        <v>336921180</v>
      </c>
      <c r="R389" s="8">
        <v>876223</v>
      </c>
      <c r="S389" s="11">
        <v>104391475</v>
      </c>
      <c r="T389" s="8">
        <v>54463</v>
      </c>
      <c r="U389" s="11">
        <v>10796282</v>
      </c>
      <c r="V389" s="8">
        <v>746134</v>
      </c>
      <c r="W389" s="11">
        <v>60252293</v>
      </c>
      <c r="X389" s="8">
        <f t="shared" si="213"/>
        <v>6292834</v>
      </c>
      <c r="Y389" s="11">
        <f t="shared" si="214"/>
        <v>944620016.23000002</v>
      </c>
      <c r="AV389" s="13"/>
      <c r="AW389" s="40"/>
      <c r="AX389" s="40"/>
      <c r="AY389" s="13"/>
      <c r="AZ389" s="40"/>
      <c r="BA389" s="40"/>
    </row>
    <row r="390" spans="2:53" x14ac:dyDescent="0.25">
      <c r="F390" s="39"/>
      <c r="G390" s="39"/>
      <c r="J390" s="9"/>
      <c r="L390" s="9"/>
      <c r="N390" s="9"/>
      <c r="P390"/>
      <c r="R390"/>
      <c r="W390" s="9"/>
      <c r="Y390" s="9"/>
      <c r="AA390" s="9"/>
    </row>
    <row r="391" spans="2:53" x14ac:dyDescent="0.25">
      <c r="B391" s="3" t="s">
        <v>12</v>
      </c>
      <c r="C391" s="3"/>
      <c r="D391" s="4">
        <f>SUM(D378:D390)</f>
        <v>4572750</v>
      </c>
      <c r="E391" s="12">
        <f t="shared" ref="E391:W391" si="215">SUM(E378:E390)</f>
        <v>108542073.66999999</v>
      </c>
      <c r="F391" s="4">
        <f t="shared" si="215"/>
        <v>20594740</v>
      </c>
      <c r="G391" s="12">
        <f t="shared" si="215"/>
        <v>4503203502.2699995</v>
      </c>
      <c r="H391" s="4">
        <f t="shared" si="215"/>
        <v>2135555</v>
      </c>
      <c r="I391" s="12">
        <f t="shared" si="215"/>
        <v>101694237</v>
      </c>
      <c r="J391" s="4">
        <f t="shared" si="215"/>
        <v>170996</v>
      </c>
      <c r="K391" s="12">
        <f t="shared" si="215"/>
        <v>30437246</v>
      </c>
      <c r="L391" s="4">
        <f t="shared" si="215"/>
        <v>10791</v>
      </c>
      <c r="M391" s="12">
        <f t="shared" si="215"/>
        <v>2099651</v>
      </c>
      <c r="N391" s="4">
        <f t="shared" si="215"/>
        <v>2220687</v>
      </c>
      <c r="O391" s="12">
        <f t="shared" si="215"/>
        <v>126697689</v>
      </c>
      <c r="P391" s="4">
        <f>SUM(P378:P390)</f>
        <v>20753424</v>
      </c>
      <c r="Q391" s="12">
        <f>SUM(Q378:Q390)</f>
        <v>3627265534</v>
      </c>
      <c r="R391" s="4">
        <f t="shared" si="215"/>
        <v>7862113</v>
      </c>
      <c r="S391" s="12">
        <f t="shared" si="215"/>
        <v>922331264</v>
      </c>
      <c r="T391" s="4">
        <f t="shared" si="215"/>
        <v>582440</v>
      </c>
      <c r="U391" s="12">
        <f t="shared" si="215"/>
        <v>119372833</v>
      </c>
      <c r="V391" s="4">
        <f t="shared" si="215"/>
        <v>7606295</v>
      </c>
      <c r="W391" s="12">
        <f t="shared" si="215"/>
        <v>603844791</v>
      </c>
      <c r="X391" s="4">
        <f>SUM(X378:X390)</f>
        <v>66509791</v>
      </c>
      <c r="Y391" s="12">
        <f>SUM(Y378:Y390)</f>
        <v>10145488820.939999</v>
      </c>
    </row>
    <row r="392" spans="2:53" x14ac:dyDescent="0.25">
      <c r="F392" s="39">
        <f>+D382+F382</f>
        <v>2191817</v>
      </c>
      <c r="G392" s="9">
        <f>+E382+G382</f>
        <v>408819426.40999991</v>
      </c>
      <c r="H392" s="39"/>
      <c r="J392" s="9"/>
      <c r="L392" s="39"/>
      <c r="N392" s="39"/>
      <c r="P392" s="39"/>
      <c r="T392" s="9"/>
      <c r="V392" s="9"/>
    </row>
    <row r="393" spans="2:53" x14ac:dyDescent="0.25">
      <c r="F393"/>
      <c r="J393" s="9"/>
      <c r="T393" s="29"/>
      <c r="U393" s="29"/>
      <c r="V393" s="9"/>
    </row>
    <row r="394" spans="2:53" x14ac:dyDescent="0.25">
      <c r="B394" s="5" t="s">
        <v>14</v>
      </c>
      <c r="F394"/>
      <c r="N394" s="9"/>
      <c r="P394"/>
      <c r="T394" s="13"/>
      <c r="U394"/>
    </row>
    <row r="395" spans="2:53" x14ac:dyDescent="0.25">
      <c r="B395" s="5" t="s">
        <v>74</v>
      </c>
      <c r="F395"/>
      <c r="N395" s="9"/>
      <c r="P395"/>
      <c r="U395"/>
    </row>
    <row r="396" spans="2:53" x14ac:dyDescent="0.25">
      <c r="F396"/>
      <c r="N396" s="9"/>
      <c r="P396"/>
      <c r="Q396"/>
      <c r="R396"/>
      <c r="S396"/>
      <c r="U396"/>
    </row>
    <row r="397" spans="2:53" x14ac:dyDescent="0.25">
      <c r="D397" s="89" t="s">
        <v>15</v>
      </c>
      <c r="E397" s="90"/>
      <c r="F397" s="89" t="s">
        <v>72</v>
      </c>
      <c r="G397" s="90"/>
      <c r="H397" s="89" t="s">
        <v>16</v>
      </c>
      <c r="I397" s="90"/>
      <c r="J397" s="89" t="s">
        <v>73</v>
      </c>
      <c r="K397" s="90"/>
      <c r="L397" s="89" t="s">
        <v>70</v>
      </c>
      <c r="M397" s="90"/>
      <c r="N397" s="9"/>
      <c r="P397"/>
      <c r="Q397"/>
      <c r="R397"/>
      <c r="S397"/>
      <c r="U397"/>
    </row>
    <row r="398" spans="2:53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53" x14ac:dyDescent="0.25">
      <c r="N399" s="9"/>
      <c r="P399" s="13"/>
      <c r="Q399" s="13"/>
      <c r="R399" s="13"/>
      <c r="S399" s="13"/>
      <c r="U399"/>
    </row>
    <row r="400" spans="2:53" x14ac:dyDescent="0.25">
      <c r="B400" s="2" t="s">
        <v>5</v>
      </c>
      <c r="C400" s="2">
        <v>2025</v>
      </c>
      <c r="D400" s="1">
        <v>208339</v>
      </c>
      <c r="E400" s="11">
        <v>4939663.9000000013</v>
      </c>
      <c r="F400" s="1">
        <v>134161</v>
      </c>
      <c r="G400" s="11">
        <v>2912649.38</v>
      </c>
      <c r="H400" s="1">
        <v>7864</v>
      </c>
      <c r="I400" s="11">
        <v>189382.19</v>
      </c>
      <c r="J400" s="45">
        <v>0</v>
      </c>
      <c r="K400" s="11">
        <v>0</v>
      </c>
      <c r="L400" s="1">
        <f t="shared" ref="L400:L411" si="216">+D400+F400+H400+J400</f>
        <v>350364</v>
      </c>
      <c r="M400" s="11">
        <f t="shared" ref="M400:M411" si="217">+E400+G400+I400+K400</f>
        <v>8041695.4700000016</v>
      </c>
      <c r="N400" s="39">
        <f t="shared" ref="N400:N411" si="218">+L400-D378</f>
        <v>0</v>
      </c>
      <c r="O400" s="13">
        <f t="shared" ref="O400:O411" si="219"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2025</v>
      </c>
      <c r="D401" s="1">
        <v>208825</v>
      </c>
      <c r="E401" s="11">
        <v>5075252.58</v>
      </c>
      <c r="F401" s="1">
        <v>138466</v>
      </c>
      <c r="G401" s="11">
        <v>3144872.8499999996</v>
      </c>
      <c r="H401" s="1">
        <v>7202</v>
      </c>
      <c r="I401" s="11">
        <v>175483.92000000004</v>
      </c>
      <c r="J401" s="45">
        <v>0</v>
      </c>
      <c r="K401" s="11">
        <v>0</v>
      </c>
      <c r="L401" s="1">
        <f t="shared" si="216"/>
        <v>354493</v>
      </c>
      <c r="M401" s="11">
        <f t="shared" si="217"/>
        <v>8395609.3499999996</v>
      </c>
      <c r="N401" s="39">
        <f t="shared" si="218"/>
        <v>0</v>
      </c>
      <c r="O401" s="13">
        <f t="shared" si="219"/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2025</v>
      </c>
      <c r="D402" s="1">
        <v>242483</v>
      </c>
      <c r="E402" s="11">
        <v>5983604.5399999972</v>
      </c>
      <c r="F402" s="1">
        <v>152698</v>
      </c>
      <c r="G402" s="11">
        <v>3487752.4499999993</v>
      </c>
      <c r="H402" s="1">
        <v>7961</v>
      </c>
      <c r="I402" s="11">
        <v>194112.83999999997</v>
      </c>
      <c r="J402" s="45">
        <v>0</v>
      </c>
      <c r="K402" s="11">
        <v>0</v>
      </c>
      <c r="L402" s="1">
        <f t="shared" si="216"/>
        <v>403142</v>
      </c>
      <c r="M402" s="11">
        <f t="shared" si="217"/>
        <v>9665469.8299999963</v>
      </c>
      <c r="N402" s="39">
        <f t="shared" si="218"/>
        <v>0</v>
      </c>
      <c r="O402" s="13">
        <f t="shared" si="219"/>
        <v>0</v>
      </c>
      <c r="P402"/>
      <c r="Q402"/>
      <c r="R402"/>
      <c r="S402" s="13"/>
    </row>
    <row r="403" spans="2:19" x14ac:dyDescent="0.25">
      <c r="B403" s="2" t="s">
        <v>8</v>
      </c>
      <c r="C403" s="2">
        <v>2025</v>
      </c>
      <c r="D403" s="1">
        <v>221095</v>
      </c>
      <c r="E403" s="11">
        <v>5577715.5799999991</v>
      </c>
      <c r="F403" s="1">
        <v>131594</v>
      </c>
      <c r="G403" s="11">
        <v>3005628.5000000005</v>
      </c>
      <c r="H403" s="1">
        <v>6706</v>
      </c>
      <c r="I403" s="11">
        <v>163788.20999999996</v>
      </c>
      <c r="J403" s="45">
        <v>0</v>
      </c>
      <c r="K403" s="11">
        <v>0</v>
      </c>
      <c r="L403" s="1">
        <f t="shared" si="216"/>
        <v>359395</v>
      </c>
      <c r="M403" s="11">
        <f t="shared" si="217"/>
        <v>8747132.2899999991</v>
      </c>
      <c r="N403" s="39">
        <f t="shared" si="218"/>
        <v>0</v>
      </c>
      <c r="O403" s="13">
        <f t="shared" si="219"/>
        <v>0</v>
      </c>
      <c r="P403"/>
      <c r="Q403"/>
      <c r="R403"/>
      <c r="S403"/>
    </row>
    <row r="404" spans="2:19" x14ac:dyDescent="0.25">
      <c r="B404" s="2" t="s">
        <v>9</v>
      </c>
      <c r="C404" s="2">
        <v>2025</v>
      </c>
      <c r="D404" s="1">
        <v>243665</v>
      </c>
      <c r="E404" s="11">
        <v>5997551.6400000015</v>
      </c>
      <c r="F404" s="1">
        <v>144824</v>
      </c>
      <c r="G404" s="11">
        <v>3254446.3700000006</v>
      </c>
      <c r="H404" s="1">
        <v>8760</v>
      </c>
      <c r="I404" s="11">
        <v>209748.31999999995</v>
      </c>
      <c r="J404" s="45">
        <v>0</v>
      </c>
      <c r="K404" s="11">
        <v>0</v>
      </c>
      <c r="L404" s="1">
        <f t="shared" si="216"/>
        <v>397249</v>
      </c>
      <c r="M404" s="11">
        <f t="shared" si="217"/>
        <v>9461746.3300000019</v>
      </c>
      <c r="N404" s="39">
        <f t="shared" si="218"/>
        <v>0</v>
      </c>
      <c r="O404" s="13">
        <f t="shared" si="219"/>
        <v>0</v>
      </c>
      <c r="P404"/>
      <c r="Q404"/>
      <c r="R404"/>
      <c r="S404"/>
    </row>
    <row r="405" spans="2:19" x14ac:dyDescent="0.25">
      <c r="B405" s="2" t="s">
        <v>10</v>
      </c>
      <c r="C405" s="2">
        <v>2025</v>
      </c>
      <c r="D405" s="1">
        <v>228948</v>
      </c>
      <c r="E405" s="11">
        <v>5588599.5799999982</v>
      </c>
      <c r="F405" s="1">
        <v>134789</v>
      </c>
      <c r="G405" s="11">
        <v>2991895.9300000006</v>
      </c>
      <c r="H405" s="1">
        <v>11035</v>
      </c>
      <c r="I405" s="11">
        <v>261675.65</v>
      </c>
      <c r="J405" s="45">
        <v>0</v>
      </c>
      <c r="K405" s="11">
        <v>0</v>
      </c>
      <c r="L405" s="1">
        <f t="shared" si="216"/>
        <v>374772</v>
      </c>
      <c r="M405" s="11">
        <f t="shared" si="217"/>
        <v>8842171.1599999983</v>
      </c>
      <c r="N405" s="39">
        <f t="shared" si="218"/>
        <v>0</v>
      </c>
      <c r="O405" s="13">
        <f t="shared" si="219"/>
        <v>0</v>
      </c>
      <c r="P405"/>
      <c r="Q405"/>
      <c r="R405"/>
      <c r="S405"/>
    </row>
    <row r="406" spans="2:19" x14ac:dyDescent="0.25">
      <c r="B406" s="2" t="s">
        <v>11</v>
      </c>
      <c r="C406" s="2">
        <v>2025</v>
      </c>
      <c r="D406" s="1">
        <v>217936</v>
      </c>
      <c r="E406" s="11">
        <v>5420030.4999999991</v>
      </c>
      <c r="F406" s="1">
        <v>129631</v>
      </c>
      <c r="G406" s="11">
        <v>2990590.9699999993</v>
      </c>
      <c r="H406" s="1">
        <v>7135</v>
      </c>
      <c r="I406" s="11">
        <v>171337.91999999998</v>
      </c>
      <c r="J406" s="45">
        <v>0</v>
      </c>
      <c r="K406" s="11">
        <v>0</v>
      </c>
      <c r="L406" s="1">
        <f t="shared" si="216"/>
        <v>354702</v>
      </c>
      <c r="M406" s="11">
        <f t="shared" si="217"/>
        <v>8581959.3899999987</v>
      </c>
      <c r="N406" s="39">
        <f t="shared" si="218"/>
        <v>0</v>
      </c>
      <c r="O406" s="13">
        <f t="shared" si="219"/>
        <v>0</v>
      </c>
      <c r="P406"/>
      <c r="Q406"/>
      <c r="R406"/>
      <c r="S406"/>
    </row>
    <row r="407" spans="2:19" x14ac:dyDescent="0.25">
      <c r="B407" s="2" t="s">
        <v>4</v>
      </c>
      <c r="C407" s="2">
        <v>2025</v>
      </c>
      <c r="D407" s="1">
        <v>240472</v>
      </c>
      <c r="E407" s="11">
        <v>5978161.7700000023</v>
      </c>
      <c r="F407" s="1">
        <v>150670</v>
      </c>
      <c r="G407" s="11">
        <v>3441970.5199999996</v>
      </c>
      <c r="H407" s="1">
        <v>7407</v>
      </c>
      <c r="I407" s="11">
        <v>176203.49999999997</v>
      </c>
      <c r="J407" s="45">
        <v>0</v>
      </c>
      <c r="K407" s="11">
        <v>0</v>
      </c>
      <c r="L407" s="1">
        <f t="shared" si="216"/>
        <v>398549</v>
      </c>
      <c r="M407" s="11">
        <f t="shared" si="217"/>
        <v>9596335.7900000028</v>
      </c>
      <c r="N407" s="39">
        <f t="shared" si="218"/>
        <v>0</v>
      </c>
      <c r="O407" s="13">
        <f t="shared" si="219"/>
        <v>0</v>
      </c>
      <c r="P407"/>
      <c r="Q407"/>
      <c r="R407"/>
      <c r="S407"/>
    </row>
    <row r="408" spans="2:19" x14ac:dyDescent="0.25">
      <c r="B408" s="2" t="s">
        <v>28</v>
      </c>
      <c r="C408" s="2">
        <v>2025</v>
      </c>
      <c r="D408" s="1">
        <v>226807</v>
      </c>
      <c r="E408" s="14">
        <v>5469345.9899999993</v>
      </c>
      <c r="F408" s="1">
        <v>139287</v>
      </c>
      <c r="G408" s="14">
        <v>3086336.0999999996</v>
      </c>
      <c r="H408" s="1">
        <v>7712</v>
      </c>
      <c r="I408" s="14">
        <v>178423.39999999997</v>
      </c>
      <c r="J408" s="45">
        <v>0</v>
      </c>
      <c r="K408" s="11">
        <v>0</v>
      </c>
      <c r="L408" s="1">
        <f t="shared" si="216"/>
        <v>373806</v>
      </c>
      <c r="M408" s="11">
        <f t="shared" si="217"/>
        <v>8734105.4900000002</v>
      </c>
      <c r="N408" s="39">
        <f t="shared" si="218"/>
        <v>0</v>
      </c>
      <c r="O408" s="13">
        <f t="shared" si="219"/>
        <v>0</v>
      </c>
      <c r="P408"/>
      <c r="Q408"/>
      <c r="R408"/>
      <c r="S408"/>
    </row>
    <row r="409" spans="2:19" x14ac:dyDescent="0.25">
      <c r="B409" s="2" t="s">
        <v>29</v>
      </c>
      <c r="C409" s="2">
        <v>2025</v>
      </c>
      <c r="D409" s="1">
        <v>253222</v>
      </c>
      <c r="E409" s="11">
        <v>6106781.4900000002</v>
      </c>
      <c r="F409" s="1">
        <v>161018</v>
      </c>
      <c r="G409" s="11">
        <v>3552422</v>
      </c>
      <c r="H409" s="1">
        <v>8633</v>
      </c>
      <c r="I409" s="11">
        <v>194595.34999999998</v>
      </c>
      <c r="J409" s="45">
        <v>0</v>
      </c>
      <c r="K409" s="11">
        <v>0</v>
      </c>
      <c r="L409" s="1">
        <f t="shared" si="216"/>
        <v>422873</v>
      </c>
      <c r="M409" s="11">
        <f t="shared" si="217"/>
        <v>9853798.8399999999</v>
      </c>
      <c r="N409" s="39">
        <f t="shared" si="218"/>
        <v>0</v>
      </c>
      <c r="O409" s="13">
        <f t="shared" si="219"/>
        <v>0</v>
      </c>
      <c r="P409"/>
      <c r="Q409"/>
      <c r="R409"/>
      <c r="S409"/>
    </row>
    <row r="410" spans="2:19" x14ac:dyDescent="0.25">
      <c r="B410" s="2" t="s">
        <v>30</v>
      </c>
      <c r="C410" s="2">
        <v>2025</v>
      </c>
      <c r="D410" s="1">
        <v>244204</v>
      </c>
      <c r="E410" s="11">
        <v>6010653.2500000009</v>
      </c>
      <c r="F410" s="1">
        <v>151427</v>
      </c>
      <c r="G410" s="11">
        <v>3363787.2800000003</v>
      </c>
      <c r="H410" s="1">
        <v>8625</v>
      </c>
      <c r="I410" s="11">
        <v>197252.00999999998</v>
      </c>
      <c r="J410" s="45"/>
      <c r="K410" s="11"/>
      <c r="L410" s="1">
        <f t="shared" si="216"/>
        <v>404256</v>
      </c>
      <c r="M410" s="11">
        <f t="shared" si="217"/>
        <v>9571692.540000001</v>
      </c>
      <c r="N410" s="39">
        <f t="shared" si="218"/>
        <v>0</v>
      </c>
      <c r="O410" s="13">
        <f t="shared" si="219"/>
        <v>0</v>
      </c>
      <c r="P410"/>
      <c r="Q410"/>
      <c r="R410"/>
      <c r="S410"/>
    </row>
    <row r="411" spans="2:19" x14ac:dyDescent="0.25">
      <c r="B411" s="2" t="s">
        <v>31</v>
      </c>
      <c r="C411" s="2">
        <v>2025</v>
      </c>
      <c r="D411" s="1">
        <v>231644</v>
      </c>
      <c r="E411" s="11">
        <v>5764667.9200000009</v>
      </c>
      <c r="F411" s="1">
        <v>138564</v>
      </c>
      <c r="G411" s="11">
        <v>3076288.8899999997</v>
      </c>
      <c r="H411" s="1">
        <v>8941</v>
      </c>
      <c r="I411" s="11">
        <v>209400.38</v>
      </c>
      <c r="J411" s="45"/>
      <c r="K411" s="11"/>
      <c r="L411" s="1">
        <f t="shared" si="216"/>
        <v>379149</v>
      </c>
      <c r="M411" s="11">
        <f t="shared" si="217"/>
        <v>9050357.1900000013</v>
      </c>
      <c r="N411" s="39">
        <f t="shared" si="218"/>
        <v>0</v>
      </c>
      <c r="O411" s="13">
        <f t="shared" si="219"/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88" t="s">
        <v>12</v>
      </c>
      <c r="C413" s="88"/>
      <c r="D413" s="4">
        <f>SUM(D400:D412)</f>
        <v>2767640</v>
      </c>
      <c r="E413" s="12">
        <f>SUM(E400:E412)</f>
        <v>67912028.739999995</v>
      </c>
      <c r="F413" s="4">
        <f t="shared" ref="F413:M413" si="220">SUM(F400:F412)</f>
        <v>1707129</v>
      </c>
      <c r="G413" s="12">
        <f t="shared" si="220"/>
        <v>38308641.240000002</v>
      </c>
      <c r="H413" s="4">
        <f t="shared" si="220"/>
        <v>97981</v>
      </c>
      <c r="I413" s="12">
        <f t="shared" si="220"/>
        <v>2321403.6899999995</v>
      </c>
      <c r="J413" s="4">
        <f t="shared" si="220"/>
        <v>0</v>
      </c>
      <c r="K413" s="12">
        <f t="shared" si="220"/>
        <v>0</v>
      </c>
      <c r="L413" s="4">
        <f t="shared" si="220"/>
        <v>4572750</v>
      </c>
      <c r="M413" s="12">
        <f t="shared" si="220"/>
        <v>108542073.67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0"/>
      <c r="F418" s="89" t="s">
        <v>72</v>
      </c>
      <c r="G418" s="90"/>
      <c r="H418" s="89" t="s">
        <v>16</v>
      </c>
      <c r="I418" s="90"/>
      <c r="J418" s="89" t="s">
        <v>73</v>
      </c>
      <c r="K418" s="90"/>
      <c r="L418" s="89" t="s">
        <v>70</v>
      </c>
      <c r="M418" s="90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2025</v>
      </c>
      <c r="D421" s="1">
        <v>738556</v>
      </c>
      <c r="E421" s="11">
        <v>141536073</v>
      </c>
      <c r="F421" s="1">
        <v>383884</v>
      </c>
      <c r="G421" s="11">
        <v>84801763</v>
      </c>
      <c r="H421" s="1">
        <v>544311</v>
      </c>
      <c r="I421" s="11">
        <v>140258115</v>
      </c>
      <c r="J421" s="1">
        <v>0</v>
      </c>
      <c r="K421" s="11">
        <v>0</v>
      </c>
      <c r="L421" s="1">
        <f t="shared" ref="L421:L432" si="221">+D421+F421+H421+J421</f>
        <v>1666751</v>
      </c>
      <c r="M421" s="11">
        <f t="shared" ref="M421:M432" si="222">+E421+G421+I421+K421</f>
        <v>366595951</v>
      </c>
      <c r="N421" s="39">
        <f t="shared" ref="N421:N432" si="223">+L421-F378</f>
        <v>0</v>
      </c>
      <c r="O421" s="13">
        <f t="shared" ref="O421:O432" si="224">+M421-G378</f>
        <v>0</v>
      </c>
    </row>
    <row r="422" spans="2:15" x14ac:dyDescent="0.25">
      <c r="B422" s="2" t="s">
        <v>6</v>
      </c>
      <c r="C422" s="2">
        <v>2025</v>
      </c>
      <c r="D422" s="1">
        <v>665902</v>
      </c>
      <c r="E422" s="11">
        <v>128888995.09</v>
      </c>
      <c r="F422" s="1">
        <v>360378</v>
      </c>
      <c r="G422" s="11">
        <v>79546668.599999994</v>
      </c>
      <c r="H422" s="1">
        <v>474508</v>
      </c>
      <c r="I422" s="11">
        <v>122760029.66999999</v>
      </c>
      <c r="J422" s="1">
        <v>0</v>
      </c>
      <c r="K422" s="11">
        <v>0</v>
      </c>
      <c r="L422" s="1">
        <f t="shared" si="221"/>
        <v>1500788</v>
      </c>
      <c r="M422" s="11">
        <f t="shared" si="222"/>
        <v>331195693.36000001</v>
      </c>
      <c r="N422" s="39">
        <f t="shared" si="223"/>
        <v>0</v>
      </c>
      <c r="O422" s="13">
        <f t="shared" si="224"/>
        <v>0</v>
      </c>
    </row>
    <row r="423" spans="2:15" x14ac:dyDescent="0.25">
      <c r="B423" s="2" t="s">
        <v>7</v>
      </c>
      <c r="C423" s="2">
        <v>2025</v>
      </c>
      <c r="D423" s="1">
        <v>786480</v>
      </c>
      <c r="E423" s="11">
        <v>155239264.67000002</v>
      </c>
      <c r="F423" s="1">
        <v>411264</v>
      </c>
      <c r="G423" s="11">
        <v>91387007.13000001</v>
      </c>
      <c r="H423" s="1">
        <v>549461</v>
      </c>
      <c r="I423" s="11">
        <v>146489623.16999999</v>
      </c>
      <c r="J423" s="1">
        <v>0</v>
      </c>
      <c r="K423" s="11">
        <v>0</v>
      </c>
      <c r="L423" s="1">
        <f t="shared" si="221"/>
        <v>1747205</v>
      </c>
      <c r="M423" s="11">
        <f t="shared" si="222"/>
        <v>393115894.97000003</v>
      </c>
      <c r="N423" s="39">
        <f t="shared" si="223"/>
        <v>0</v>
      </c>
      <c r="O423" s="13">
        <f t="shared" si="224"/>
        <v>0</v>
      </c>
    </row>
    <row r="424" spans="2:15" x14ac:dyDescent="0.25">
      <c r="B424" s="2" t="s">
        <v>8</v>
      </c>
      <c r="C424" s="2">
        <v>2025</v>
      </c>
      <c r="D424" s="1">
        <v>794791</v>
      </c>
      <c r="E424" s="11">
        <v>153824838.62</v>
      </c>
      <c r="F424" s="1">
        <v>384084</v>
      </c>
      <c r="G424" s="11">
        <v>84446331.679999992</v>
      </c>
      <c r="H424" s="1">
        <v>551507</v>
      </c>
      <c r="I424" s="11">
        <v>146909923.66</v>
      </c>
      <c r="J424" s="1">
        <v>0</v>
      </c>
      <c r="K424" s="11">
        <v>0</v>
      </c>
      <c r="L424" s="1">
        <f t="shared" si="221"/>
        <v>1730382</v>
      </c>
      <c r="M424" s="11">
        <f t="shared" si="222"/>
        <v>385181093.96000004</v>
      </c>
      <c r="N424" s="39">
        <f t="shared" si="223"/>
        <v>0</v>
      </c>
      <c r="O424" s="13">
        <f t="shared" si="224"/>
        <v>0</v>
      </c>
    </row>
    <row r="425" spans="2:15" x14ac:dyDescent="0.25">
      <c r="B425" s="2" t="s">
        <v>9</v>
      </c>
      <c r="C425" s="2">
        <v>2025</v>
      </c>
      <c r="D425" s="1">
        <v>823651</v>
      </c>
      <c r="E425" s="11">
        <v>162981160.40999997</v>
      </c>
      <c r="F425" s="1">
        <v>417045</v>
      </c>
      <c r="G425" s="11">
        <v>91742148.669999987</v>
      </c>
      <c r="H425" s="1">
        <v>553872</v>
      </c>
      <c r="I425" s="11">
        <v>144634371</v>
      </c>
      <c r="J425" s="1">
        <v>0</v>
      </c>
      <c r="K425" s="11">
        <v>0</v>
      </c>
      <c r="L425" s="1">
        <f t="shared" si="221"/>
        <v>1794568</v>
      </c>
      <c r="M425" s="11">
        <f t="shared" si="222"/>
        <v>399357680.07999992</v>
      </c>
      <c r="N425" s="39">
        <f t="shared" si="223"/>
        <v>0</v>
      </c>
      <c r="O425" s="13">
        <f t="shared" si="224"/>
        <v>0</v>
      </c>
    </row>
    <row r="426" spans="2:15" x14ac:dyDescent="0.25">
      <c r="B426" s="2" t="s">
        <v>10</v>
      </c>
      <c r="C426" s="2">
        <v>2025</v>
      </c>
      <c r="D426" s="1">
        <v>751121</v>
      </c>
      <c r="E426" s="11">
        <v>146475466.50999996</v>
      </c>
      <c r="F426" s="1">
        <v>384514</v>
      </c>
      <c r="G426" s="11">
        <v>83731926.200000003</v>
      </c>
      <c r="H426" s="1">
        <v>518799</v>
      </c>
      <c r="I426" s="11">
        <v>134960311.19</v>
      </c>
      <c r="J426" s="1">
        <v>0</v>
      </c>
      <c r="K426" s="11">
        <v>0</v>
      </c>
      <c r="L426" s="1">
        <f t="shared" si="221"/>
        <v>1654434</v>
      </c>
      <c r="M426" s="11">
        <f t="shared" si="222"/>
        <v>365167703.89999998</v>
      </c>
      <c r="N426" s="39">
        <f t="shared" si="223"/>
        <v>0</v>
      </c>
      <c r="O426" s="13">
        <f t="shared" si="224"/>
        <v>0</v>
      </c>
    </row>
    <row r="427" spans="2:15" x14ac:dyDescent="0.25">
      <c r="B427" s="2" t="s">
        <v>11</v>
      </c>
      <c r="C427" s="2">
        <v>2025</v>
      </c>
      <c r="D427" s="1">
        <v>825118</v>
      </c>
      <c r="E427" s="11">
        <v>157526111.36000001</v>
      </c>
      <c r="F427" s="1">
        <v>390626</v>
      </c>
      <c r="G427" s="11">
        <v>82656371.649999991</v>
      </c>
      <c r="H427" s="1">
        <v>549995</v>
      </c>
      <c r="I427" s="11">
        <v>144265137.46000001</v>
      </c>
      <c r="J427" s="1">
        <v>0</v>
      </c>
      <c r="K427" s="11">
        <v>0</v>
      </c>
      <c r="L427" s="1">
        <f t="shared" si="221"/>
        <v>1765739</v>
      </c>
      <c r="M427" s="11">
        <f t="shared" si="222"/>
        <v>384447620.47000003</v>
      </c>
      <c r="N427" s="39">
        <f t="shared" si="223"/>
        <v>0</v>
      </c>
      <c r="O427" s="13">
        <f t="shared" si="224"/>
        <v>0</v>
      </c>
    </row>
    <row r="428" spans="2:15" x14ac:dyDescent="0.25">
      <c r="B428" s="2" t="s">
        <v>4</v>
      </c>
      <c r="C428" s="2">
        <v>2025</v>
      </c>
      <c r="D428" s="1">
        <v>824404</v>
      </c>
      <c r="E428" s="11">
        <v>158662554.37</v>
      </c>
      <c r="F428" s="1">
        <v>387271</v>
      </c>
      <c r="G428" s="11">
        <v>81644210.210000008</v>
      </c>
      <c r="H428" s="1">
        <v>555436</v>
      </c>
      <c r="I428" s="11">
        <v>144513420.80999997</v>
      </c>
      <c r="J428" s="1">
        <v>0</v>
      </c>
      <c r="K428" s="11">
        <v>0</v>
      </c>
      <c r="L428" s="1">
        <f t="shared" si="221"/>
        <v>1767111</v>
      </c>
      <c r="M428" s="11">
        <f t="shared" si="222"/>
        <v>384820185.38999999</v>
      </c>
      <c r="N428" s="39">
        <f t="shared" si="223"/>
        <v>0</v>
      </c>
      <c r="O428" s="13">
        <f t="shared" si="224"/>
        <v>0</v>
      </c>
    </row>
    <row r="429" spans="2:15" x14ac:dyDescent="0.25">
      <c r="B429" s="2" t="s">
        <v>28</v>
      </c>
      <c r="C429" s="2">
        <v>2025</v>
      </c>
      <c r="D429" s="1">
        <v>739374</v>
      </c>
      <c r="E429" s="14">
        <v>140081304.57000002</v>
      </c>
      <c r="F429" s="1">
        <v>366265</v>
      </c>
      <c r="G429" s="14">
        <v>75915510.900000006</v>
      </c>
      <c r="H429" s="1">
        <v>528166</v>
      </c>
      <c r="I429" s="14">
        <v>134265647.77000001</v>
      </c>
      <c r="J429" s="1">
        <v>0</v>
      </c>
      <c r="K429" s="11">
        <v>0</v>
      </c>
      <c r="L429" s="1">
        <f t="shared" si="221"/>
        <v>1633805</v>
      </c>
      <c r="M429" s="11">
        <f t="shared" si="222"/>
        <v>350262463.24000001</v>
      </c>
      <c r="N429" s="39">
        <f t="shared" si="223"/>
        <v>0</v>
      </c>
      <c r="O429" s="13">
        <f t="shared" si="224"/>
        <v>0</v>
      </c>
    </row>
    <row r="430" spans="2:15" x14ac:dyDescent="0.25">
      <c r="B430" s="2" t="s">
        <v>29</v>
      </c>
      <c r="C430" s="2">
        <v>2025</v>
      </c>
      <c r="D430" s="1">
        <v>818877</v>
      </c>
      <c r="E430" s="11">
        <v>156962538.94</v>
      </c>
      <c r="F430" s="1">
        <v>417350</v>
      </c>
      <c r="G430" s="11">
        <v>85618660.310000002</v>
      </c>
      <c r="H430" s="1">
        <v>546163</v>
      </c>
      <c r="I430" s="11">
        <v>135709822.63999999</v>
      </c>
      <c r="J430" s="1">
        <v>0</v>
      </c>
      <c r="K430" s="11">
        <v>0</v>
      </c>
      <c r="L430" s="1">
        <f t="shared" si="221"/>
        <v>1782390</v>
      </c>
      <c r="M430" s="11">
        <f t="shared" si="222"/>
        <v>378291021.88999999</v>
      </c>
      <c r="N430" s="39">
        <f t="shared" si="223"/>
        <v>0</v>
      </c>
      <c r="O430" s="13">
        <f t="shared" si="224"/>
        <v>0</v>
      </c>
    </row>
    <row r="431" spans="2:15" x14ac:dyDescent="0.25">
      <c r="B431" s="2" t="s">
        <v>30</v>
      </c>
      <c r="C431" s="2">
        <v>2025</v>
      </c>
      <c r="D431" s="1">
        <v>791324</v>
      </c>
      <c r="E431" s="11">
        <v>152522643.53999999</v>
      </c>
      <c r="F431" s="1">
        <v>391750</v>
      </c>
      <c r="G431" s="11">
        <v>81619546.270000026</v>
      </c>
      <c r="H431" s="1">
        <v>539204</v>
      </c>
      <c r="I431" s="11">
        <v>135918929.16000003</v>
      </c>
      <c r="J431" s="1">
        <v>0</v>
      </c>
      <c r="K431" s="11">
        <v>0</v>
      </c>
      <c r="L431" s="1">
        <f t="shared" si="221"/>
        <v>1722278</v>
      </c>
      <c r="M431" s="11">
        <f t="shared" si="222"/>
        <v>370061118.97000003</v>
      </c>
      <c r="N431" s="39">
        <f t="shared" si="223"/>
        <v>0</v>
      </c>
      <c r="O431" s="13">
        <f t="shared" si="224"/>
        <v>0</v>
      </c>
    </row>
    <row r="432" spans="2:15" x14ac:dyDescent="0.25">
      <c r="B432" s="2" t="s">
        <v>31</v>
      </c>
      <c r="C432" s="2">
        <v>2025</v>
      </c>
      <c r="D432" s="1">
        <v>850523</v>
      </c>
      <c r="E432" s="11">
        <v>160262589.10000002</v>
      </c>
      <c r="F432" s="1">
        <v>383970</v>
      </c>
      <c r="G432" s="11">
        <v>79675138.290000007</v>
      </c>
      <c r="H432" s="1">
        <v>594796</v>
      </c>
      <c r="I432" s="11">
        <v>154769347.65000001</v>
      </c>
      <c r="J432" s="1">
        <v>0</v>
      </c>
      <c r="K432" s="11">
        <v>0</v>
      </c>
      <c r="L432" s="1">
        <f t="shared" si="221"/>
        <v>1829289</v>
      </c>
      <c r="M432" s="11">
        <f t="shared" si="222"/>
        <v>394707075.04000008</v>
      </c>
      <c r="N432" s="39">
        <f t="shared" si="223"/>
        <v>0</v>
      </c>
      <c r="O432" s="13">
        <f t="shared" si="224"/>
        <v>0</v>
      </c>
    </row>
    <row r="434" spans="2:15" x14ac:dyDescent="0.25">
      <c r="B434" s="88" t="s">
        <v>12</v>
      </c>
      <c r="C434" s="88"/>
      <c r="D434" s="4">
        <f>SUM(D421:D433)</f>
        <v>9410121</v>
      </c>
      <c r="E434" s="12">
        <f>SUM(E421:E433)</f>
        <v>1814963540.1800003</v>
      </c>
      <c r="F434" s="4">
        <f t="shared" ref="F434:M434" si="225">SUM(F421:F433)</f>
        <v>4678401</v>
      </c>
      <c r="G434" s="12">
        <f t="shared" si="225"/>
        <v>1002785282.9100001</v>
      </c>
      <c r="H434" s="4">
        <f t="shared" si="225"/>
        <v>6506218</v>
      </c>
      <c r="I434" s="12">
        <f t="shared" si="225"/>
        <v>1685454679.1800001</v>
      </c>
      <c r="J434" s="4">
        <f t="shared" si="225"/>
        <v>0</v>
      </c>
      <c r="K434" s="12">
        <f t="shared" si="225"/>
        <v>0</v>
      </c>
      <c r="L434" s="4">
        <f t="shared" si="225"/>
        <v>20594740</v>
      </c>
      <c r="M434" s="12">
        <f t="shared" si="225"/>
        <v>4503203502.2699995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0"/>
      <c r="F439" s="89" t="s">
        <v>72</v>
      </c>
      <c r="G439" s="90"/>
      <c r="H439" s="89" t="s">
        <v>16</v>
      </c>
      <c r="I439" s="90"/>
      <c r="J439" s="89" t="s">
        <v>73</v>
      </c>
      <c r="K439" s="90"/>
      <c r="L439" s="89" t="s">
        <v>70</v>
      </c>
      <c r="M439" s="90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2025</v>
      </c>
      <c r="D442" s="1">
        <v>99077</v>
      </c>
      <c r="E442" s="11">
        <v>4144302</v>
      </c>
      <c r="F442" s="1">
        <v>16797</v>
      </c>
      <c r="G442" s="11">
        <v>1180115</v>
      </c>
      <c r="H442" s="1">
        <v>65971</v>
      </c>
      <c r="I442" s="11">
        <v>3424714</v>
      </c>
      <c r="J442" s="1">
        <v>0</v>
      </c>
      <c r="K442" s="11">
        <v>0</v>
      </c>
      <c r="L442" s="1">
        <f t="shared" ref="L442:L453" si="226">+D442+F442+H442+J442</f>
        <v>181845</v>
      </c>
      <c r="M442" s="11">
        <f t="shared" ref="M442:M453" si="227">+E442+G442+I442+K442</f>
        <v>8749131</v>
      </c>
      <c r="N442" s="39">
        <f t="shared" ref="N442:N453" si="228">+L442-H378</f>
        <v>0</v>
      </c>
      <c r="O442" s="13">
        <f t="shared" ref="O442:O453" si="229">+M442-I378</f>
        <v>0</v>
      </c>
    </row>
    <row r="443" spans="2:15" x14ac:dyDescent="0.25">
      <c r="B443" s="2" t="s">
        <v>6</v>
      </c>
      <c r="C443" s="2">
        <v>2025</v>
      </c>
      <c r="D443" s="1">
        <v>87106</v>
      </c>
      <c r="E443" s="11">
        <v>3774085</v>
      </c>
      <c r="F443" s="1">
        <v>15048</v>
      </c>
      <c r="G443" s="11">
        <v>1066556</v>
      </c>
      <c r="H443" s="1">
        <v>57531</v>
      </c>
      <c r="I443" s="11">
        <v>2980331</v>
      </c>
      <c r="J443" s="1">
        <v>0</v>
      </c>
      <c r="K443" s="11">
        <v>0</v>
      </c>
      <c r="L443" s="1">
        <f t="shared" si="226"/>
        <v>159685</v>
      </c>
      <c r="M443" s="11">
        <f t="shared" si="227"/>
        <v>7820972</v>
      </c>
      <c r="N443" s="39">
        <f t="shared" si="228"/>
        <v>0</v>
      </c>
      <c r="O443" s="13">
        <f t="shared" si="229"/>
        <v>0</v>
      </c>
    </row>
    <row r="444" spans="2:15" x14ac:dyDescent="0.25">
      <c r="B444" s="2" t="s">
        <v>7</v>
      </c>
      <c r="C444" s="2">
        <v>2025</v>
      </c>
      <c r="D444" s="1">
        <v>114870</v>
      </c>
      <c r="E444" s="11">
        <v>4737469</v>
      </c>
      <c r="F444" s="1">
        <v>17026</v>
      </c>
      <c r="G444" s="11">
        <v>1209587</v>
      </c>
      <c r="H444" s="1">
        <v>64166</v>
      </c>
      <c r="I444" s="11">
        <v>3325110</v>
      </c>
      <c r="J444" s="1">
        <v>0</v>
      </c>
      <c r="K444" s="11">
        <v>0</v>
      </c>
      <c r="L444" s="1">
        <f t="shared" si="226"/>
        <v>196062</v>
      </c>
      <c r="M444" s="11">
        <f t="shared" si="227"/>
        <v>9272166</v>
      </c>
      <c r="N444" s="39">
        <f t="shared" si="228"/>
        <v>0</v>
      </c>
      <c r="O444" s="13">
        <f t="shared" si="229"/>
        <v>0</v>
      </c>
    </row>
    <row r="445" spans="2:15" x14ac:dyDescent="0.25">
      <c r="B445" s="2" t="s">
        <v>8</v>
      </c>
      <c r="C445" s="2">
        <v>2025</v>
      </c>
      <c r="D445" s="1">
        <v>108615</v>
      </c>
      <c r="E445" s="11">
        <v>4455851</v>
      </c>
      <c r="F445" s="1">
        <v>16666</v>
      </c>
      <c r="G445" s="11">
        <v>1147763</v>
      </c>
      <c r="H445" s="1">
        <v>67845</v>
      </c>
      <c r="I445" s="11">
        <v>3458222</v>
      </c>
      <c r="J445" s="1">
        <v>0</v>
      </c>
      <c r="K445" s="11">
        <v>0</v>
      </c>
      <c r="L445" s="1">
        <f t="shared" si="226"/>
        <v>193126</v>
      </c>
      <c r="M445" s="11">
        <f t="shared" si="227"/>
        <v>9061836</v>
      </c>
      <c r="N445" s="39">
        <f t="shared" si="228"/>
        <v>0</v>
      </c>
      <c r="O445" s="13">
        <f t="shared" si="229"/>
        <v>0</v>
      </c>
    </row>
    <row r="446" spans="2:15" x14ac:dyDescent="0.25">
      <c r="B446" s="2" t="s">
        <v>9</v>
      </c>
      <c r="C446" s="2">
        <v>2025</v>
      </c>
      <c r="D446" s="1">
        <v>100084</v>
      </c>
      <c r="E446" s="11">
        <v>4256204</v>
      </c>
      <c r="F446" s="1">
        <v>16074</v>
      </c>
      <c r="G446" s="11">
        <v>1159129</v>
      </c>
      <c r="H446" s="1">
        <v>64848</v>
      </c>
      <c r="I446" s="11">
        <v>2985128</v>
      </c>
      <c r="J446" s="1">
        <v>0</v>
      </c>
      <c r="K446" s="11">
        <v>0</v>
      </c>
      <c r="L446" s="1">
        <f t="shared" si="226"/>
        <v>181006</v>
      </c>
      <c r="M446" s="11">
        <f t="shared" si="227"/>
        <v>8400461</v>
      </c>
      <c r="N446" s="39">
        <f t="shared" si="228"/>
        <v>0</v>
      </c>
      <c r="O446" s="13">
        <f t="shared" si="229"/>
        <v>0</v>
      </c>
    </row>
    <row r="447" spans="2:15" x14ac:dyDescent="0.25">
      <c r="B447" s="2" t="s">
        <v>10</v>
      </c>
      <c r="C447" s="2">
        <v>2025</v>
      </c>
      <c r="D447" s="1">
        <v>88078</v>
      </c>
      <c r="E447" s="11">
        <v>3719936</v>
      </c>
      <c r="F447" s="1">
        <v>15583</v>
      </c>
      <c r="G447" s="11">
        <v>1111309</v>
      </c>
      <c r="H447" s="1">
        <v>62237</v>
      </c>
      <c r="I447" s="11">
        <v>3221062</v>
      </c>
      <c r="J447" s="1">
        <v>0</v>
      </c>
      <c r="K447" s="11">
        <v>0</v>
      </c>
      <c r="L447" s="1">
        <f t="shared" si="226"/>
        <v>165898</v>
      </c>
      <c r="M447" s="11">
        <f t="shared" si="227"/>
        <v>8052307</v>
      </c>
      <c r="N447" s="39">
        <f t="shared" si="228"/>
        <v>0</v>
      </c>
      <c r="O447" s="13">
        <f t="shared" si="229"/>
        <v>0</v>
      </c>
    </row>
    <row r="448" spans="2:15" x14ac:dyDescent="0.25">
      <c r="B448" s="2" t="s">
        <v>11</v>
      </c>
      <c r="C448" s="2">
        <v>2025</v>
      </c>
      <c r="D448" s="1">
        <v>99234</v>
      </c>
      <c r="E448" s="11">
        <v>4130960</v>
      </c>
      <c r="F448" s="1">
        <v>16485</v>
      </c>
      <c r="G448" s="11">
        <v>1161819</v>
      </c>
      <c r="H448" s="1">
        <v>70518</v>
      </c>
      <c r="I448" s="11">
        <v>3657923</v>
      </c>
      <c r="J448" s="1">
        <v>0</v>
      </c>
      <c r="K448" s="11">
        <v>0</v>
      </c>
      <c r="L448" s="1">
        <f t="shared" si="226"/>
        <v>186237</v>
      </c>
      <c r="M448" s="11">
        <f t="shared" si="227"/>
        <v>8950702</v>
      </c>
      <c r="N448" s="39">
        <f t="shared" si="228"/>
        <v>0</v>
      </c>
      <c r="O448" s="13">
        <f t="shared" si="229"/>
        <v>0</v>
      </c>
    </row>
    <row r="449" spans="2:15" x14ac:dyDescent="0.25">
      <c r="B449" s="2" t="s">
        <v>4</v>
      </c>
      <c r="C449" s="2">
        <v>2025</v>
      </c>
      <c r="D449" s="1">
        <v>92560</v>
      </c>
      <c r="E449" s="11">
        <v>3836563</v>
      </c>
      <c r="F449" s="1">
        <v>15606</v>
      </c>
      <c r="G449" s="11">
        <v>1071111</v>
      </c>
      <c r="H449" s="1">
        <v>63207</v>
      </c>
      <c r="I449" s="11">
        <v>3283063</v>
      </c>
      <c r="J449" s="1">
        <v>0</v>
      </c>
      <c r="K449" s="11">
        <v>0</v>
      </c>
      <c r="L449" s="1">
        <f t="shared" si="226"/>
        <v>171373</v>
      </c>
      <c r="M449" s="11">
        <f t="shared" si="227"/>
        <v>8190737</v>
      </c>
      <c r="N449" s="39">
        <f t="shared" si="228"/>
        <v>0</v>
      </c>
      <c r="O449" s="13">
        <f t="shared" si="229"/>
        <v>0</v>
      </c>
    </row>
    <row r="450" spans="2:15" x14ac:dyDescent="0.25">
      <c r="B450" s="2" t="s">
        <v>28</v>
      </c>
      <c r="C450" s="2">
        <v>2025</v>
      </c>
      <c r="D450" s="1">
        <v>99161</v>
      </c>
      <c r="E450" s="14">
        <v>4045280</v>
      </c>
      <c r="F450" s="1">
        <v>15314</v>
      </c>
      <c r="G450" s="14">
        <v>1052435</v>
      </c>
      <c r="H450" s="1">
        <v>65853</v>
      </c>
      <c r="I450" s="14">
        <v>3343548</v>
      </c>
      <c r="J450" s="1">
        <v>0</v>
      </c>
      <c r="K450" s="11">
        <v>0</v>
      </c>
      <c r="L450" s="1">
        <f t="shared" si="226"/>
        <v>180328</v>
      </c>
      <c r="M450" s="11">
        <f t="shared" si="227"/>
        <v>8441263</v>
      </c>
      <c r="N450" s="39">
        <f t="shared" si="228"/>
        <v>0</v>
      </c>
      <c r="O450" s="13">
        <f t="shared" si="229"/>
        <v>0</v>
      </c>
    </row>
    <row r="451" spans="2:15" x14ac:dyDescent="0.25">
      <c r="B451" s="2" t="s">
        <v>29</v>
      </c>
      <c r="C451" s="2">
        <v>2025</v>
      </c>
      <c r="D451" s="1">
        <v>95103</v>
      </c>
      <c r="E451" s="11">
        <v>4009198</v>
      </c>
      <c r="F451" s="1">
        <v>15331</v>
      </c>
      <c r="G451" s="11">
        <v>1068944</v>
      </c>
      <c r="H451" s="1">
        <v>61522</v>
      </c>
      <c r="I451" s="11">
        <v>3101651</v>
      </c>
      <c r="J451" s="1">
        <v>0</v>
      </c>
      <c r="K451" s="11">
        <v>0</v>
      </c>
      <c r="L451" s="1">
        <f t="shared" si="226"/>
        <v>171956</v>
      </c>
      <c r="M451" s="11">
        <f t="shared" si="227"/>
        <v>8179793</v>
      </c>
      <c r="N451" s="39">
        <f t="shared" si="228"/>
        <v>0</v>
      </c>
      <c r="O451" s="13">
        <f t="shared" si="229"/>
        <v>0</v>
      </c>
    </row>
    <row r="452" spans="2:15" x14ac:dyDescent="0.25">
      <c r="B452" s="2" t="s">
        <v>30</v>
      </c>
      <c r="C452" s="2">
        <v>2025</v>
      </c>
      <c r="D452" s="1">
        <v>90615</v>
      </c>
      <c r="E452" s="11">
        <v>3829087</v>
      </c>
      <c r="F452" s="1">
        <v>15179</v>
      </c>
      <c r="G452" s="11">
        <v>1045286</v>
      </c>
      <c r="H452" s="1">
        <v>59225</v>
      </c>
      <c r="I452" s="11">
        <v>3043719</v>
      </c>
      <c r="J452" s="1">
        <v>0</v>
      </c>
      <c r="K452" s="11">
        <v>0</v>
      </c>
      <c r="L452" s="1">
        <f t="shared" si="226"/>
        <v>165019</v>
      </c>
      <c r="M452" s="11">
        <f t="shared" si="227"/>
        <v>7918092</v>
      </c>
      <c r="N452" s="39">
        <f t="shared" si="228"/>
        <v>0</v>
      </c>
      <c r="O452" s="13">
        <f t="shared" si="229"/>
        <v>0</v>
      </c>
    </row>
    <row r="453" spans="2:15" x14ac:dyDescent="0.25">
      <c r="B453" s="2" t="s">
        <v>31</v>
      </c>
      <c r="C453" s="2">
        <v>2025</v>
      </c>
      <c r="D453" s="1">
        <v>99507</v>
      </c>
      <c r="E453" s="11">
        <v>4113083</v>
      </c>
      <c r="F453" s="1">
        <v>15854</v>
      </c>
      <c r="G453" s="11">
        <v>1066280</v>
      </c>
      <c r="H453" s="1">
        <v>67659</v>
      </c>
      <c r="I453" s="11">
        <v>3477414</v>
      </c>
      <c r="J453" s="1">
        <v>0</v>
      </c>
      <c r="K453" s="11">
        <v>0</v>
      </c>
      <c r="L453" s="1">
        <f t="shared" si="226"/>
        <v>183020</v>
      </c>
      <c r="M453" s="11">
        <f t="shared" si="227"/>
        <v>8656777</v>
      </c>
      <c r="N453" s="39">
        <f t="shared" si="228"/>
        <v>0</v>
      </c>
      <c r="O453" s="13">
        <f t="shared" si="229"/>
        <v>0</v>
      </c>
    </row>
    <row r="455" spans="2:15" x14ac:dyDescent="0.25">
      <c r="B455" s="88" t="s">
        <v>12</v>
      </c>
      <c r="C455" s="88"/>
      <c r="D455" s="4">
        <f>SUM(D442:D454)</f>
        <v>1174010</v>
      </c>
      <c r="E455" s="12">
        <f>SUM(E442:E454)</f>
        <v>49052018</v>
      </c>
      <c r="F455" s="4">
        <f t="shared" ref="F455:M455" si="230">SUM(F442:F454)</f>
        <v>190963</v>
      </c>
      <c r="G455" s="12">
        <f t="shared" si="230"/>
        <v>13340334</v>
      </c>
      <c r="H455" s="4">
        <f t="shared" si="230"/>
        <v>770582</v>
      </c>
      <c r="I455" s="12">
        <f t="shared" si="230"/>
        <v>39301885</v>
      </c>
      <c r="J455" s="4">
        <f t="shared" si="230"/>
        <v>0</v>
      </c>
      <c r="K455" s="12">
        <f t="shared" si="230"/>
        <v>0</v>
      </c>
      <c r="L455" s="4">
        <f t="shared" si="230"/>
        <v>2135555</v>
      </c>
      <c r="M455" s="12">
        <f t="shared" si="230"/>
        <v>101694237</v>
      </c>
    </row>
    <row r="457" spans="2:15" x14ac:dyDescent="0.25">
      <c r="B457" s="5" t="s">
        <v>14</v>
      </c>
    </row>
    <row r="458" spans="2:15" x14ac:dyDescent="0.25">
      <c r="B458" s="5" t="s">
        <v>134</v>
      </c>
    </row>
    <row r="460" spans="2:15" x14ac:dyDescent="0.25">
      <c r="D460" s="89" t="s">
        <v>15</v>
      </c>
      <c r="E460" s="90"/>
      <c r="F460" s="89" t="s">
        <v>72</v>
      </c>
      <c r="G460" s="90"/>
      <c r="H460" s="89" t="s">
        <v>16</v>
      </c>
      <c r="I460" s="90"/>
      <c r="J460" s="89" t="s">
        <v>73</v>
      </c>
      <c r="K460" s="90"/>
      <c r="L460" s="89" t="s">
        <v>70</v>
      </c>
      <c r="M460" s="90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2025</v>
      </c>
      <c r="D463" s="1"/>
      <c r="E463" s="11"/>
      <c r="F463" s="1"/>
      <c r="G463" s="11"/>
      <c r="H463" s="1"/>
      <c r="I463" s="11"/>
      <c r="J463" s="1"/>
      <c r="K463" s="11"/>
      <c r="L463" s="1">
        <f t="shared" ref="L463:L474" si="231">+D463+F463+H463+J463</f>
        <v>0</v>
      </c>
      <c r="M463" s="11">
        <f t="shared" ref="M463:M474" si="232">+E463+G463+I463+K463</f>
        <v>0</v>
      </c>
      <c r="N463" s="39">
        <f>+L463-J378</f>
        <v>0</v>
      </c>
      <c r="O463" s="13">
        <f>+M463-K378</f>
        <v>0</v>
      </c>
    </row>
    <row r="464" spans="2:15" x14ac:dyDescent="0.25">
      <c r="B464" s="2" t="s">
        <v>6</v>
      </c>
      <c r="C464" s="2">
        <v>2025</v>
      </c>
      <c r="D464" s="1"/>
      <c r="E464" s="11"/>
      <c r="F464" s="1"/>
      <c r="G464" s="11"/>
      <c r="H464" s="1"/>
      <c r="I464" s="11"/>
      <c r="J464" s="1"/>
      <c r="K464" s="11"/>
      <c r="L464" s="1">
        <f t="shared" si="231"/>
        <v>0</v>
      </c>
      <c r="M464" s="11">
        <f t="shared" si="232"/>
        <v>0</v>
      </c>
      <c r="N464" s="39">
        <f t="shared" ref="N464:O464" si="233">+L464-J379</f>
        <v>0</v>
      </c>
      <c r="O464" s="13">
        <f t="shared" si="233"/>
        <v>0</v>
      </c>
    </row>
    <row r="465" spans="2:21" x14ac:dyDescent="0.25">
      <c r="B465" s="2" t="s">
        <v>7</v>
      </c>
      <c r="C465" s="2">
        <v>2025</v>
      </c>
      <c r="D465" s="1"/>
      <c r="E465" s="11"/>
      <c r="F465" s="1"/>
      <c r="G465" s="11"/>
      <c r="H465" s="1"/>
      <c r="I465" s="11"/>
      <c r="J465" s="1"/>
      <c r="K465" s="11"/>
      <c r="L465" s="1">
        <f t="shared" si="231"/>
        <v>0</v>
      </c>
      <c r="M465" s="11">
        <f t="shared" si="232"/>
        <v>0</v>
      </c>
      <c r="N465" s="39">
        <f t="shared" ref="N465:O465" si="234">+L465-J380</f>
        <v>0</v>
      </c>
      <c r="O465" s="13">
        <f t="shared" si="234"/>
        <v>0</v>
      </c>
    </row>
    <row r="466" spans="2:21" x14ac:dyDescent="0.25">
      <c r="B466" s="2" t="s">
        <v>8</v>
      </c>
      <c r="C466" s="2">
        <v>2025</v>
      </c>
      <c r="D466" s="1"/>
      <c r="E466" s="11"/>
      <c r="F466" s="1"/>
      <c r="G466" s="11"/>
      <c r="H466" s="1"/>
      <c r="I466" s="11"/>
      <c r="J466" s="1"/>
      <c r="K466" s="11"/>
      <c r="L466" s="1">
        <f t="shared" si="231"/>
        <v>0</v>
      </c>
      <c r="M466" s="11">
        <f t="shared" si="232"/>
        <v>0</v>
      </c>
      <c r="N466" s="39">
        <f t="shared" ref="N466:O466" si="235">+L466-J381</f>
        <v>0</v>
      </c>
      <c r="O466" s="13">
        <f t="shared" si="235"/>
        <v>0</v>
      </c>
    </row>
    <row r="467" spans="2:21" x14ac:dyDescent="0.25">
      <c r="B467" s="2" t="s">
        <v>9</v>
      </c>
      <c r="C467" s="2">
        <v>2025</v>
      </c>
      <c r="D467" s="1"/>
      <c r="E467" s="11"/>
      <c r="F467" s="1"/>
      <c r="G467" s="11"/>
      <c r="H467" s="1"/>
      <c r="I467" s="11"/>
      <c r="J467" s="1"/>
      <c r="K467" s="11"/>
      <c r="L467" s="1">
        <f t="shared" si="231"/>
        <v>0</v>
      </c>
      <c r="M467" s="11">
        <f t="shared" si="232"/>
        <v>0</v>
      </c>
      <c r="N467" s="39">
        <f t="shared" ref="N467:O467" si="236">+L467-J382</f>
        <v>0</v>
      </c>
      <c r="O467" s="13">
        <f t="shared" si="236"/>
        <v>0</v>
      </c>
    </row>
    <row r="468" spans="2:21" x14ac:dyDescent="0.25">
      <c r="B468" s="2" t="s">
        <v>10</v>
      </c>
      <c r="C468" s="2">
        <v>2025</v>
      </c>
      <c r="D468" s="1"/>
      <c r="E468" s="11"/>
      <c r="F468" s="1"/>
      <c r="G468" s="11"/>
      <c r="H468" s="1"/>
      <c r="I468" s="11"/>
      <c r="J468" s="1"/>
      <c r="K468" s="11"/>
      <c r="L468" s="1">
        <f t="shared" si="231"/>
        <v>0</v>
      </c>
      <c r="M468" s="11">
        <f t="shared" si="232"/>
        <v>0</v>
      </c>
      <c r="N468" s="39">
        <f t="shared" ref="N468:O468" si="237">+L468-J383</f>
        <v>0</v>
      </c>
      <c r="O468" s="13">
        <f t="shared" si="237"/>
        <v>0</v>
      </c>
    </row>
    <row r="469" spans="2:21" x14ac:dyDescent="0.25">
      <c r="B469" s="2" t="s">
        <v>11</v>
      </c>
      <c r="C469" s="2">
        <v>2025</v>
      </c>
      <c r="D469" s="1"/>
      <c r="E469" s="11"/>
      <c r="F469" s="1"/>
      <c r="G469" s="11"/>
      <c r="H469" s="1"/>
      <c r="I469" s="11"/>
      <c r="J469" s="1"/>
      <c r="K469" s="11"/>
      <c r="L469" s="1">
        <f t="shared" si="231"/>
        <v>0</v>
      </c>
      <c r="M469" s="11">
        <f t="shared" si="232"/>
        <v>0</v>
      </c>
      <c r="N469" s="39">
        <f t="shared" ref="N469:O469" si="238">+L469-J384</f>
        <v>0</v>
      </c>
      <c r="O469" s="13">
        <f t="shared" si="238"/>
        <v>0</v>
      </c>
    </row>
    <row r="470" spans="2:21" x14ac:dyDescent="0.25">
      <c r="B470" s="2" t="s">
        <v>4</v>
      </c>
      <c r="C470" s="2">
        <v>2025</v>
      </c>
      <c r="D470" s="1"/>
      <c r="E470" s="11"/>
      <c r="F470" s="1"/>
      <c r="G470" s="11"/>
      <c r="H470" s="1"/>
      <c r="I470" s="11"/>
      <c r="J470" s="1"/>
      <c r="K470" s="11"/>
      <c r="L470" s="1">
        <f t="shared" si="231"/>
        <v>0</v>
      </c>
      <c r="M470" s="11">
        <f t="shared" si="232"/>
        <v>0</v>
      </c>
      <c r="N470" s="39">
        <f t="shared" ref="N470:O470" si="239">+L470-J385</f>
        <v>0</v>
      </c>
      <c r="O470" s="13">
        <f t="shared" si="239"/>
        <v>0</v>
      </c>
    </row>
    <row r="471" spans="2:21" x14ac:dyDescent="0.25">
      <c r="B471" s="2" t="s">
        <v>28</v>
      </c>
      <c r="C471" s="2">
        <v>2025</v>
      </c>
      <c r="D471" s="1">
        <v>19280</v>
      </c>
      <c r="E471" s="11">
        <v>3431812</v>
      </c>
      <c r="F471" s="1">
        <v>6423</v>
      </c>
      <c r="G471" s="11">
        <v>1143280</v>
      </c>
      <c r="H471" s="1">
        <v>747</v>
      </c>
      <c r="I471" s="11">
        <v>132966</v>
      </c>
      <c r="J471" s="1">
        <v>0</v>
      </c>
      <c r="K471" s="11">
        <v>0</v>
      </c>
      <c r="L471" s="1">
        <f t="shared" si="231"/>
        <v>26450</v>
      </c>
      <c r="M471" s="11">
        <f t="shared" si="232"/>
        <v>4708058</v>
      </c>
      <c r="N471" s="39">
        <f t="shared" ref="N471:O471" si="240">+L471-J386</f>
        <v>0</v>
      </c>
      <c r="O471" s="13">
        <f t="shared" si="240"/>
        <v>0</v>
      </c>
    </row>
    <row r="472" spans="2:21" x14ac:dyDescent="0.25">
      <c r="B472" s="2" t="s">
        <v>29</v>
      </c>
      <c r="C472" s="2">
        <v>2025</v>
      </c>
      <c r="D472" s="1">
        <v>33200</v>
      </c>
      <c r="E472" s="11">
        <v>5909600</v>
      </c>
      <c r="F472" s="1">
        <v>9846</v>
      </c>
      <c r="G472" s="11">
        <v>1752588</v>
      </c>
      <c r="H472" s="1">
        <v>1175</v>
      </c>
      <c r="I472" s="11">
        <v>209150</v>
      </c>
      <c r="J472" s="1">
        <v>0</v>
      </c>
      <c r="K472" s="11">
        <v>0</v>
      </c>
      <c r="L472" s="1">
        <f t="shared" si="231"/>
        <v>44221</v>
      </c>
      <c r="M472" s="11">
        <f t="shared" si="232"/>
        <v>7871338</v>
      </c>
      <c r="N472" s="39">
        <f t="shared" ref="N472:O472" si="241">+L472-J387</f>
        <v>0</v>
      </c>
      <c r="O472" s="13">
        <f t="shared" si="241"/>
        <v>0</v>
      </c>
    </row>
    <row r="473" spans="2:21" x14ac:dyDescent="0.25">
      <c r="B473" s="2" t="s">
        <v>30</v>
      </c>
      <c r="C473" s="2">
        <v>2025</v>
      </c>
      <c r="D473" s="1">
        <v>38120</v>
      </c>
      <c r="E473" s="11">
        <v>6785360</v>
      </c>
      <c r="F473" s="1">
        <v>10870</v>
      </c>
      <c r="G473" s="11">
        <v>1934860</v>
      </c>
      <c r="H473" s="1">
        <v>1380</v>
      </c>
      <c r="I473" s="11">
        <v>245640</v>
      </c>
      <c r="J473" s="1">
        <v>0</v>
      </c>
      <c r="K473" s="11">
        <v>0</v>
      </c>
      <c r="L473" s="1">
        <f t="shared" si="231"/>
        <v>50370</v>
      </c>
      <c r="M473" s="11">
        <f t="shared" si="232"/>
        <v>8965860</v>
      </c>
      <c r="N473" s="39">
        <f t="shared" ref="N473:O473" si="242">+L473-J388</f>
        <v>0</v>
      </c>
      <c r="O473" s="13">
        <f t="shared" si="242"/>
        <v>0</v>
      </c>
    </row>
    <row r="474" spans="2:21" x14ac:dyDescent="0.25">
      <c r="B474" s="2" t="s">
        <v>31</v>
      </c>
      <c r="C474" s="2">
        <v>2025</v>
      </c>
      <c r="D474" s="1">
        <v>37415</v>
      </c>
      <c r="E474" s="11">
        <v>6659870</v>
      </c>
      <c r="F474" s="1">
        <v>11216</v>
      </c>
      <c r="G474" s="11">
        <v>1996448</v>
      </c>
      <c r="H474" s="1">
        <v>1324</v>
      </c>
      <c r="I474" s="11">
        <v>235672</v>
      </c>
      <c r="J474" s="1">
        <v>0</v>
      </c>
      <c r="K474" s="11">
        <v>0</v>
      </c>
      <c r="L474" s="1">
        <f t="shared" si="231"/>
        <v>49955</v>
      </c>
      <c r="M474" s="11">
        <f t="shared" si="232"/>
        <v>8891990</v>
      </c>
      <c r="N474" s="39">
        <f t="shared" ref="N474:O474" si="243">+L474-J389</f>
        <v>0</v>
      </c>
      <c r="O474" s="13">
        <f t="shared" si="243"/>
        <v>0</v>
      </c>
    </row>
    <row r="476" spans="2:21" x14ac:dyDescent="0.25">
      <c r="B476" s="88" t="s">
        <v>12</v>
      </c>
      <c r="C476" s="88"/>
      <c r="D476" s="4">
        <f>SUM(D463:D475)</f>
        <v>128015</v>
      </c>
      <c r="E476" s="12">
        <f>SUM(E463:E475)</f>
        <v>22786642</v>
      </c>
      <c r="F476" s="4">
        <f t="shared" ref="F476:M476" si="244">SUM(F463:F475)</f>
        <v>38355</v>
      </c>
      <c r="G476" s="12">
        <f t="shared" si="244"/>
        <v>6827176</v>
      </c>
      <c r="H476" s="4">
        <f t="shared" si="244"/>
        <v>4626</v>
      </c>
      <c r="I476" s="12">
        <f t="shared" si="244"/>
        <v>823428</v>
      </c>
      <c r="J476" s="4">
        <f t="shared" si="244"/>
        <v>0</v>
      </c>
      <c r="K476" s="12">
        <f t="shared" si="244"/>
        <v>0</v>
      </c>
      <c r="L476" s="4">
        <f t="shared" si="244"/>
        <v>170996</v>
      </c>
      <c r="M476" s="12">
        <f t="shared" si="244"/>
        <v>30437246</v>
      </c>
    </row>
    <row r="477" spans="2:21" x14ac:dyDescent="0.25">
      <c r="E477"/>
      <c r="F477"/>
      <c r="G477"/>
      <c r="I477"/>
      <c r="K477"/>
      <c r="M477"/>
      <c r="O477"/>
      <c r="P477"/>
      <c r="Q477"/>
      <c r="R477"/>
      <c r="S477"/>
      <c r="U477"/>
    </row>
    <row r="478" spans="2:21" x14ac:dyDescent="0.25">
      <c r="B478" s="5" t="s">
        <v>14</v>
      </c>
      <c r="P478"/>
      <c r="Q478"/>
      <c r="R478"/>
      <c r="S478"/>
      <c r="U478"/>
    </row>
    <row r="479" spans="2:21" x14ac:dyDescent="0.25">
      <c r="B479" s="5" t="s">
        <v>137</v>
      </c>
      <c r="P479"/>
      <c r="Q479"/>
      <c r="R479"/>
      <c r="S479"/>
      <c r="U479"/>
    </row>
    <row r="480" spans="2:21" x14ac:dyDescent="0.25">
      <c r="P480"/>
      <c r="Q480"/>
      <c r="R480"/>
      <c r="S480"/>
      <c r="U480"/>
    </row>
    <row r="481" spans="2:21" x14ac:dyDescent="0.25">
      <c r="D481" s="89" t="s">
        <v>15</v>
      </c>
      <c r="E481" s="90"/>
      <c r="F481" s="89" t="s">
        <v>72</v>
      </c>
      <c r="G481" s="90"/>
      <c r="H481" s="89" t="s">
        <v>16</v>
      </c>
      <c r="I481" s="90"/>
      <c r="J481" s="89" t="s">
        <v>73</v>
      </c>
      <c r="K481" s="90"/>
      <c r="L481" s="89" t="s">
        <v>70</v>
      </c>
      <c r="M481" s="90"/>
      <c r="N481" s="9"/>
      <c r="P481"/>
      <c r="Q481"/>
      <c r="R481"/>
      <c r="S481"/>
      <c r="U481"/>
    </row>
    <row r="482" spans="2:21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  <c r="P482"/>
      <c r="Q482"/>
      <c r="R482"/>
      <c r="S482"/>
      <c r="U482"/>
    </row>
    <row r="483" spans="2:21" x14ac:dyDescent="0.25">
      <c r="N483" s="9"/>
      <c r="P483"/>
      <c r="Q483"/>
      <c r="R483"/>
      <c r="S483"/>
      <c r="U483"/>
    </row>
    <row r="484" spans="2:21" x14ac:dyDescent="0.25">
      <c r="B484" s="2" t="s">
        <v>5</v>
      </c>
      <c r="C484" s="2">
        <v>2025</v>
      </c>
      <c r="D484" s="1"/>
      <c r="E484" s="11"/>
      <c r="F484" s="1"/>
      <c r="G484" s="11"/>
      <c r="H484" s="1"/>
      <c r="I484" s="11"/>
      <c r="J484" s="1"/>
      <c r="K484" s="11"/>
      <c r="L484" s="1">
        <f t="shared" ref="L484:L495" si="245">+D484+F484+H484+J484</f>
        <v>0</v>
      </c>
      <c r="M484" s="11">
        <f t="shared" ref="M484:M495" si="246">+E484+G484+I484+K484</f>
        <v>0</v>
      </c>
      <c r="N484" s="39">
        <f>+L484-L378</f>
        <v>0</v>
      </c>
      <c r="O484" s="13">
        <f t="shared" ref="O484:O495" si="247">+M484-M378</f>
        <v>0</v>
      </c>
      <c r="P484"/>
      <c r="Q484"/>
      <c r="R484"/>
      <c r="S484"/>
      <c r="U484"/>
    </row>
    <row r="485" spans="2:21" x14ac:dyDescent="0.25">
      <c r="B485" s="2" t="s">
        <v>6</v>
      </c>
      <c r="C485" s="2">
        <v>2025</v>
      </c>
      <c r="D485" s="1"/>
      <c r="E485" s="11"/>
      <c r="F485" s="1"/>
      <c r="G485" s="11"/>
      <c r="H485" s="1"/>
      <c r="I485" s="11"/>
      <c r="J485" s="1"/>
      <c r="K485" s="11"/>
      <c r="L485" s="1">
        <f t="shared" si="245"/>
        <v>0</v>
      </c>
      <c r="M485" s="11">
        <f t="shared" si="246"/>
        <v>0</v>
      </c>
      <c r="N485" s="39">
        <f t="shared" ref="N485:N495" si="248">+L485-L379</f>
        <v>0</v>
      </c>
      <c r="O485" s="13">
        <f t="shared" si="247"/>
        <v>0</v>
      </c>
      <c r="P485"/>
      <c r="Q485"/>
      <c r="R485"/>
      <c r="S485"/>
      <c r="U485"/>
    </row>
    <row r="486" spans="2:21" x14ac:dyDescent="0.25">
      <c r="B486" s="2" t="s">
        <v>7</v>
      </c>
      <c r="C486" s="2">
        <v>2025</v>
      </c>
      <c r="D486" s="1"/>
      <c r="E486" s="11"/>
      <c r="F486" s="1"/>
      <c r="G486" s="11"/>
      <c r="H486" s="1"/>
      <c r="I486" s="11"/>
      <c r="J486" s="1"/>
      <c r="K486" s="11"/>
      <c r="L486" s="1">
        <f t="shared" si="245"/>
        <v>0</v>
      </c>
      <c r="M486" s="11">
        <f t="shared" si="246"/>
        <v>0</v>
      </c>
      <c r="N486" s="39">
        <f t="shared" si="248"/>
        <v>0</v>
      </c>
      <c r="O486" s="13">
        <f t="shared" si="247"/>
        <v>0</v>
      </c>
      <c r="P486"/>
      <c r="Q486"/>
      <c r="R486"/>
      <c r="S486"/>
      <c r="U486"/>
    </row>
    <row r="487" spans="2:21" x14ac:dyDescent="0.25">
      <c r="B487" s="2" t="s">
        <v>8</v>
      </c>
      <c r="C487" s="2">
        <v>2025</v>
      </c>
      <c r="D487" s="1"/>
      <c r="E487" s="11"/>
      <c r="F487" s="1"/>
      <c r="G487" s="11"/>
      <c r="H487" s="1"/>
      <c r="I487" s="11"/>
      <c r="J487" s="1"/>
      <c r="K487" s="11"/>
      <c r="L487" s="1">
        <f t="shared" si="245"/>
        <v>0</v>
      </c>
      <c r="M487" s="11">
        <f t="shared" si="246"/>
        <v>0</v>
      </c>
      <c r="N487" s="39">
        <f t="shared" si="248"/>
        <v>0</v>
      </c>
      <c r="O487" s="13">
        <f t="shared" si="247"/>
        <v>0</v>
      </c>
      <c r="P487"/>
      <c r="Q487"/>
      <c r="R487"/>
      <c r="S487"/>
      <c r="U487"/>
    </row>
    <row r="488" spans="2:21" x14ac:dyDescent="0.25">
      <c r="B488" s="2" t="s">
        <v>9</v>
      </c>
      <c r="C488" s="2">
        <v>2025</v>
      </c>
      <c r="D488" s="1"/>
      <c r="E488" s="11"/>
      <c r="F488" s="1"/>
      <c r="G488" s="11"/>
      <c r="H488" s="1"/>
      <c r="I488" s="11"/>
      <c r="J488" s="1"/>
      <c r="K488" s="11"/>
      <c r="L488" s="1">
        <f t="shared" si="245"/>
        <v>0</v>
      </c>
      <c r="M488" s="11">
        <f t="shared" si="246"/>
        <v>0</v>
      </c>
      <c r="N488" s="39">
        <f t="shared" si="248"/>
        <v>0</v>
      </c>
      <c r="O488" s="13">
        <f t="shared" si="247"/>
        <v>0</v>
      </c>
      <c r="P488"/>
      <c r="Q488"/>
      <c r="R488"/>
      <c r="S488"/>
      <c r="U488"/>
    </row>
    <row r="489" spans="2:21" x14ac:dyDescent="0.25">
      <c r="B489" s="2" t="s">
        <v>10</v>
      </c>
      <c r="C489" s="2">
        <v>2025</v>
      </c>
      <c r="D489" s="1"/>
      <c r="E489" s="11"/>
      <c r="F489" s="1"/>
      <c r="G489" s="11"/>
      <c r="H489" s="1"/>
      <c r="I489" s="11"/>
      <c r="J489" s="1"/>
      <c r="K489" s="11"/>
      <c r="L489" s="1">
        <f t="shared" si="245"/>
        <v>0</v>
      </c>
      <c r="M489" s="11">
        <f t="shared" si="246"/>
        <v>0</v>
      </c>
      <c r="N489" s="39">
        <f t="shared" si="248"/>
        <v>0</v>
      </c>
      <c r="O489" s="13">
        <f t="shared" si="247"/>
        <v>0</v>
      </c>
      <c r="P489"/>
      <c r="Q489"/>
      <c r="R489"/>
      <c r="S489"/>
      <c r="U489"/>
    </row>
    <row r="490" spans="2:21" x14ac:dyDescent="0.25">
      <c r="B490" s="2" t="s">
        <v>11</v>
      </c>
      <c r="C490" s="2">
        <v>2025</v>
      </c>
      <c r="D490" s="1"/>
      <c r="E490" s="11"/>
      <c r="F490" s="1"/>
      <c r="G490" s="11"/>
      <c r="H490" s="1"/>
      <c r="I490" s="11"/>
      <c r="J490" s="1"/>
      <c r="K490" s="11"/>
      <c r="L490" s="1">
        <f t="shared" si="245"/>
        <v>0</v>
      </c>
      <c r="M490" s="11">
        <f t="shared" si="246"/>
        <v>0</v>
      </c>
      <c r="N490" s="39">
        <f t="shared" si="248"/>
        <v>0</v>
      </c>
      <c r="O490" s="13">
        <f t="shared" si="247"/>
        <v>0</v>
      </c>
      <c r="P490"/>
      <c r="Q490"/>
      <c r="R490"/>
      <c r="S490"/>
      <c r="U490"/>
    </row>
    <row r="491" spans="2:21" x14ac:dyDescent="0.25">
      <c r="B491" s="2" t="s">
        <v>4</v>
      </c>
      <c r="C491" s="2">
        <v>2025</v>
      </c>
      <c r="D491" s="1"/>
      <c r="E491" s="11"/>
      <c r="F491" s="1"/>
      <c r="G491" s="11"/>
      <c r="H491" s="1"/>
      <c r="I491" s="11"/>
      <c r="J491" s="1"/>
      <c r="K491" s="11"/>
      <c r="L491" s="1">
        <f t="shared" si="245"/>
        <v>0</v>
      </c>
      <c r="M491" s="11">
        <f t="shared" si="246"/>
        <v>0</v>
      </c>
      <c r="N491" s="39">
        <f t="shared" si="248"/>
        <v>0</v>
      </c>
      <c r="O491" s="13">
        <f t="shared" si="247"/>
        <v>0</v>
      </c>
      <c r="P491"/>
      <c r="Q491"/>
      <c r="R491"/>
      <c r="S491"/>
      <c r="U491"/>
    </row>
    <row r="492" spans="2:21" x14ac:dyDescent="0.25">
      <c r="B492" s="2" t="s">
        <v>28</v>
      </c>
      <c r="C492" s="2">
        <v>2025</v>
      </c>
      <c r="D492" s="1"/>
      <c r="E492" s="11"/>
      <c r="F492" s="1"/>
      <c r="G492" s="11"/>
      <c r="H492" s="1"/>
      <c r="I492" s="11"/>
      <c r="J492" s="1"/>
      <c r="K492" s="11"/>
      <c r="L492" s="1">
        <f t="shared" si="245"/>
        <v>0</v>
      </c>
      <c r="M492" s="11">
        <f t="shared" si="246"/>
        <v>0</v>
      </c>
      <c r="N492" s="39">
        <f t="shared" si="248"/>
        <v>0</v>
      </c>
      <c r="O492" s="13">
        <f t="shared" si="247"/>
        <v>0</v>
      </c>
      <c r="P492"/>
      <c r="Q492"/>
      <c r="R492"/>
      <c r="S492"/>
      <c r="U492"/>
    </row>
    <row r="493" spans="2:21" x14ac:dyDescent="0.25">
      <c r="B493" s="2" t="s">
        <v>29</v>
      </c>
      <c r="C493" s="2">
        <v>2025</v>
      </c>
      <c r="D493" s="1">
        <v>1658</v>
      </c>
      <c r="E493" s="11">
        <v>357540</v>
      </c>
      <c r="F493" s="1">
        <v>1023</v>
      </c>
      <c r="G493" s="11">
        <v>202212</v>
      </c>
      <c r="H493" s="1">
        <v>432</v>
      </c>
      <c r="I493" s="11">
        <v>96325</v>
      </c>
      <c r="J493" s="1">
        <v>0</v>
      </c>
      <c r="K493" s="11">
        <v>0</v>
      </c>
      <c r="L493" s="1">
        <f t="shared" si="245"/>
        <v>3113</v>
      </c>
      <c r="M493" s="11">
        <f t="shared" si="246"/>
        <v>656077</v>
      </c>
      <c r="N493" s="39">
        <f t="shared" si="248"/>
        <v>0</v>
      </c>
      <c r="O493" s="13">
        <f t="shared" si="247"/>
        <v>0</v>
      </c>
      <c r="P493"/>
      <c r="Q493"/>
      <c r="R493"/>
      <c r="S493"/>
      <c r="U493"/>
    </row>
    <row r="494" spans="2:21" x14ac:dyDescent="0.25">
      <c r="B494" s="2" t="s">
        <v>30</v>
      </c>
      <c r="C494" s="2">
        <v>2025</v>
      </c>
      <c r="D494" s="1">
        <v>1869</v>
      </c>
      <c r="E494" s="11">
        <v>359184</v>
      </c>
      <c r="F494" s="1">
        <v>1128</v>
      </c>
      <c r="G494" s="11">
        <v>225470</v>
      </c>
      <c r="H494" s="1">
        <v>780</v>
      </c>
      <c r="I494" s="11">
        <v>153397</v>
      </c>
      <c r="J494" s="1">
        <v>0</v>
      </c>
      <c r="K494" s="11">
        <v>0</v>
      </c>
      <c r="L494" s="1">
        <f t="shared" si="245"/>
        <v>3777</v>
      </c>
      <c r="M494" s="11">
        <f t="shared" si="246"/>
        <v>738051</v>
      </c>
      <c r="N494" s="39">
        <f t="shared" si="248"/>
        <v>0</v>
      </c>
      <c r="O494" s="13">
        <f t="shared" si="247"/>
        <v>0</v>
      </c>
      <c r="P494"/>
      <c r="Q494"/>
      <c r="R494"/>
      <c r="S494"/>
      <c r="U494"/>
    </row>
    <row r="495" spans="2:21" x14ac:dyDescent="0.25">
      <c r="B495" s="2" t="s">
        <v>31</v>
      </c>
      <c r="C495" s="2">
        <v>2025</v>
      </c>
      <c r="D495" s="1">
        <v>1983</v>
      </c>
      <c r="E495" s="11">
        <v>359009</v>
      </c>
      <c r="F495" s="1">
        <v>1186</v>
      </c>
      <c r="G495" s="11">
        <v>220070</v>
      </c>
      <c r="H495" s="1">
        <v>732</v>
      </c>
      <c r="I495" s="11">
        <v>126444</v>
      </c>
      <c r="J495" s="1">
        <v>0</v>
      </c>
      <c r="K495" s="11">
        <v>0</v>
      </c>
      <c r="L495" s="1">
        <f t="shared" si="245"/>
        <v>3901</v>
      </c>
      <c r="M495" s="11">
        <f t="shared" si="246"/>
        <v>705523</v>
      </c>
      <c r="N495" s="39">
        <f t="shared" si="248"/>
        <v>0</v>
      </c>
      <c r="O495" s="13">
        <f t="shared" si="247"/>
        <v>0</v>
      </c>
      <c r="P495"/>
      <c r="Q495"/>
      <c r="R495"/>
      <c r="S495"/>
      <c r="U495"/>
    </row>
    <row r="496" spans="2:21" x14ac:dyDescent="0.25">
      <c r="P496"/>
      <c r="Q496"/>
      <c r="R496"/>
      <c r="S496"/>
      <c r="U496"/>
    </row>
    <row r="497" spans="2:21" x14ac:dyDescent="0.25">
      <c r="B497" s="88" t="s">
        <v>12</v>
      </c>
      <c r="C497" s="88"/>
      <c r="D497" s="4">
        <f>SUM(D484:D496)</f>
        <v>5510</v>
      </c>
      <c r="E497" s="12">
        <f>SUM(E484:E496)</f>
        <v>1075733</v>
      </c>
      <c r="F497" s="4">
        <f t="shared" ref="F497:M497" si="249">SUM(F484:F496)</f>
        <v>3337</v>
      </c>
      <c r="G497" s="12">
        <f t="shared" si="249"/>
        <v>647752</v>
      </c>
      <c r="H497" s="4">
        <f t="shared" si="249"/>
        <v>1944</v>
      </c>
      <c r="I497" s="12">
        <f t="shared" si="249"/>
        <v>376166</v>
      </c>
      <c r="J497" s="4">
        <f t="shared" si="249"/>
        <v>0</v>
      </c>
      <c r="K497" s="12">
        <f t="shared" si="249"/>
        <v>0</v>
      </c>
      <c r="L497" s="4">
        <f t="shared" si="249"/>
        <v>10791</v>
      </c>
      <c r="M497" s="12">
        <f t="shared" si="249"/>
        <v>2099651</v>
      </c>
      <c r="P497"/>
      <c r="Q497"/>
      <c r="R497"/>
      <c r="S497"/>
      <c r="U497"/>
    </row>
    <row r="499" spans="2:21" x14ac:dyDescent="0.25">
      <c r="B499" s="5" t="s">
        <v>14</v>
      </c>
    </row>
    <row r="500" spans="2:21" x14ac:dyDescent="0.25">
      <c r="B500" s="5" t="s">
        <v>77</v>
      </c>
    </row>
    <row r="502" spans="2:21" x14ac:dyDescent="0.25">
      <c r="D502" s="89" t="s">
        <v>15</v>
      </c>
      <c r="E502" s="90"/>
      <c r="F502" s="89" t="s">
        <v>72</v>
      </c>
      <c r="G502" s="90"/>
      <c r="H502" s="89" t="s">
        <v>16</v>
      </c>
      <c r="I502" s="90"/>
      <c r="J502" s="89" t="s">
        <v>73</v>
      </c>
      <c r="K502" s="90"/>
      <c r="L502" s="89" t="s">
        <v>70</v>
      </c>
      <c r="M502" s="90"/>
      <c r="N502" s="9"/>
    </row>
    <row r="503" spans="2:21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21" x14ac:dyDescent="0.25">
      <c r="N504" s="9"/>
    </row>
    <row r="505" spans="2:21" x14ac:dyDescent="0.25">
      <c r="B505" s="2" t="s">
        <v>5</v>
      </c>
      <c r="C505" s="2">
        <v>2025</v>
      </c>
      <c r="D505" s="1">
        <v>721189</v>
      </c>
      <c r="E505" s="11">
        <v>104033644</v>
      </c>
      <c r="F505" s="1">
        <v>300890</v>
      </c>
      <c r="G505" s="11">
        <v>58366781</v>
      </c>
      <c r="H505" s="1">
        <v>584923</v>
      </c>
      <c r="I505" s="11">
        <v>111193401</v>
      </c>
      <c r="J505" s="45">
        <v>0</v>
      </c>
      <c r="K505" s="11">
        <v>0</v>
      </c>
      <c r="L505" s="1">
        <f t="shared" ref="L505:L516" si="250">+D505+F505+H505+J505</f>
        <v>1607002</v>
      </c>
      <c r="M505" s="11">
        <f t="shared" ref="M505:M516" si="251">+E505+G505+I505+K505</f>
        <v>273593826</v>
      </c>
      <c r="N505" s="39">
        <f t="shared" ref="N505:N516" si="252">+L505-P378</f>
        <v>0</v>
      </c>
      <c r="O505" s="13">
        <f t="shared" ref="O505:O516" si="253">+M505-Q378</f>
        <v>0</v>
      </c>
    </row>
    <row r="506" spans="2:21" x14ac:dyDescent="0.25">
      <c r="B506" s="2" t="s">
        <v>6</v>
      </c>
      <c r="C506" s="2">
        <v>2025</v>
      </c>
      <c r="D506" s="1">
        <v>652336</v>
      </c>
      <c r="E506" s="11">
        <v>98930501</v>
      </c>
      <c r="F506" s="1">
        <v>282365</v>
      </c>
      <c r="G506" s="11">
        <v>57258144</v>
      </c>
      <c r="H506" s="1">
        <v>508932</v>
      </c>
      <c r="I506" s="11">
        <v>99626937</v>
      </c>
      <c r="J506" s="45">
        <v>0</v>
      </c>
      <c r="K506" s="11">
        <v>0</v>
      </c>
      <c r="L506" s="1">
        <f t="shared" si="250"/>
        <v>1443633</v>
      </c>
      <c r="M506" s="11">
        <f t="shared" si="251"/>
        <v>255815582</v>
      </c>
      <c r="N506" s="39">
        <f t="shared" si="252"/>
        <v>0</v>
      </c>
      <c r="O506" s="13">
        <f t="shared" si="253"/>
        <v>0</v>
      </c>
    </row>
    <row r="507" spans="2:21" x14ac:dyDescent="0.25">
      <c r="B507" s="2" t="s">
        <v>7</v>
      </c>
      <c r="C507" s="2">
        <v>2025</v>
      </c>
      <c r="D507" s="1">
        <v>768051</v>
      </c>
      <c r="E507" s="11">
        <v>115894942</v>
      </c>
      <c r="F507" s="1">
        <v>324905</v>
      </c>
      <c r="G507" s="11">
        <v>64610341</v>
      </c>
      <c r="H507" s="1">
        <v>584846</v>
      </c>
      <c r="I507" s="11">
        <v>118072508</v>
      </c>
      <c r="J507" s="45">
        <v>0</v>
      </c>
      <c r="K507" s="11">
        <v>0</v>
      </c>
      <c r="L507" s="1">
        <f t="shared" si="250"/>
        <v>1677802</v>
      </c>
      <c r="M507" s="11">
        <f t="shared" si="251"/>
        <v>298577791</v>
      </c>
      <c r="N507" s="39">
        <f t="shared" si="252"/>
        <v>0</v>
      </c>
      <c r="O507" s="13">
        <f t="shared" si="253"/>
        <v>0</v>
      </c>
    </row>
    <row r="508" spans="2:21" x14ac:dyDescent="0.25">
      <c r="B508" s="2" t="s">
        <v>8</v>
      </c>
      <c r="C508" s="2">
        <v>2025</v>
      </c>
      <c r="D508" s="1">
        <v>849334</v>
      </c>
      <c r="E508" s="11">
        <v>125114746</v>
      </c>
      <c r="F508" s="1">
        <v>328107</v>
      </c>
      <c r="G508" s="11">
        <v>64085146</v>
      </c>
      <c r="H508" s="1">
        <v>639732</v>
      </c>
      <c r="I508" s="11">
        <v>131146172</v>
      </c>
      <c r="J508" s="45">
        <v>0</v>
      </c>
      <c r="K508" s="11">
        <v>0</v>
      </c>
      <c r="L508" s="1">
        <f t="shared" si="250"/>
        <v>1817173</v>
      </c>
      <c r="M508" s="11">
        <f t="shared" si="251"/>
        <v>320346064</v>
      </c>
      <c r="N508" s="39">
        <f t="shared" si="252"/>
        <v>0</v>
      </c>
      <c r="O508" s="13">
        <f t="shared" si="253"/>
        <v>0</v>
      </c>
    </row>
    <row r="509" spans="2:21" x14ac:dyDescent="0.25">
      <c r="B509" s="2" t="s">
        <v>9</v>
      </c>
      <c r="C509" s="2">
        <v>2025</v>
      </c>
      <c r="D509" s="1">
        <v>808793</v>
      </c>
      <c r="E509" s="11">
        <v>122021891</v>
      </c>
      <c r="F509" s="1">
        <v>333416</v>
      </c>
      <c r="G509" s="11">
        <v>67060961</v>
      </c>
      <c r="H509" s="1">
        <v>621931</v>
      </c>
      <c r="I509" s="11">
        <v>127628003</v>
      </c>
      <c r="J509" s="45">
        <v>0</v>
      </c>
      <c r="K509" s="11">
        <v>0</v>
      </c>
      <c r="L509" s="1">
        <f t="shared" si="250"/>
        <v>1764140</v>
      </c>
      <c r="M509" s="11">
        <f t="shared" si="251"/>
        <v>316710855</v>
      </c>
      <c r="N509" s="39">
        <f t="shared" si="252"/>
        <v>0</v>
      </c>
      <c r="O509" s="13">
        <f t="shared" si="253"/>
        <v>0</v>
      </c>
    </row>
    <row r="510" spans="2:21" x14ac:dyDescent="0.25">
      <c r="B510" s="2" t="s">
        <v>10</v>
      </c>
      <c r="C510" s="2">
        <v>2025</v>
      </c>
      <c r="D510" s="1">
        <v>746707</v>
      </c>
      <c r="E510" s="11">
        <v>113176270</v>
      </c>
      <c r="F510" s="1">
        <v>306261</v>
      </c>
      <c r="G510" s="11">
        <v>62312023</v>
      </c>
      <c r="H510" s="1">
        <v>585663</v>
      </c>
      <c r="I510" s="11">
        <v>120264218</v>
      </c>
      <c r="J510" s="45">
        <v>0</v>
      </c>
      <c r="K510" s="11">
        <v>0</v>
      </c>
      <c r="L510" s="1">
        <f t="shared" si="250"/>
        <v>1638631</v>
      </c>
      <c r="M510" s="11">
        <f t="shared" si="251"/>
        <v>295752511</v>
      </c>
      <c r="N510" s="39">
        <f t="shared" si="252"/>
        <v>0</v>
      </c>
      <c r="O510" s="13">
        <f t="shared" si="253"/>
        <v>0</v>
      </c>
    </row>
    <row r="511" spans="2:21" x14ac:dyDescent="0.25">
      <c r="B511" s="2" t="s">
        <v>11</v>
      </c>
      <c r="C511" s="2">
        <v>2025</v>
      </c>
      <c r="D511" s="1">
        <v>873610</v>
      </c>
      <c r="E511" s="11">
        <v>129259711</v>
      </c>
      <c r="F511" s="1">
        <v>314708</v>
      </c>
      <c r="G511" s="11">
        <v>60452252</v>
      </c>
      <c r="H511" s="1">
        <v>640900</v>
      </c>
      <c r="I511" s="11">
        <v>132279347</v>
      </c>
      <c r="J511" s="45">
        <v>0</v>
      </c>
      <c r="K511" s="11">
        <v>0</v>
      </c>
      <c r="L511" s="1">
        <f t="shared" si="250"/>
        <v>1829218</v>
      </c>
      <c r="M511" s="11">
        <f t="shared" si="251"/>
        <v>321991310</v>
      </c>
      <c r="N511" s="39">
        <f t="shared" si="252"/>
        <v>0</v>
      </c>
      <c r="O511" s="13">
        <f t="shared" si="253"/>
        <v>0</v>
      </c>
    </row>
    <row r="512" spans="2:21" x14ac:dyDescent="0.25">
      <c r="B512" s="2" t="s">
        <v>4</v>
      </c>
      <c r="C512" s="2">
        <v>2025</v>
      </c>
      <c r="D512" s="1">
        <v>859090</v>
      </c>
      <c r="E512" s="11">
        <v>125208516</v>
      </c>
      <c r="F512" s="1">
        <v>298916</v>
      </c>
      <c r="G512" s="11">
        <v>56039200</v>
      </c>
      <c r="H512" s="1">
        <v>624958</v>
      </c>
      <c r="I512" s="11">
        <v>128588456</v>
      </c>
      <c r="J512" s="45">
        <v>0</v>
      </c>
      <c r="K512" s="11">
        <v>0</v>
      </c>
      <c r="L512" s="1">
        <f t="shared" si="250"/>
        <v>1782964</v>
      </c>
      <c r="M512" s="11">
        <f t="shared" si="251"/>
        <v>309836172</v>
      </c>
      <c r="N512" s="39">
        <f t="shared" si="252"/>
        <v>0</v>
      </c>
      <c r="O512" s="13">
        <f t="shared" si="253"/>
        <v>0</v>
      </c>
    </row>
    <row r="513" spans="2:15" x14ac:dyDescent="0.25">
      <c r="B513" s="2" t="s">
        <v>28</v>
      </c>
      <c r="C513" s="2">
        <v>2025</v>
      </c>
      <c r="D513" s="1">
        <v>778294</v>
      </c>
      <c r="E513" s="14">
        <v>116220816</v>
      </c>
      <c r="F513" s="1">
        <v>299331</v>
      </c>
      <c r="G513" s="14">
        <v>56787793</v>
      </c>
      <c r="H513" s="1">
        <v>611164</v>
      </c>
      <c r="I513" s="14">
        <v>125056439</v>
      </c>
      <c r="J513" s="45">
        <v>0</v>
      </c>
      <c r="K513" s="11">
        <v>0</v>
      </c>
      <c r="L513" s="1">
        <f t="shared" si="250"/>
        <v>1688789</v>
      </c>
      <c r="M513" s="11">
        <f t="shared" si="251"/>
        <v>298065048</v>
      </c>
      <c r="N513" s="39">
        <f t="shared" si="252"/>
        <v>0</v>
      </c>
      <c r="O513" s="13">
        <f t="shared" si="253"/>
        <v>0</v>
      </c>
    </row>
    <row r="514" spans="2:15" x14ac:dyDescent="0.25">
      <c r="B514" s="2" t="s">
        <v>29</v>
      </c>
      <c r="C514" s="2">
        <v>2025</v>
      </c>
      <c r="D514" s="1">
        <v>806281</v>
      </c>
      <c r="E514" s="11">
        <v>118833866</v>
      </c>
      <c r="F514" s="1">
        <v>311806</v>
      </c>
      <c r="G514" s="11">
        <v>57718928</v>
      </c>
      <c r="H514" s="1">
        <v>607705</v>
      </c>
      <c r="I514" s="11">
        <v>122914816</v>
      </c>
      <c r="J514" s="45">
        <v>0</v>
      </c>
      <c r="K514" s="11">
        <v>0</v>
      </c>
      <c r="L514" s="1">
        <f t="shared" si="250"/>
        <v>1725792</v>
      </c>
      <c r="M514" s="11">
        <f t="shared" si="251"/>
        <v>299467610</v>
      </c>
      <c r="N514" s="39">
        <f t="shared" si="252"/>
        <v>0</v>
      </c>
      <c r="O514" s="13">
        <f t="shared" si="253"/>
        <v>0</v>
      </c>
    </row>
    <row r="515" spans="2:15" x14ac:dyDescent="0.25">
      <c r="B515" s="2" t="s">
        <v>30</v>
      </c>
      <c r="C515" s="2">
        <v>2025</v>
      </c>
      <c r="D515" s="1">
        <v>857113</v>
      </c>
      <c r="E515" s="11">
        <v>122910302</v>
      </c>
      <c r="F515" s="1">
        <v>311647</v>
      </c>
      <c r="G515" s="11">
        <v>55880479</v>
      </c>
      <c r="H515" s="1">
        <v>604122</v>
      </c>
      <c r="I515" s="11">
        <v>121396804</v>
      </c>
      <c r="J515" s="45"/>
      <c r="K515" s="11"/>
      <c r="L515" s="1">
        <f t="shared" si="250"/>
        <v>1772882</v>
      </c>
      <c r="M515" s="11">
        <f t="shared" si="251"/>
        <v>300187585</v>
      </c>
      <c r="N515" s="39">
        <f t="shared" si="252"/>
        <v>0</v>
      </c>
      <c r="O515" s="13">
        <f t="shared" si="253"/>
        <v>0</v>
      </c>
    </row>
    <row r="516" spans="2:15" x14ac:dyDescent="0.25">
      <c r="B516" s="2" t="s">
        <v>31</v>
      </c>
      <c r="C516" s="2">
        <v>2025</v>
      </c>
      <c r="D516" s="1">
        <v>984805</v>
      </c>
      <c r="E516" s="11">
        <v>138315758</v>
      </c>
      <c r="F516" s="1">
        <v>324145</v>
      </c>
      <c r="G516" s="11">
        <v>56312131</v>
      </c>
      <c r="H516" s="1">
        <v>696448</v>
      </c>
      <c r="I516" s="11">
        <v>142293291</v>
      </c>
      <c r="J516" s="45"/>
      <c r="K516" s="11"/>
      <c r="L516" s="1">
        <f t="shared" si="250"/>
        <v>2005398</v>
      </c>
      <c r="M516" s="11">
        <f t="shared" si="251"/>
        <v>336921180</v>
      </c>
      <c r="N516" s="39">
        <f t="shared" si="252"/>
        <v>0</v>
      </c>
      <c r="O516" s="13">
        <f t="shared" si="253"/>
        <v>0</v>
      </c>
    </row>
    <row r="518" spans="2:15" x14ac:dyDescent="0.25">
      <c r="B518" s="88" t="s">
        <v>12</v>
      </c>
      <c r="C518" s="88"/>
      <c r="D518" s="4">
        <f>SUM(D505:D517)</f>
        <v>9705603</v>
      </c>
      <c r="E518" s="12">
        <f>SUM(E505:E517)</f>
        <v>1429920963</v>
      </c>
      <c r="F518" s="4">
        <f t="shared" ref="F518:M518" si="254">SUM(F505:F517)</f>
        <v>3736497</v>
      </c>
      <c r="G518" s="12">
        <f t="shared" si="254"/>
        <v>716884179</v>
      </c>
      <c r="H518" s="4">
        <f t="shared" si="254"/>
        <v>7311324</v>
      </c>
      <c r="I518" s="12">
        <f t="shared" si="254"/>
        <v>1480460392</v>
      </c>
      <c r="J518" s="4">
        <f t="shared" si="254"/>
        <v>0</v>
      </c>
      <c r="K518" s="12">
        <f t="shared" si="254"/>
        <v>0</v>
      </c>
      <c r="L518" s="4">
        <f t="shared" si="254"/>
        <v>20753424</v>
      </c>
      <c r="M518" s="12">
        <f t="shared" si="254"/>
        <v>3627265534</v>
      </c>
    </row>
    <row r="520" spans="2:15" x14ac:dyDescent="0.25">
      <c r="B520" s="5" t="s">
        <v>14</v>
      </c>
    </row>
    <row r="521" spans="2:15" x14ac:dyDescent="0.25">
      <c r="B521" s="5" t="s">
        <v>78</v>
      </c>
    </row>
    <row r="523" spans="2:15" x14ac:dyDescent="0.25">
      <c r="D523" s="89" t="s">
        <v>15</v>
      </c>
      <c r="E523" s="90"/>
      <c r="F523" s="89" t="s">
        <v>72</v>
      </c>
      <c r="G523" s="90"/>
      <c r="H523" s="89" t="s">
        <v>16</v>
      </c>
      <c r="I523" s="90"/>
      <c r="J523" s="89" t="s">
        <v>73</v>
      </c>
      <c r="K523" s="90"/>
      <c r="L523" s="89" t="s">
        <v>70</v>
      </c>
      <c r="M523" s="90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2025</v>
      </c>
      <c r="D526" s="1">
        <v>264934</v>
      </c>
      <c r="E526" s="11">
        <v>25584866</v>
      </c>
      <c r="F526" s="1">
        <v>183350</v>
      </c>
      <c r="G526" s="11">
        <v>20217527</v>
      </c>
      <c r="H526" s="1">
        <v>143463</v>
      </c>
      <c r="I526" s="11">
        <v>24994909</v>
      </c>
      <c r="J526" s="45">
        <v>0</v>
      </c>
      <c r="K526" s="11">
        <v>0</v>
      </c>
      <c r="L526" s="1">
        <f t="shared" ref="L526:L537" si="255">+D526+F526+H526+J526</f>
        <v>591747</v>
      </c>
      <c r="M526" s="11">
        <f t="shared" ref="M526:M537" si="256">+E526+G526+I526+K526</f>
        <v>70797302</v>
      </c>
      <c r="N526" s="39">
        <f t="shared" ref="N526:N537" si="257">+L526-R378</f>
        <v>0</v>
      </c>
      <c r="O526" s="13">
        <f t="shared" ref="O526:O537" si="258">+M526-S378</f>
        <v>0</v>
      </c>
    </row>
    <row r="527" spans="2:15" x14ac:dyDescent="0.25">
      <c r="B527" s="2" t="s">
        <v>6</v>
      </c>
      <c r="C527" s="2">
        <v>2025</v>
      </c>
      <c r="D527" s="1">
        <v>250389</v>
      </c>
      <c r="E527" s="11">
        <v>24467474</v>
      </c>
      <c r="F527" s="1">
        <v>181732</v>
      </c>
      <c r="G527" s="11">
        <v>19376896</v>
      </c>
      <c r="H527" s="1">
        <v>128745</v>
      </c>
      <c r="I527" s="11">
        <v>22154720</v>
      </c>
      <c r="J527" s="45">
        <v>0</v>
      </c>
      <c r="K527" s="11">
        <v>0</v>
      </c>
      <c r="L527" s="1">
        <f t="shared" si="255"/>
        <v>560866</v>
      </c>
      <c r="M527" s="11">
        <f t="shared" si="256"/>
        <v>65999090</v>
      </c>
      <c r="N527" s="39">
        <f t="shared" si="257"/>
        <v>0</v>
      </c>
      <c r="O527" s="13">
        <f t="shared" si="258"/>
        <v>0</v>
      </c>
    </row>
    <row r="528" spans="2:15" x14ac:dyDescent="0.25">
      <c r="B528" s="2" t="s">
        <v>7</v>
      </c>
      <c r="C528" s="2">
        <v>2025</v>
      </c>
      <c r="D528" s="1">
        <v>282201</v>
      </c>
      <c r="E528" s="11">
        <v>27009982</v>
      </c>
      <c r="F528" s="1">
        <v>205249</v>
      </c>
      <c r="G528" s="11">
        <v>22219054</v>
      </c>
      <c r="H528" s="1">
        <v>129382</v>
      </c>
      <c r="I528" s="11">
        <v>24626832</v>
      </c>
      <c r="J528" s="45">
        <v>0</v>
      </c>
      <c r="K528" s="11">
        <v>0</v>
      </c>
      <c r="L528" s="1">
        <f t="shared" si="255"/>
        <v>616832</v>
      </c>
      <c r="M528" s="11">
        <f t="shared" si="256"/>
        <v>73855868</v>
      </c>
      <c r="N528" s="39">
        <f t="shared" si="257"/>
        <v>0</v>
      </c>
      <c r="O528" s="13">
        <f t="shared" si="258"/>
        <v>0</v>
      </c>
    </row>
    <row r="529" spans="2:15" x14ac:dyDescent="0.25">
      <c r="B529" s="2" t="s">
        <v>8</v>
      </c>
      <c r="C529" s="2">
        <v>2025</v>
      </c>
      <c r="D529" s="1">
        <v>287222</v>
      </c>
      <c r="E529" s="11">
        <v>27908104</v>
      </c>
      <c r="F529" s="1">
        <v>196232</v>
      </c>
      <c r="G529" s="11">
        <v>20110245</v>
      </c>
      <c r="H529" s="1">
        <v>146994</v>
      </c>
      <c r="I529" s="11">
        <v>25626673</v>
      </c>
      <c r="J529" s="45">
        <v>0</v>
      </c>
      <c r="K529" s="11">
        <v>0</v>
      </c>
      <c r="L529" s="1">
        <f t="shared" si="255"/>
        <v>630448</v>
      </c>
      <c r="M529" s="11">
        <f t="shared" si="256"/>
        <v>73645022</v>
      </c>
      <c r="N529" s="39">
        <f t="shared" si="257"/>
        <v>0</v>
      </c>
      <c r="O529" s="13">
        <f t="shared" si="258"/>
        <v>0</v>
      </c>
    </row>
    <row r="530" spans="2:15" x14ac:dyDescent="0.25">
      <c r="B530" s="2" t="s">
        <v>9</v>
      </c>
      <c r="C530" s="2">
        <v>2025</v>
      </c>
      <c r="D530" s="1">
        <v>295855</v>
      </c>
      <c r="E530" s="11">
        <v>28420805</v>
      </c>
      <c r="F530" s="1">
        <v>206102</v>
      </c>
      <c r="G530" s="11">
        <v>22259890</v>
      </c>
      <c r="H530" s="1">
        <v>150135</v>
      </c>
      <c r="I530" s="11">
        <v>25335076</v>
      </c>
      <c r="J530" s="45">
        <v>0</v>
      </c>
      <c r="K530" s="11">
        <v>0</v>
      </c>
      <c r="L530" s="1">
        <f t="shared" si="255"/>
        <v>652092</v>
      </c>
      <c r="M530" s="11">
        <f t="shared" si="256"/>
        <v>76015771</v>
      </c>
      <c r="N530" s="39">
        <f t="shared" si="257"/>
        <v>0</v>
      </c>
      <c r="O530" s="13">
        <f t="shared" si="258"/>
        <v>0</v>
      </c>
    </row>
    <row r="531" spans="2:15" x14ac:dyDescent="0.25">
      <c r="B531" s="2" t="s">
        <v>10</v>
      </c>
      <c r="C531" s="2">
        <v>2025</v>
      </c>
      <c r="D531" s="1">
        <v>274229</v>
      </c>
      <c r="E531" s="11">
        <v>26110558</v>
      </c>
      <c r="F531" s="1">
        <v>188489</v>
      </c>
      <c r="G531" s="11">
        <v>21185716</v>
      </c>
      <c r="H531" s="1">
        <v>143354</v>
      </c>
      <c r="I531" s="11">
        <v>24243696</v>
      </c>
      <c r="J531" s="45">
        <v>0</v>
      </c>
      <c r="K531" s="11">
        <v>0</v>
      </c>
      <c r="L531" s="1">
        <f t="shared" si="255"/>
        <v>606072</v>
      </c>
      <c r="M531" s="11">
        <f t="shared" si="256"/>
        <v>71539970</v>
      </c>
      <c r="N531" s="39">
        <f t="shared" si="257"/>
        <v>0</v>
      </c>
      <c r="O531" s="13">
        <f t="shared" si="258"/>
        <v>0</v>
      </c>
    </row>
    <row r="532" spans="2:15" x14ac:dyDescent="0.25">
      <c r="B532" s="2" t="s">
        <v>11</v>
      </c>
      <c r="C532" s="2">
        <v>2025</v>
      </c>
      <c r="D532" s="1">
        <v>300026</v>
      </c>
      <c r="E532" s="11">
        <v>28826535</v>
      </c>
      <c r="F532" s="1">
        <v>194864</v>
      </c>
      <c r="G532" s="11">
        <v>21990864</v>
      </c>
      <c r="H532" s="1">
        <v>155339</v>
      </c>
      <c r="I532" s="11">
        <v>26599267</v>
      </c>
      <c r="J532" s="45">
        <v>0</v>
      </c>
      <c r="K532" s="11">
        <v>0</v>
      </c>
      <c r="L532" s="1">
        <f t="shared" si="255"/>
        <v>650229</v>
      </c>
      <c r="M532" s="11">
        <f t="shared" si="256"/>
        <v>77416666</v>
      </c>
      <c r="N532" s="39">
        <f t="shared" si="257"/>
        <v>0</v>
      </c>
      <c r="O532" s="13">
        <f t="shared" si="258"/>
        <v>0</v>
      </c>
    </row>
    <row r="533" spans="2:15" x14ac:dyDescent="0.25">
      <c r="B533" s="2" t="s">
        <v>4</v>
      </c>
      <c r="C533" s="2">
        <v>2025</v>
      </c>
      <c r="D533" s="1">
        <v>309510</v>
      </c>
      <c r="E533" s="11">
        <v>29649654</v>
      </c>
      <c r="F533" s="1">
        <v>205253</v>
      </c>
      <c r="G533" s="11">
        <v>21642666</v>
      </c>
      <c r="H533" s="39">
        <v>158681</v>
      </c>
      <c r="I533" s="11">
        <v>27062199</v>
      </c>
      <c r="J533" s="45">
        <v>0</v>
      </c>
      <c r="K533" s="11">
        <v>0</v>
      </c>
      <c r="L533" s="1">
        <f t="shared" si="255"/>
        <v>673444</v>
      </c>
      <c r="M533" s="11">
        <f t="shared" si="256"/>
        <v>78354519</v>
      </c>
      <c r="N533" s="39">
        <f t="shared" si="257"/>
        <v>0</v>
      </c>
      <c r="O533" s="13">
        <f t="shared" si="258"/>
        <v>0</v>
      </c>
    </row>
    <row r="534" spans="2:15" x14ac:dyDescent="0.25">
      <c r="B534" s="2" t="s">
        <v>28</v>
      </c>
      <c r="C534" s="2">
        <v>2025</v>
      </c>
      <c r="D534" s="1">
        <v>287254</v>
      </c>
      <c r="E534" s="14">
        <v>26982967</v>
      </c>
      <c r="F534" s="1">
        <v>197771</v>
      </c>
      <c r="G534" s="14">
        <v>20042875</v>
      </c>
      <c r="H534" s="1">
        <v>151965</v>
      </c>
      <c r="I534" s="14">
        <v>25848618</v>
      </c>
      <c r="J534" s="45">
        <v>0</v>
      </c>
      <c r="K534" s="11">
        <v>0</v>
      </c>
      <c r="L534" s="1">
        <f t="shared" si="255"/>
        <v>636990</v>
      </c>
      <c r="M534" s="11">
        <f t="shared" si="256"/>
        <v>72874460</v>
      </c>
      <c r="N534" s="39">
        <f t="shared" si="257"/>
        <v>0</v>
      </c>
      <c r="O534" s="13">
        <f t="shared" si="258"/>
        <v>0</v>
      </c>
    </row>
    <row r="535" spans="2:15" x14ac:dyDescent="0.25">
      <c r="B535" s="2" t="s">
        <v>29</v>
      </c>
      <c r="C535" s="2">
        <v>2025</v>
      </c>
      <c r="D535" s="1">
        <v>301528</v>
      </c>
      <c r="E535" s="11">
        <v>28853714</v>
      </c>
      <c r="F535" s="1">
        <v>223906</v>
      </c>
      <c r="G535" s="11">
        <v>23119422</v>
      </c>
      <c r="H535" s="1">
        <v>161722</v>
      </c>
      <c r="I535" s="11">
        <v>27125372</v>
      </c>
      <c r="J535" s="45">
        <v>0</v>
      </c>
      <c r="K535" s="11">
        <v>0</v>
      </c>
      <c r="L535" s="1">
        <f t="shared" si="255"/>
        <v>687156</v>
      </c>
      <c r="M535" s="11">
        <f t="shared" si="256"/>
        <v>79098508</v>
      </c>
      <c r="N535" s="39">
        <f t="shared" si="257"/>
        <v>0</v>
      </c>
      <c r="O535" s="13">
        <f t="shared" si="258"/>
        <v>0</v>
      </c>
    </row>
    <row r="536" spans="2:15" x14ac:dyDescent="0.25">
      <c r="B536" s="2" t="s">
        <v>30</v>
      </c>
      <c r="C536" s="2">
        <v>2025</v>
      </c>
      <c r="D536" s="1">
        <v>307667</v>
      </c>
      <c r="E536" s="11">
        <v>29595830</v>
      </c>
      <c r="F536" s="1">
        <v>218329</v>
      </c>
      <c r="G536" s="11">
        <v>22310966</v>
      </c>
      <c r="H536" s="1">
        <v>154018</v>
      </c>
      <c r="I536" s="11">
        <v>26435817</v>
      </c>
      <c r="J536" s="45">
        <v>0</v>
      </c>
      <c r="K536" s="11"/>
      <c r="L536" s="1">
        <f t="shared" si="255"/>
        <v>680014</v>
      </c>
      <c r="M536" s="11">
        <f t="shared" si="256"/>
        <v>78342613</v>
      </c>
      <c r="N536" s="39">
        <f t="shared" si="257"/>
        <v>0</v>
      </c>
      <c r="O536" s="13">
        <f t="shared" si="258"/>
        <v>0</v>
      </c>
    </row>
    <row r="537" spans="2:15" x14ac:dyDescent="0.25">
      <c r="B537" s="2" t="s">
        <v>31</v>
      </c>
      <c r="C537" s="2">
        <v>2025</v>
      </c>
      <c r="D537" s="1">
        <v>340344</v>
      </c>
      <c r="E537" s="11">
        <v>32663699</v>
      </c>
      <c r="F537" s="1">
        <v>298469</v>
      </c>
      <c r="G537" s="11">
        <v>28952246</v>
      </c>
      <c r="H537" s="1">
        <v>237410</v>
      </c>
      <c r="I537" s="11">
        <v>42775530</v>
      </c>
      <c r="J537" s="45"/>
      <c r="K537" s="11"/>
      <c r="L537" s="1">
        <f t="shared" si="255"/>
        <v>876223</v>
      </c>
      <c r="M537" s="11">
        <f t="shared" si="256"/>
        <v>104391475</v>
      </c>
      <c r="N537" s="39">
        <f t="shared" si="257"/>
        <v>0</v>
      </c>
      <c r="O537" s="13">
        <f t="shared" si="258"/>
        <v>0</v>
      </c>
    </row>
    <row r="539" spans="2:15" x14ac:dyDescent="0.25">
      <c r="B539" s="88" t="s">
        <v>12</v>
      </c>
      <c r="C539" s="88"/>
      <c r="D539" s="4">
        <f>SUM(D526:D538)</f>
        <v>3501159</v>
      </c>
      <c r="E539" s="12">
        <f>SUM(E526:E538)</f>
        <v>336074188</v>
      </c>
      <c r="F539" s="4">
        <f t="shared" ref="F539:M539" si="259">SUM(F526:F538)</f>
        <v>2499746</v>
      </c>
      <c r="G539" s="12">
        <f t="shared" si="259"/>
        <v>263428367</v>
      </c>
      <c r="H539" s="4">
        <f t="shared" si="259"/>
        <v>1861208</v>
      </c>
      <c r="I539" s="12">
        <f t="shared" si="259"/>
        <v>322828709</v>
      </c>
      <c r="J539" s="4">
        <f t="shared" si="259"/>
        <v>0</v>
      </c>
      <c r="K539" s="12">
        <f t="shared" si="259"/>
        <v>0</v>
      </c>
      <c r="L539" s="4">
        <f t="shared" si="259"/>
        <v>7862113</v>
      </c>
      <c r="M539" s="12">
        <f t="shared" si="259"/>
        <v>922331264</v>
      </c>
    </row>
    <row r="541" spans="2:15" x14ac:dyDescent="0.25">
      <c r="B541" s="5" t="s">
        <v>14</v>
      </c>
    </row>
    <row r="542" spans="2:15" x14ac:dyDescent="0.25">
      <c r="B542" s="5" t="s">
        <v>79</v>
      </c>
    </row>
    <row r="544" spans="2:15" x14ac:dyDescent="0.25">
      <c r="D544" s="89" t="s">
        <v>15</v>
      </c>
      <c r="E544" s="90"/>
      <c r="F544" s="89" t="s">
        <v>72</v>
      </c>
      <c r="G544" s="90"/>
      <c r="H544" s="89" t="s">
        <v>16</v>
      </c>
      <c r="I544" s="90"/>
      <c r="J544" s="89" t="s">
        <v>73</v>
      </c>
      <c r="K544" s="90"/>
      <c r="L544" s="89" t="s">
        <v>70</v>
      </c>
      <c r="M544" s="90"/>
      <c r="N544" s="9"/>
    </row>
    <row r="545" spans="2:15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</row>
    <row r="546" spans="2:15" x14ac:dyDescent="0.25">
      <c r="N546" s="9"/>
    </row>
    <row r="547" spans="2:15" x14ac:dyDescent="0.25">
      <c r="B547" s="2" t="s">
        <v>5</v>
      </c>
      <c r="C547" s="2">
        <v>2025</v>
      </c>
      <c r="D547" s="1">
        <v>15845</v>
      </c>
      <c r="E547" s="11">
        <v>2967587</v>
      </c>
      <c r="F547" s="1">
        <v>8428</v>
      </c>
      <c r="G547" s="11">
        <v>1629108</v>
      </c>
      <c r="H547" s="1">
        <v>19767</v>
      </c>
      <c r="I547" s="11">
        <v>4647697</v>
      </c>
      <c r="J547" s="1">
        <v>0</v>
      </c>
      <c r="K547" s="11">
        <v>0</v>
      </c>
      <c r="L547" s="1">
        <f t="shared" ref="L547:L558" si="260">+D547+F547+H547+J547</f>
        <v>44040</v>
      </c>
      <c r="M547" s="11">
        <f t="shared" ref="M547:M558" si="261">+E547+G547+I547+K547</f>
        <v>9244392</v>
      </c>
      <c r="N547" s="39">
        <f t="shared" ref="N547:N558" si="262">+L547-T378</f>
        <v>0</v>
      </c>
      <c r="O547" s="13">
        <f t="shared" ref="O547:O558" si="263">+M547-U378</f>
        <v>0</v>
      </c>
    </row>
    <row r="548" spans="2:15" x14ac:dyDescent="0.25">
      <c r="B548" s="2" t="s">
        <v>6</v>
      </c>
      <c r="C548" s="2">
        <v>2025</v>
      </c>
      <c r="D548" s="1">
        <v>14073</v>
      </c>
      <c r="E548" s="11">
        <v>2795869</v>
      </c>
      <c r="F548" s="1">
        <v>8571</v>
      </c>
      <c r="G548" s="11">
        <v>1679545</v>
      </c>
      <c r="H548" s="1">
        <v>17266</v>
      </c>
      <c r="I548" s="11">
        <v>4116666</v>
      </c>
      <c r="J548" s="1">
        <v>0</v>
      </c>
      <c r="K548" s="11">
        <v>0</v>
      </c>
      <c r="L548" s="1">
        <f t="shared" si="260"/>
        <v>39910</v>
      </c>
      <c r="M548" s="11">
        <f t="shared" si="261"/>
        <v>8592080</v>
      </c>
      <c r="N548" s="39">
        <f t="shared" si="262"/>
        <v>0</v>
      </c>
      <c r="O548" s="13">
        <f t="shared" si="263"/>
        <v>0</v>
      </c>
    </row>
    <row r="549" spans="2:15" x14ac:dyDescent="0.25">
      <c r="B549" s="2" t="s">
        <v>7</v>
      </c>
      <c r="C549" s="2">
        <v>2025</v>
      </c>
      <c r="D549" s="1">
        <v>15818</v>
      </c>
      <c r="E549" s="11">
        <v>3157298</v>
      </c>
      <c r="F549" s="1">
        <v>9527</v>
      </c>
      <c r="G549" s="11">
        <v>1790705</v>
      </c>
      <c r="H549" s="1">
        <v>19463</v>
      </c>
      <c r="I549" s="11">
        <v>4656705</v>
      </c>
      <c r="J549" s="1">
        <v>0</v>
      </c>
      <c r="K549" s="11">
        <v>0</v>
      </c>
      <c r="L549" s="1">
        <f t="shared" si="260"/>
        <v>44808</v>
      </c>
      <c r="M549" s="11">
        <f t="shared" si="261"/>
        <v>9604708</v>
      </c>
      <c r="N549" s="39">
        <f t="shared" si="262"/>
        <v>0</v>
      </c>
      <c r="O549" s="13">
        <f t="shared" si="263"/>
        <v>0</v>
      </c>
    </row>
    <row r="550" spans="2:15" x14ac:dyDescent="0.25">
      <c r="B550" s="2" t="s">
        <v>8</v>
      </c>
      <c r="C550" s="2">
        <v>2025</v>
      </c>
      <c r="D550" s="1">
        <v>16831</v>
      </c>
      <c r="E550" s="11">
        <v>3225857</v>
      </c>
      <c r="F550" s="1">
        <v>9300</v>
      </c>
      <c r="G550" s="11">
        <v>1689144</v>
      </c>
      <c r="H550" s="1">
        <v>18173</v>
      </c>
      <c r="I550" s="11">
        <v>4499555</v>
      </c>
      <c r="J550" s="1">
        <v>0</v>
      </c>
      <c r="K550" s="11">
        <v>0</v>
      </c>
      <c r="L550" s="1">
        <f t="shared" si="260"/>
        <v>44304</v>
      </c>
      <c r="M550" s="11">
        <f t="shared" si="261"/>
        <v>9414556</v>
      </c>
      <c r="N550" s="39">
        <f t="shared" si="262"/>
        <v>0</v>
      </c>
      <c r="O550" s="13">
        <f t="shared" si="263"/>
        <v>0</v>
      </c>
    </row>
    <row r="551" spans="2:15" x14ac:dyDescent="0.25">
      <c r="B551" s="2" t="s">
        <v>9</v>
      </c>
      <c r="C551" s="2">
        <v>2025</v>
      </c>
      <c r="D551" s="1">
        <v>17804</v>
      </c>
      <c r="E551" s="11">
        <v>3381873</v>
      </c>
      <c r="F551" s="1">
        <v>10655</v>
      </c>
      <c r="G551" s="11">
        <v>1961878</v>
      </c>
      <c r="H551" s="1">
        <v>20528</v>
      </c>
      <c r="I551" s="11">
        <v>4754470</v>
      </c>
      <c r="J551" s="1">
        <v>0</v>
      </c>
      <c r="K551" s="11">
        <v>0</v>
      </c>
      <c r="L551" s="1">
        <f t="shared" si="260"/>
        <v>48987</v>
      </c>
      <c r="M551" s="11">
        <f t="shared" si="261"/>
        <v>10098221</v>
      </c>
      <c r="N551" s="39">
        <f t="shared" si="262"/>
        <v>0</v>
      </c>
      <c r="O551" s="13">
        <f t="shared" si="263"/>
        <v>0</v>
      </c>
    </row>
    <row r="552" spans="2:15" x14ac:dyDescent="0.25">
      <c r="B552" s="2" t="s">
        <v>10</v>
      </c>
      <c r="C552" s="2">
        <v>2025</v>
      </c>
      <c r="D552" s="1">
        <v>18396</v>
      </c>
      <c r="E552" s="11">
        <v>3459018</v>
      </c>
      <c r="F552" s="1">
        <v>10639</v>
      </c>
      <c r="G552" s="11">
        <v>1965257</v>
      </c>
      <c r="H552" s="1">
        <v>19111</v>
      </c>
      <c r="I552" s="11">
        <v>4451755</v>
      </c>
      <c r="J552" s="1">
        <v>0</v>
      </c>
      <c r="K552" s="11">
        <v>0</v>
      </c>
      <c r="L552" s="1">
        <f t="shared" si="260"/>
        <v>48146</v>
      </c>
      <c r="M552" s="11">
        <f t="shared" si="261"/>
        <v>9876030</v>
      </c>
      <c r="N552" s="39">
        <f t="shared" si="262"/>
        <v>0</v>
      </c>
      <c r="O552" s="13">
        <f t="shared" si="263"/>
        <v>0</v>
      </c>
    </row>
    <row r="553" spans="2:15" x14ac:dyDescent="0.25">
      <c r="B553" s="2" t="s">
        <v>11</v>
      </c>
      <c r="C553" s="2">
        <v>2025</v>
      </c>
      <c r="D553" s="1">
        <v>20998</v>
      </c>
      <c r="E553" s="11">
        <v>3809406</v>
      </c>
      <c r="F553" s="1">
        <v>10910</v>
      </c>
      <c r="G553" s="11">
        <v>1987505</v>
      </c>
      <c r="H553" s="1">
        <v>19150</v>
      </c>
      <c r="I553" s="11">
        <v>4761674</v>
      </c>
      <c r="J553" s="1">
        <v>0</v>
      </c>
      <c r="K553" s="11">
        <v>0</v>
      </c>
      <c r="L553" s="1">
        <f t="shared" si="260"/>
        <v>51058</v>
      </c>
      <c r="M553" s="11">
        <f t="shared" si="261"/>
        <v>10558585</v>
      </c>
      <c r="N553" s="39">
        <f t="shared" si="262"/>
        <v>0</v>
      </c>
      <c r="O553" s="13">
        <f t="shared" si="263"/>
        <v>0</v>
      </c>
    </row>
    <row r="554" spans="2:15" x14ac:dyDescent="0.25">
      <c r="B554" s="2" t="s">
        <v>4</v>
      </c>
      <c r="C554" s="2">
        <v>2025</v>
      </c>
      <c r="D554" s="1">
        <v>21463</v>
      </c>
      <c r="E554" s="11">
        <v>3794897</v>
      </c>
      <c r="F554" s="1">
        <v>10614</v>
      </c>
      <c r="G554" s="11">
        <v>1886806</v>
      </c>
      <c r="H554" s="1">
        <v>20174</v>
      </c>
      <c r="I554" s="11">
        <v>4821325</v>
      </c>
      <c r="J554" s="1">
        <v>0</v>
      </c>
      <c r="K554" s="11">
        <v>0</v>
      </c>
      <c r="L554" s="1">
        <f t="shared" si="260"/>
        <v>52251</v>
      </c>
      <c r="M554" s="11">
        <f t="shared" si="261"/>
        <v>10503028</v>
      </c>
      <c r="N554" s="39">
        <f t="shared" si="262"/>
        <v>0</v>
      </c>
      <c r="O554" s="13">
        <f t="shared" si="263"/>
        <v>0</v>
      </c>
    </row>
    <row r="555" spans="2:15" x14ac:dyDescent="0.25">
      <c r="B555" s="2" t="s">
        <v>28</v>
      </c>
      <c r="C555" s="2">
        <v>2025</v>
      </c>
      <c r="D555" s="1">
        <v>19597</v>
      </c>
      <c r="E555" s="14">
        <v>3403639</v>
      </c>
      <c r="F555" s="1">
        <v>10932</v>
      </c>
      <c r="G555" s="14">
        <v>1905016</v>
      </c>
      <c r="H555" s="1">
        <v>19520</v>
      </c>
      <c r="I555" s="14">
        <v>4503490</v>
      </c>
      <c r="J555" s="1">
        <v>0</v>
      </c>
      <c r="K555" s="11">
        <v>0</v>
      </c>
      <c r="L555" s="1">
        <f t="shared" si="260"/>
        <v>50049</v>
      </c>
      <c r="M555" s="11">
        <f t="shared" si="261"/>
        <v>9812145</v>
      </c>
      <c r="N555" s="39">
        <f t="shared" si="262"/>
        <v>0</v>
      </c>
      <c r="O555" s="13">
        <f t="shared" si="263"/>
        <v>0</v>
      </c>
    </row>
    <row r="556" spans="2:15" x14ac:dyDescent="0.25">
      <c r="B556" s="2" t="s">
        <v>29</v>
      </c>
      <c r="C556" s="2">
        <v>2025</v>
      </c>
      <c r="D556" s="1">
        <v>20615</v>
      </c>
      <c r="E556" s="11">
        <v>3613664</v>
      </c>
      <c r="F556" s="1">
        <v>11249</v>
      </c>
      <c r="G556" s="11">
        <v>1968556</v>
      </c>
      <c r="H556" s="1">
        <v>19979</v>
      </c>
      <c r="I556" s="11">
        <v>4592134</v>
      </c>
      <c r="J556" s="1">
        <v>0</v>
      </c>
      <c r="K556" s="11">
        <v>0</v>
      </c>
      <c r="L556" s="1">
        <f t="shared" si="260"/>
        <v>51843</v>
      </c>
      <c r="M556" s="11">
        <f t="shared" si="261"/>
        <v>10174354</v>
      </c>
      <c r="N556" s="39">
        <f t="shared" si="262"/>
        <v>0</v>
      </c>
      <c r="O556" s="13">
        <f t="shared" si="263"/>
        <v>0</v>
      </c>
    </row>
    <row r="557" spans="2:15" x14ac:dyDescent="0.25">
      <c r="B557" s="2" t="s">
        <v>30</v>
      </c>
      <c r="C557" s="2">
        <v>2025</v>
      </c>
      <c r="D557" s="1">
        <v>21118</v>
      </c>
      <c r="E557" s="11">
        <v>3795709</v>
      </c>
      <c r="F557" s="1">
        <v>11353</v>
      </c>
      <c r="G557" s="11">
        <v>2037028</v>
      </c>
      <c r="H557" s="1">
        <v>20110</v>
      </c>
      <c r="I557" s="11">
        <v>4865715</v>
      </c>
      <c r="J557" s="1">
        <v>0</v>
      </c>
      <c r="K557" s="11"/>
      <c r="L557" s="1">
        <f t="shared" si="260"/>
        <v>52581</v>
      </c>
      <c r="M557" s="11">
        <f t="shared" si="261"/>
        <v>10698452</v>
      </c>
      <c r="N557" s="39">
        <f t="shared" si="262"/>
        <v>0</v>
      </c>
      <c r="O557" s="13">
        <f t="shared" si="263"/>
        <v>0</v>
      </c>
    </row>
    <row r="558" spans="2:15" x14ac:dyDescent="0.25">
      <c r="B558" s="2" t="s">
        <v>31</v>
      </c>
      <c r="C558" s="2">
        <v>2025</v>
      </c>
      <c r="D558" s="1">
        <v>22636</v>
      </c>
      <c r="E558" s="11">
        <v>3862742</v>
      </c>
      <c r="F558" s="1">
        <v>11995</v>
      </c>
      <c r="G558" s="11">
        <v>2264914</v>
      </c>
      <c r="H558" s="1">
        <v>19832</v>
      </c>
      <c r="I558" s="11">
        <v>4668626</v>
      </c>
      <c r="J558" s="1"/>
      <c r="K558" s="11"/>
      <c r="L558" s="1">
        <f t="shared" si="260"/>
        <v>54463</v>
      </c>
      <c r="M558" s="11">
        <f t="shared" si="261"/>
        <v>10796282</v>
      </c>
      <c r="N558" s="39">
        <f t="shared" si="262"/>
        <v>0</v>
      </c>
      <c r="O558" s="13">
        <f t="shared" si="263"/>
        <v>0</v>
      </c>
    </row>
    <row r="560" spans="2:15" x14ac:dyDescent="0.25">
      <c r="B560" s="88" t="s">
        <v>12</v>
      </c>
      <c r="C560" s="88"/>
      <c r="D560" s="4">
        <f>SUM(D547:D559)</f>
        <v>225194</v>
      </c>
      <c r="E560" s="12">
        <f>SUM(E547:E559)</f>
        <v>41267559</v>
      </c>
      <c r="F560" s="4">
        <f t="shared" ref="F560:M560" si="264">SUM(F547:F559)</f>
        <v>124173</v>
      </c>
      <c r="G560" s="12">
        <f t="shared" si="264"/>
        <v>22765462</v>
      </c>
      <c r="H560" s="4">
        <f t="shared" si="264"/>
        <v>233073</v>
      </c>
      <c r="I560" s="12">
        <f t="shared" si="264"/>
        <v>55339812</v>
      </c>
      <c r="J560" s="4">
        <f t="shared" si="264"/>
        <v>0</v>
      </c>
      <c r="K560" s="12">
        <f t="shared" si="264"/>
        <v>0</v>
      </c>
      <c r="L560" s="4">
        <f t="shared" si="264"/>
        <v>582440</v>
      </c>
      <c r="M560" s="12">
        <f t="shared" si="264"/>
        <v>119372833</v>
      </c>
    </row>
    <row r="562" spans="2:15" x14ac:dyDescent="0.25">
      <c r="B562" s="5" t="s">
        <v>14</v>
      </c>
    </row>
    <row r="563" spans="2:15" x14ac:dyDescent="0.25">
      <c r="B563" s="5" t="s">
        <v>88</v>
      </c>
    </row>
    <row r="565" spans="2:15" x14ac:dyDescent="0.25">
      <c r="D565" s="89" t="s">
        <v>15</v>
      </c>
      <c r="E565" s="90"/>
      <c r="F565" s="89" t="s">
        <v>72</v>
      </c>
      <c r="G565" s="90"/>
      <c r="H565" s="89" t="s">
        <v>16</v>
      </c>
      <c r="I565" s="90"/>
      <c r="J565" s="89" t="s">
        <v>73</v>
      </c>
      <c r="K565" s="90"/>
      <c r="L565" s="89" t="s">
        <v>70</v>
      </c>
      <c r="M565" s="90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2025</v>
      </c>
      <c r="D568" s="1">
        <v>264938</v>
      </c>
      <c r="E568" s="11">
        <v>18047827</v>
      </c>
      <c r="F568" s="1">
        <v>222179</v>
      </c>
      <c r="G568" s="11">
        <v>15106384</v>
      </c>
      <c r="H568" s="1">
        <v>101211</v>
      </c>
      <c r="I568" s="11">
        <v>12695467</v>
      </c>
      <c r="J568" s="1">
        <v>0</v>
      </c>
      <c r="K568" s="11">
        <v>0</v>
      </c>
      <c r="L568" s="1">
        <f t="shared" ref="L568:L579" si="265">+D568+F568+H568+J568</f>
        <v>588328</v>
      </c>
      <c r="M568" s="11">
        <f t="shared" ref="M568:M579" si="266">+E568+G568+I568+K568</f>
        <v>45849678</v>
      </c>
      <c r="N568" s="39">
        <f t="shared" ref="N568:N579" si="267">+L568-V378</f>
        <v>0</v>
      </c>
      <c r="O568" s="13">
        <f t="shared" ref="O568:O579" si="268">+M568-W378</f>
        <v>0</v>
      </c>
    </row>
    <row r="569" spans="2:15" x14ac:dyDescent="0.25">
      <c r="B569" s="2" t="s">
        <v>6</v>
      </c>
      <c r="C569" s="2">
        <v>2025</v>
      </c>
      <c r="D569" s="1">
        <v>246485</v>
      </c>
      <c r="E569" s="11">
        <v>17179084</v>
      </c>
      <c r="F569" s="1">
        <v>206614</v>
      </c>
      <c r="G569" s="11">
        <v>14681859</v>
      </c>
      <c r="H569" s="1">
        <v>89727</v>
      </c>
      <c r="I569" s="11">
        <v>11576626</v>
      </c>
      <c r="J569" s="1">
        <v>0</v>
      </c>
      <c r="K569" s="11">
        <v>0</v>
      </c>
      <c r="L569" s="1">
        <f t="shared" si="265"/>
        <v>542826</v>
      </c>
      <c r="M569" s="11">
        <f t="shared" si="266"/>
        <v>43437569</v>
      </c>
      <c r="N569" s="39">
        <f t="shared" si="267"/>
        <v>0</v>
      </c>
      <c r="O569" s="13">
        <f t="shared" si="268"/>
        <v>0</v>
      </c>
    </row>
    <row r="570" spans="2:15" x14ac:dyDescent="0.25">
      <c r="B570" s="2" t="s">
        <v>7</v>
      </c>
      <c r="C570" s="2">
        <v>2025</v>
      </c>
      <c r="D570" s="1">
        <v>284115</v>
      </c>
      <c r="E570" s="11">
        <v>19992827</v>
      </c>
      <c r="F570" s="1">
        <v>226141</v>
      </c>
      <c r="G570" s="11">
        <v>15150662</v>
      </c>
      <c r="H570" s="1">
        <v>100095</v>
      </c>
      <c r="I570" s="11">
        <v>13283330</v>
      </c>
      <c r="J570" s="1">
        <v>0</v>
      </c>
      <c r="K570" s="11">
        <v>0</v>
      </c>
      <c r="L570" s="1">
        <f t="shared" si="265"/>
        <v>610351</v>
      </c>
      <c r="M570" s="11">
        <f t="shared" si="266"/>
        <v>48426819</v>
      </c>
      <c r="N570" s="39">
        <f t="shared" si="267"/>
        <v>0</v>
      </c>
      <c r="O570" s="13">
        <f t="shared" si="268"/>
        <v>0</v>
      </c>
    </row>
    <row r="571" spans="2:15" x14ac:dyDescent="0.25">
      <c r="B571" s="2" t="s">
        <v>8</v>
      </c>
      <c r="C571" s="2">
        <v>2025</v>
      </c>
      <c r="D571" s="1">
        <v>287638</v>
      </c>
      <c r="E571" s="11">
        <v>20621693</v>
      </c>
      <c r="F571" s="1">
        <v>215554</v>
      </c>
      <c r="G571" s="11">
        <v>14608970</v>
      </c>
      <c r="H571" s="1">
        <v>102926</v>
      </c>
      <c r="I571" s="11">
        <v>13775968</v>
      </c>
      <c r="J571" s="1">
        <v>0</v>
      </c>
      <c r="K571" s="11">
        <v>0</v>
      </c>
      <c r="L571" s="1">
        <f t="shared" si="265"/>
        <v>606118</v>
      </c>
      <c r="M571" s="11">
        <f t="shared" si="266"/>
        <v>49006631</v>
      </c>
      <c r="N571" s="39">
        <f t="shared" si="267"/>
        <v>0</v>
      </c>
      <c r="O571" s="13">
        <f t="shared" si="268"/>
        <v>0</v>
      </c>
    </row>
    <row r="572" spans="2:15" x14ac:dyDescent="0.25">
      <c r="B572" s="2" t="s">
        <v>9</v>
      </c>
      <c r="C572" s="2">
        <v>2025</v>
      </c>
      <c r="D572" s="1">
        <v>296839</v>
      </c>
      <c r="E572" s="11">
        <v>20919228</v>
      </c>
      <c r="F572" s="1">
        <v>226021</v>
      </c>
      <c r="G572" s="11">
        <v>15396400</v>
      </c>
      <c r="H572" s="1">
        <v>105479</v>
      </c>
      <c r="I572" s="11">
        <v>13990116</v>
      </c>
      <c r="J572" s="1">
        <v>0</v>
      </c>
      <c r="K572" s="11">
        <v>0</v>
      </c>
      <c r="L572" s="1">
        <f t="shared" si="265"/>
        <v>628339</v>
      </c>
      <c r="M572" s="11">
        <f t="shared" si="266"/>
        <v>50305744</v>
      </c>
      <c r="N572" s="39">
        <f t="shared" si="267"/>
        <v>0</v>
      </c>
      <c r="O572" s="13">
        <f t="shared" si="268"/>
        <v>0</v>
      </c>
    </row>
    <row r="573" spans="2:15" x14ac:dyDescent="0.25">
      <c r="B573" s="2" t="s">
        <v>10</v>
      </c>
      <c r="C573" s="2">
        <v>2025</v>
      </c>
      <c r="D573" s="1">
        <v>286465</v>
      </c>
      <c r="E573" s="11">
        <v>19789396</v>
      </c>
      <c r="F573" s="1">
        <v>216564</v>
      </c>
      <c r="G573" s="11">
        <v>14853478</v>
      </c>
      <c r="H573" s="1">
        <v>105447</v>
      </c>
      <c r="I573" s="11">
        <v>13598436</v>
      </c>
      <c r="J573" s="1">
        <v>0</v>
      </c>
      <c r="K573" s="11">
        <v>0</v>
      </c>
      <c r="L573" s="1">
        <f t="shared" si="265"/>
        <v>608476</v>
      </c>
      <c r="M573" s="11">
        <f t="shared" si="266"/>
        <v>48241310</v>
      </c>
      <c r="N573" s="39">
        <f t="shared" si="267"/>
        <v>0</v>
      </c>
      <c r="O573" s="13">
        <f t="shared" si="268"/>
        <v>0</v>
      </c>
    </row>
    <row r="574" spans="2:15" x14ac:dyDescent="0.25">
      <c r="B574" s="2" t="s">
        <v>11</v>
      </c>
      <c r="C574" s="2">
        <v>2025</v>
      </c>
      <c r="D574" s="1">
        <v>309741</v>
      </c>
      <c r="E574" s="11">
        <v>21732790</v>
      </c>
      <c r="F574" s="1">
        <v>225069</v>
      </c>
      <c r="G574" s="11">
        <v>15379108</v>
      </c>
      <c r="H574" s="1">
        <v>109846</v>
      </c>
      <c r="I574" s="11">
        <v>14354561</v>
      </c>
      <c r="J574" s="1">
        <v>0</v>
      </c>
      <c r="K574" s="11">
        <v>0</v>
      </c>
      <c r="L574" s="1">
        <f t="shared" si="265"/>
        <v>644656</v>
      </c>
      <c r="M574" s="11">
        <f t="shared" si="266"/>
        <v>51466459</v>
      </c>
      <c r="N574" s="39">
        <f t="shared" si="267"/>
        <v>0</v>
      </c>
      <c r="O574" s="13">
        <f t="shared" si="268"/>
        <v>0</v>
      </c>
    </row>
    <row r="575" spans="2:15" x14ac:dyDescent="0.25">
      <c r="B575" s="2" t="s">
        <v>4</v>
      </c>
      <c r="C575" s="2">
        <v>2025</v>
      </c>
      <c r="D575" s="1">
        <v>322715</v>
      </c>
      <c r="E575" s="11">
        <v>22453791</v>
      </c>
      <c r="F575" s="1">
        <v>247531</v>
      </c>
      <c r="G575" s="11">
        <v>16648965</v>
      </c>
      <c r="H575" s="1">
        <v>113371</v>
      </c>
      <c r="I575" s="11">
        <v>14816648</v>
      </c>
      <c r="J575" s="1">
        <v>0</v>
      </c>
      <c r="K575" s="11">
        <v>0</v>
      </c>
      <c r="L575" s="1">
        <f t="shared" si="265"/>
        <v>683617</v>
      </c>
      <c r="M575" s="11">
        <f t="shared" si="266"/>
        <v>53919404</v>
      </c>
      <c r="N575" s="39">
        <f t="shared" si="267"/>
        <v>0</v>
      </c>
      <c r="O575" s="13">
        <f t="shared" si="268"/>
        <v>0</v>
      </c>
    </row>
    <row r="576" spans="2:15" x14ac:dyDescent="0.25">
      <c r="B576" s="2" t="s">
        <v>28</v>
      </c>
      <c r="C576" s="2">
        <v>2025</v>
      </c>
      <c r="D576" s="1">
        <v>300640</v>
      </c>
      <c r="E576" s="14">
        <v>20806892</v>
      </c>
      <c r="F576" s="1">
        <v>230157</v>
      </c>
      <c r="G576" s="14">
        <v>15582987</v>
      </c>
      <c r="H576" s="1">
        <v>103828</v>
      </c>
      <c r="I576" s="14">
        <v>13056263</v>
      </c>
      <c r="J576" s="1">
        <v>0</v>
      </c>
      <c r="K576" s="11">
        <v>0</v>
      </c>
      <c r="L576" s="1">
        <f t="shared" si="265"/>
        <v>634625</v>
      </c>
      <c r="M576" s="11">
        <f t="shared" si="266"/>
        <v>49446142</v>
      </c>
      <c r="N576" s="39">
        <f t="shared" si="267"/>
        <v>0</v>
      </c>
      <c r="O576" s="13">
        <f t="shared" si="268"/>
        <v>0</v>
      </c>
    </row>
    <row r="577" spans="2:21" x14ac:dyDescent="0.25">
      <c r="B577" s="2" t="s">
        <v>29</v>
      </c>
      <c r="C577" s="2">
        <v>2025</v>
      </c>
      <c r="D577" s="1">
        <v>314214</v>
      </c>
      <c r="E577" s="11">
        <v>21973569</v>
      </c>
      <c r="F577" s="1">
        <v>247946</v>
      </c>
      <c r="G577" s="11">
        <v>16920116</v>
      </c>
      <c r="H577" s="1">
        <v>106173</v>
      </c>
      <c r="I577" s="11">
        <v>13487565</v>
      </c>
      <c r="J577" s="1">
        <v>0</v>
      </c>
      <c r="K577" s="11">
        <v>0</v>
      </c>
      <c r="L577" s="1">
        <f t="shared" si="265"/>
        <v>668333</v>
      </c>
      <c r="M577" s="11">
        <f t="shared" si="266"/>
        <v>52381250</v>
      </c>
      <c r="N577" s="39">
        <f t="shared" si="267"/>
        <v>0</v>
      </c>
      <c r="O577" s="13">
        <f t="shared" si="268"/>
        <v>0</v>
      </c>
    </row>
    <row r="578" spans="2:21" x14ac:dyDescent="0.25">
      <c r="B578" s="2" t="s">
        <v>30</v>
      </c>
      <c r="C578" s="2">
        <v>2025</v>
      </c>
      <c r="D578" s="1">
        <v>294973</v>
      </c>
      <c r="E578" s="11">
        <v>20945747</v>
      </c>
      <c r="F578" s="1">
        <v>242926</v>
      </c>
      <c r="G578" s="11">
        <v>16272882</v>
      </c>
      <c r="H578" s="1">
        <v>106593</v>
      </c>
      <c r="I578" s="11">
        <v>13892863</v>
      </c>
      <c r="J578" s="1">
        <v>0</v>
      </c>
      <c r="K578" s="11">
        <v>0</v>
      </c>
      <c r="L578" s="1">
        <f t="shared" si="265"/>
        <v>644492</v>
      </c>
      <c r="M578" s="11">
        <f t="shared" si="266"/>
        <v>51111492</v>
      </c>
      <c r="N578" s="39">
        <f t="shared" si="267"/>
        <v>0</v>
      </c>
      <c r="O578" s="13">
        <f t="shared" si="268"/>
        <v>0</v>
      </c>
    </row>
    <row r="579" spans="2:21" x14ac:dyDescent="0.25">
      <c r="B579" s="2" t="s">
        <v>31</v>
      </c>
      <c r="C579" s="2">
        <v>2025</v>
      </c>
      <c r="D579" s="1">
        <v>360640</v>
      </c>
      <c r="E579" s="11">
        <v>25816572</v>
      </c>
      <c r="F579" s="1">
        <v>259426</v>
      </c>
      <c r="G579" s="11">
        <v>17819964</v>
      </c>
      <c r="H579" s="1">
        <v>126068</v>
      </c>
      <c r="I579" s="11">
        <v>16615757</v>
      </c>
      <c r="J579" s="1"/>
      <c r="K579" s="11"/>
      <c r="L579" s="1">
        <f t="shared" si="265"/>
        <v>746134</v>
      </c>
      <c r="M579" s="11">
        <f t="shared" si="266"/>
        <v>60252293</v>
      </c>
      <c r="N579" s="39">
        <f t="shared" si="267"/>
        <v>0</v>
      </c>
      <c r="O579" s="13">
        <f t="shared" si="268"/>
        <v>0</v>
      </c>
    </row>
    <row r="581" spans="2:21" x14ac:dyDescent="0.25">
      <c r="B581" s="88" t="s">
        <v>12</v>
      </c>
      <c r="C581" s="88"/>
      <c r="D581" s="4">
        <f>SUM(D568:D580)</f>
        <v>3569403</v>
      </c>
      <c r="E581" s="12">
        <f>SUM(E568:E580)</f>
        <v>250279416</v>
      </c>
      <c r="F581" s="4">
        <f t="shared" ref="F581:M581" si="269">SUM(F568:F580)</f>
        <v>2766128</v>
      </c>
      <c r="G581" s="12">
        <f t="shared" si="269"/>
        <v>188421775</v>
      </c>
      <c r="H581" s="4">
        <f t="shared" si="269"/>
        <v>1270764</v>
      </c>
      <c r="I581" s="12">
        <f t="shared" si="269"/>
        <v>165143600</v>
      </c>
      <c r="J581" s="4">
        <f t="shared" si="269"/>
        <v>0</v>
      </c>
      <c r="K581" s="12">
        <f t="shared" si="269"/>
        <v>0</v>
      </c>
      <c r="L581" s="4">
        <f t="shared" si="269"/>
        <v>7606295</v>
      </c>
      <c r="M581" s="12">
        <f t="shared" si="269"/>
        <v>603844791</v>
      </c>
    </row>
    <row r="582" spans="2:21" x14ac:dyDescent="0.25">
      <c r="P582"/>
      <c r="Q582"/>
      <c r="R582"/>
      <c r="S582"/>
      <c r="U582"/>
    </row>
    <row r="583" spans="2:21" x14ac:dyDescent="0.25">
      <c r="B583" s="5" t="s">
        <v>14</v>
      </c>
      <c r="P583"/>
      <c r="Q583"/>
      <c r="R583"/>
      <c r="S583"/>
      <c r="U583"/>
    </row>
    <row r="584" spans="2:21" x14ac:dyDescent="0.25">
      <c r="B584" s="5" t="s">
        <v>92</v>
      </c>
      <c r="P584"/>
      <c r="Q584"/>
      <c r="R584"/>
      <c r="S584"/>
      <c r="U584"/>
    </row>
    <row r="585" spans="2:21" x14ac:dyDescent="0.25">
      <c r="P585"/>
      <c r="Q585"/>
      <c r="R585"/>
      <c r="S585"/>
      <c r="U585"/>
    </row>
    <row r="586" spans="2:21" x14ac:dyDescent="0.25">
      <c r="D586" s="89" t="s">
        <v>15</v>
      </c>
      <c r="E586" s="90"/>
      <c r="F586" s="89" t="s">
        <v>72</v>
      </c>
      <c r="G586" s="90"/>
      <c r="H586" s="89" t="s">
        <v>16</v>
      </c>
      <c r="I586" s="90"/>
      <c r="J586" s="89" t="s">
        <v>73</v>
      </c>
      <c r="K586" s="90"/>
      <c r="L586" s="89" t="s">
        <v>70</v>
      </c>
      <c r="M586" s="90"/>
      <c r="N586" s="9"/>
      <c r="P586"/>
      <c r="Q586"/>
      <c r="R586"/>
      <c r="S586"/>
      <c r="U586"/>
    </row>
    <row r="587" spans="2:21" x14ac:dyDescent="0.25">
      <c r="B587" s="7" t="s">
        <v>0</v>
      </c>
      <c r="C587" s="7" t="s">
        <v>1</v>
      </c>
      <c r="D587" s="7" t="s">
        <v>2</v>
      </c>
      <c r="E587" s="10" t="s">
        <v>3</v>
      </c>
      <c r="F587" s="7" t="s">
        <v>2</v>
      </c>
      <c r="G587" s="10" t="s">
        <v>3</v>
      </c>
      <c r="H587" s="7" t="s">
        <v>2</v>
      </c>
      <c r="I587" s="10" t="s">
        <v>3</v>
      </c>
      <c r="J587" s="7" t="s">
        <v>2</v>
      </c>
      <c r="K587" s="10" t="s">
        <v>3</v>
      </c>
      <c r="L587" s="7" t="s">
        <v>2</v>
      </c>
      <c r="M587" s="10" t="s">
        <v>3</v>
      </c>
      <c r="N587" s="9"/>
      <c r="P587"/>
      <c r="Q587"/>
      <c r="R587"/>
      <c r="S587"/>
      <c r="U587"/>
    </row>
    <row r="588" spans="2:21" x14ac:dyDescent="0.25">
      <c r="N588" s="9"/>
      <c r="P588"/>
      <c r="Q588"/>
      <c r="R588"/>
      <c r="S588"/>
      <c r="U588"/>
    </row>
    <row r="589" spans="2:21" x14ac:dyDescent="0.25">
      <c r="B589" s="2" t="s">
        <v>5</v>
      </c>
      <c r="C589" s="2">
        <v>2025</v>
      </c>
      <c r="D589" s="1">
        <v>103434</v>
      </c>
      <c r="E589" s="11">
        <v>4805897</v>
      </c>
      <c r="F589" s="1">
        <v>77636</v>
      </c>
      <c r="G589" s="11">
        <v>3734719</v>
      </c>
      <c r="H589" s="1">
        <v>11080</v>
      </c>
      <c r="I589" s="11">
        <v>905873</v>
      </c>
      <c r="J589" s="1">
        <v>0</v>
      </c>
      <c r="K589" s="11">
        <v>0</v>
      </c>
      <c r="L589" s="1">
        <f t="shared" ref="L589:L600" si="270">+D589+F589+H589+J589</f>
        <v>192150</v>
      </c>
      <c r="M589" s="11">
        <f t="shared" ref="M589:M600" si="271">+E589+G589+I589+K589</f>
        <v>9446489</v>
      </c>
      <c r="N589" s="39">
        <f t="shared" ref="N589:N600" si="272">+L589-N378</f>
        <v>0</v>
      </c>
      <c r="O589" s="13">
        <f t="shared" ref="O589:O600" si="273">+M589-O378</f>
        <v>0</v>
      </c>
      <c r="P589"/>
      <c r="Q589"/>
      <c r="R589"/>
      <c r="S589"/>
      <c r="U589"/>
    </row>
    <row r="590" spans="2:21" x14ac:dyDescent="0.25">
      <c r="B590" s="2" t="s">
        <v>6</v>
      </c>
      <c r="C590" s="2">
        <v>2025</v>
      </c>
      <c r="D590" s="1">
        <v>103606</v>
      </c>
      <c r="E590" s="11">
        <v>4802400</v>
      </c>
      <c r="F590" s="1">
        <v>76159</v>
      </c>
      <c r="G590" s="11">
        <v>3653524</v>
      </c>
      <c r="H590" s="1">
        <v>10892</v>
      </c>
      <c r="I590" s="11">
        <v>903691</v>
      </c>
      <c r="J590" s="1">
        <v>0</v>
      </c>
      <c r="K590" s="11">
        <v>0</v>
      </c>
      <c r="L590" s="1">
        <f t="shared" si="270"/>
        <v>190657</v>
      </c>
      <c r="M590" s="11">
        <f t="shared" si="271"/>
        <v>9359615</v>
      </c>
      <c r="N590" s="39">
        <f t="shared" si="272"/>
        <v>0</v>
      </c>
      <c r="O590" s="13">
        <f t="shared" si="273"/>
        <v>0</v>
      </c>
      <c r="P590"/>
      <c r="Q590"/>
      <c r="R590"/>
      <c r="S590"/>
      <c r="U590"/>
    </row>
    <row r="591" spans="2:21" x14ac:dyDescent="0.25">
      <c r="B591" s="2" t="s">
        <v>7</v>
      </c>
      <c r="C591" s="2">
        <v>2025</v>
      </c>
      <c r="D591" s="1">
        <v>116445</v>
      </c>
      <c r="E591" s="11">
        <v>5417023</v>
      </c>
      <c r="F591" s="1">
        <v>86718</v>
      </c>
      <c r="G591" s="11">
        <v>4109000</v>
      </c>
      <c r="H591" s="1">
        <v>12085</v>
      </c>
      <c r="I591" s="11">
        <v>1002404</v>
      </c>
      <c r="J591" s="1">
        <v>0</v>
      </c>
      <c r="K591" s="11">
        <v>0</v>
      </c>
      <c r="L591" s="1">
        <f t="shared" si="270"/>
        <v>215248</v>
      </c>
      <c r="M591" s="11">
        <f t="shared" si="271"/>
        <v>10528427</v>
      </c>
      <c r="N591" s="39">
        <f t="shared" si="272"/>
        <v>0</v>
      </c>
      <c r="O591" s="13">
        <f t="shared" si="273"/>
        <v>0</v>
      </c>
      <c r="P591"/>
      <c r="Q591"/>
      <c r="R591"/>
      <c r="S591"/>
      <c r="U591"/>
    </row>
    <row r="592" spans="2:21" x14ac:dyDescent="0.25">
      <c r="B592" s="2" t="s">
        <v>8</v>
      </c>
      <c r="C592" s="2">
        <v>2025</v>
      </c>
      <c r="D592" s="1">
        <v>103385</v>
      </c>
      <c r="E592" s="11">
        <v>4825639</v>
      </c>
      <c r="F592" s="1">
        <v>75652</v>
      </c>
      <c r="G592" s="11">
        <v>3609120</v>
      </c>
      <c r="H592" s="1">
        <v>11169</v>
      </c>
      <c r="I592" s="11">
        <v>936703</v>
      </c>
      <c r="J592" s="1">
        <v>0</v>
      </c>
      <c r="K592" s="11">
        <v>0</v>
      </c>
      <c r="L592" s="1">
        <f t="shared" si="270"/>
        <v>190206</v>
      </c>
      <c r="M592" s="11">
        <f t="shared" si="271"/>
        <v>9371462</v>
      </c>
      <c r="N592" s="39">
        <f t="shared" si="272"/>
        <v>0</v>
      </c>
      <c r="O592" s="13">
        <f t="shared" si="273"/>
        <v>0</v>
      </c>
      <c r="P592"/>
      <c r="Q592"/>
      <c r="R592"/>
      <c r="S592"/>
      <c r="U592"/>
    </row>
    <row r="593" spans="2:21" x14ac:dyDescent="0.25">
      <c r="B593" s="2" t="s">
        <v>9</v>
      </c>
      <c r="C593" s="2">
        <v>2025</v>
      </c>
      <c r="D593" s="1">
        <v>124438</v>
      </c>
      <c r="E593" s="11">
        <v>6093155</v>
      </c>
      <c r="F593" s="1">
        <v>83536</v>
      </c>
      <c r="G593" s="11">
        <v>4159768</v>
      </c>
      <c r="H593" s="1">
        <v>13020</v>
      </c>
      <c r="I593" s="11">
        <v>1045554</v>
      </c>
      <c r="J593" s="1">
        <v>0</v>
      </c>
      <c r="K593" s="11">
        <v>0</v>
      </c>
      <c r="L593" s="1">
        <f t="shared" si="270"/>
        <v>220994</v>
      </c>
      <c r="M593" s="11">
        <f t="shared" si="271"/>
        <v>11298477</v>
      </c>
      <c r="N593" s="39">
        <f t="shared" si="272"/>
        <v>0</v>
      </c>
      <c r="O593" s="13">
        <f t="shared" si="273"/>
        <v>0</v>
      </c>
      <c r="P593"/>
      <c r="Q593"/>
      <c r="R593"/>
      <c r="S593"/>
      <c r="U593"/>
    </row>
    <row r="594" spans="2:21" x14ac:dyDescent="0.25">
      <c r="B594" s="2" t="s">
        <v>10</v>
      </c>
      <c r="C594" s="2">
        <v>2025</v>
      </c>
      <c r="D594" s="1">
        <v>119938</v>
      </c>
      <c r="E594" s="11">
        <v>6079278</v>
      </c>
      <c r="F594" s="1">
        <v>78832</v>
      </c>
      <c r="G594" s="11">
        <v>4098687</v>
      </c>
      <c r="H594" s="1">
        <v>13012</v>
      </c>
      <c r="I594" s="11">
        <v>1044399</v>
      </c>
      <c r="J594" s="1">
        <v>0</v>
      </c>
      <c r="K594" s="11">
        <v>0</v>
      </c>
      <c r="L594" s="1">
        <f t="shared" si="270"/>
        <v>211782</v>
      </c>
      <c r="M594" s="11">
        <f t="shared" si="271"/>
        <v>11222364</v>
      </c>
      <c r="N594" s="39">
        <f t="shared" si="272"/>
        <v>0</v>
      </c>
      <c r="O594" s="13">
        <f t="shared" si="273"/>
        <v>0</v>
      </c>
      <c r="P594"/>
      <c r="Q594"/>
      <c r="R594"/>
      <c r="S594"/>
      <c r="U594"/>
    </row>
    <row r="595" spans="2:21" x14ac:dyDescent="0.25">
      <c r="B595" s="2" t="s">
        <v>11</v>
      </c>
      <c r="C595" s="2">
        <v>2025</v>
      </c>
      <c r="D595" s="1">
        <v>111332</v>
      </c>
      <c r="E595" s="11">
        <v>5687354</v>
      </c>
      <c r="F595" s="1">
        <v>76045</v>
      </c>
      <c r="G595" s="11">
        <v>4036645</v>
      </c>
      <c r="H595" s="1">
        <v>11339</v>
      </c>
      <c r="I595" s="11">
        <v>979540</v>
      </c>
      <c r="J595" s="1">
        <v>0</v>
      </c>
      <c r="K595" s="11">
        <v>0</v>
      </c>
      <c r="L595" s="1">
        <f t="shared" si="270"/>
        <v>198716</v>
      </c>
      <c r="M595" s="11">
        <f t="shared" si="271"/>
        <v>10703539</v>
      </c>
      <c r="N595" s="39">
        <f t="shared" si="272"/>
        <v>0</v>
      </c>
      <c r="O595" s="13">
        <f t="shared" si="273"/>
        <v>0</v>
      </c>
      <c r="P595"/>
      <c r="Q595"/>
      <c r="R595"/>
      <c r="S595"/>
      <c r="U595"/>
    </row>
    <row r="596" spans="2:21" x14ac:dyDescent="0.25">
      <c r="B596" s="2" t="s">
        <v>4</v>
      </c>
      <c r="C596" s="2">
        <v>2025</v>
      </c>
      <c r="D596" s="1">
        <v>69522</v>
      </c>
      <c r="E596" s="11">
        <v>4893051</v>
      </c>
      <c r="F596" s="1">
        <v>52312</v>
      </c>
      <c r="G596" s="11">
        <v>3934264</v>
      </c>
      <c r="H596" s="1">
        <v>9131</v>
      </c>
      <c r="I596" s="11">
        <v>1104478</v>
      </c>
      <c r="J596" s="1">
        <v>0</v>
      </c>
      <c r="K596" s="11">
        <v>0</v>
      </c>
      <c r="L596" s="1">
        <f t="shared" si="270"/>
        <v>130965</v>
      </c>
      <c r="M596" s="11">
        <f t="shared" si="271"/>
        <v>9931793</v>
      </c>
      <c r="N596" s="39">
        <f t="shared" si="272"/>
        <v>0</v>
      </c>
      <c r="O596" s="13">
        <f t="shared" si="273"/>
        <v>0</v>
      </c>
      <c r="P596"/>
      <c r="Q596"/>
      <c r="R596"/>
      <c r="S596"/>
      <c r="U596"/>
    </row>
    <row r="597" spans="2:21" x14ac:dyDescent="0.25">
      <c r="B597" s="2" t="s">
        <v>28</v>
      </c>
      <c r="C597" s="2">
        <v>2025</v>
      </c>
      <c r="D597" s="1">
        <v>72190</v>
      </c>
      <c r="E597" s="14">
        <v>5047746</v>
      </c>
      <c r="F597" s="1">
        <v>57205</v>
      </c>
      <c r="G597" s="14">
        <v>4252710</v>
      </c>
      <c r="H597" s="1">
        <v>10872</v>
      </c>
      <c r="I597" s="14">
        <v>1321151</v>
      </c>
      <c r="J597" s="1">
        <v>0</v>
      </c>
      <c r="K597" s="11">
        <v>0</v>
      </c>
      <c r="L597" s="1">
        <f t="shared" si="270"/>
        <v>140267</v>
      </c>
      <c r="M597" s="11">
        <f t="shared" si="271"/>
        <v>10621607</v>
      </c>
      <c r="N597" s="39">
        <f t="shared" si="272"/>
        <v>0</v>
      </c>
      <c r="O597" s="13">
        <f t="shared" si="273"/>
        <v>0</v>
      </c>
      <c r="P597"/>
      <c r="Q597"/>
      <c r="R597"/>
      <c r="S597"/>
      <c r="U597"/>
    </row>
    <row r="598" spans="2:21" x14ac:dyDescent="0.25">
      <c r="B598" s="2" t="s">
        <v>29</v>
      </c>
      <c r="C598" s="2">
        <v>2025</v>
      </c>
      <c r="D598" s="1">
        <v>96855</v>
      </c>
      <c r="E598" s="11">
        <v>6026616</v>
      </c>
      <c r="F598" s="1">
        <v>78866</v>
      </c>
      <c r="G598" s="11">
        <v>5112132</v>
      </c>
      <c r="H598" s="1">
        <v>15853</v>
      </c>
      <c r="I598" s="11">
        <v>1689977</v>
      </c>
      <c r="J598" s="1">
        <v>0</v>
      </c>
      <c r="K598" s="11">
        <v>0</v>
      </c>
      <c r="L598" s="1">
        <f t="shared" si="270"/>
        <v>191574</v>
      </c>
      <c r="M598" s="11">
        <f t="shared" si="271"/>
        <v>12828725</v>
      </c>
      <c r="N598" s="39">
        <f t="shared" si="272"/>
        <v>0</v>
      </c>
      <c r="O598" s="13">
        <f t="shared" si="273"/>
        <v>0</v>
      </c>
      <c r="P598"/>
      <c r="Q598"/>
      <c r="R598"/>
      <c r="S598"/>
      <c r="U598"/>
    </row>
    <row r="599" spans="2:21" x14ac:dyDescent="0.25">
      <c r="B599" s="2" t="s">
        <v>30</v>
      </c>
      <c r="C599" s="2">
        <v>2025</v>
      </c>
      <c r="D599" s="1">
        <v>88975</v>
      </c>
      <c r="E599" s="11">
        <v>5387946</v>
      </c>
      <c r="F599" s="1">
        <v>69074</v>
      </c>
      <c r="G599" s="11">
        <v>4236930</v>
      </c>
      <c r="H599" s="1">
        <v>14777</v>
      </c>
      <c r="I599" s="11">
        <v>1513251</v>
      </c>
      <c r="J599" s="1">
        <v>0</v>
      </c>
      <c r="K599" s="11">
        <v>0</v>
      </c>
      <c r="L599" s="1">
        <f t="shared" si="270"/>
        <v>172826</v>
      </c>
      <c r="M599" s="11">
        <f t="shared" si="271"/>
        <v>11138127</v>
      </c>
      <c r="N599" s="39">
        <f t="shared" si="272"/>
        <v>0</v>
      </c>
      <c r="O599" s="13">
        <f t="shared" si="273"/>
        <v>0</v>
      </c>
      <c r="P599"/>
      <c r="Q599"/>
      <c r="R599"/>
      <c r="S599"/>
      <c r="U599"/>
    </row>
    <row r="600" spans="2:21" x14ac:dyDescent="0.25">
      <c r="B600" s="2" t="s">
        <v>31</v>
      </c>
      <c r="C600" s="2">
        <v>2025</v>
      </c>
      <c r="D600" s="1">
        <v>84972</v>
      </c>
      <c r="E600" s="11">
        <v>4954245</v>
      </c>
      <c r="F600" s="1">
        <v>65777</v>
      </c>
      <c r="G600" s="11">
        <v>3905394</v>
      </c>
      <c r="H600" s="1">
        <v>14553</v>
      </c>
      <c r="I600" s="11">
        <v>1387425</v>
      </c>
      <c r="J600" s="1"/>
      <c r="K600" s="11"/>
      <c r="L600" s="1">
        <f t="shared" si="270"/>
        <v>165302</v>
      </c>
      <c r="M600" s="11">
        <f t="shared" si="271"/>
        <v>10247064</v>
      </c>
      <c r="N600" s="39">
        <f t="shared" si="272"/>
        <v>0</v>
      </c>
      <c r="O600" s="13">
        <f t="shared" si="273"/>
        <v>0</v>
      </c>
      <c r="P600"/>
      <c r="Q600"/>
      <c r="R600"/>
      <c r="S600"/>
      <c r="U600"/>
    </row>
    <row r="601" spans="2:21" x14ac:dyDescent="0.25">
      <c r="P601"/>
      <c r="Q601"/>
      <c r="R601"/>
      <c r="S601"/>
      <c r="U601"/>
    </row>
    <row r="602" spans="2:21" x14ac:dyDescent="0.25">
      <c r="B602" s="88" t="s">
        <v>12</v>
      </c>
      <c r="C602" s="88"/>
      <c r="D602" s="4">
        <f>SUM(D589:D601)</f>
        <v>1195092</v>
      </c>
      <c r="E602" s="12">
        <f>SUM(E589:E601)</f>
        <v>64020350</v>
      </c>
      <c r="F602" s="4">
        <f t="shared" ref="F602:M602" si="274">SUM(F589:F601)</f>
        <v>877812</v>
      </c>
      <c r="G602" s="12">
        <f t="shared" si="274"/>
        <v>48842893</v>
      </c>
      <c r="H602" s="4">
        <f t="shared" si="274"/>
        <v>147783</v>
      </c>
      <c r="I602" s="12">
        <f t="shared" si="274"/>
        <v>13834446</v>
      </c>
      <c r="J602" s="4">
        <f t="shared" si="274"/>
        <v>0</v>
      </c>
      <c r="K602" s="12">
        <f t="shared" si="274"/>
        <v>0</v>
      </c>
      <c r="L602" s="4">
        <f t="shared" si="274"/>
        <v>2220687</v>
      </c>
      <c r="M602" s="12">
        <f t="shared" si="274"/>
        <v>126697689</v>
      </c>
      <c r="P602"/>
      <c r="Q602"/>
      <c r="R602"/>
      <c r="S602"/>
      <c r="U602"/>
    </row>
    <row r="604" spans="2:21" x14ac:dyDescent="0.25">
      <c r="B604" s="5" t="s">
        <v>14</v>
      </c>
    </row>
    <row r="605" spans="2:21" x14ac:dyDescent="0.25">
      <c r="B605" s="5" t="s">
        <v>114</v>
      </c>
    </row>
    <row r="607" spans="2:21" x14ac:dyDescent="0.25">
      <c r="D607" s="89" t="s">
        <v>15</v>
      </c>
      <c r="E607" s="90"/>
      <c r="F607" s="89" t="s">
        <v>72</v>
      </c>
      <c r="G607" s="90"/>
      <c r="H607" s="89" t="s">
        <v>16</v>
      </c>
      <c r="I607" s="90"/>
      <c r="J607" s="89" t="s">
        <v>73</v>
      </c>
      <c r="K607" s="90"/>
      <c r="L607" s="89" t="s">
        <v>70</v>
      </c>
      <c r="M607" s="90"/>
      <c r="N607" s="9"/>
    </row>
    <row r="608" spans="2:21" x14ac:dyDescent="0.25">
      <c r="B608" s="7" t="s">
        <v>0</v>
      </c>
      <c r="C608" s="7" t="s">
        <v>1</v>
      </c>
      <c r="D608" s="7" t="s">
        <v>2</v>
      </c>
      <c r="E608" s="10" t="s">
        <v>3</v>
      </c>
      <c r="F608" s="7" t="s">
        <v>2</v>
      </c>
      <c r="G608" s="10" t="s">
        <v>3</v>
      </c>
      <c r="H608" s="7" t="s">
        <v>2</v>
      </c>
      <c r="I608" s="10" t="s">
        <v>3</v>
      </c>
      <c r="J608" s="7" t="s">
        <v>2</v>
      </c>
      <c r="K608" s="10" t="s">
        <v>3</v>
      </c>
      <c r="L608" s="7" t="s">
        <v>2</v>
      </c>
      <c r="M608" s="10" t="s">
        <v>3</v>
      </c>
      <c r="N608" s="9"/>
    </row>
    <row r="609" spans="2:15" x14ac:dyDescent="0.25">
      <c r="N609" s="9"/>
    </row>
    <row r="610" spans="2:15" x14ac:dyDescent="0.25">
      <c r="B610" s="2" t="s">
        <v>5</v>
      </c>
      <c r="C610" s="2">
        <v>2025</v>
      </c>
      <c r="D610" s="1">
        <f>+D547+D526+D505+D463+D421+D400+D568+D589+D442+D484</f>
        <v>2416312</v>
      </c>
      <c r="E610" s="11">
        <f t="shared" ref="E610:K610" si="275">+E547+E526+E505+E463+E421+E400+E568+E589+E442+E484</f>
        <v>306059859.89999998</v>
      </c>
      <c r="F610" s="1">
        <f t="shared" si="275"/>
        <v>1327325</v>
      </c>
      <c r="G610" s="11">
        <f t="shared" si="275"/>
        <v>187949046.38</v>
      </c>
      <c r="H610" s="1">
        <f t="shared" si="275"/>
        <v>1478590</v>
      </c>
      <c r="I610" s="11">
        <f t="shared" si="275"/>
        <v>298309558.19</v>
      </c>
      <c r="J610" s="1">
        <f t="shared" si="275"/>
        <v>0</v>
      </c>
      <c r="K610" s="11">
        <f t="shared" si="275"/>
        <v>0</v>
      </c>
      <c r="L610" s="1">
        <f t="shared" ref="L610:L621" si="276">+D610+F610+H610+J610</f>
        <v>5222227</v>
      </c>
      <c r="M610" s="11">
        <f t="shared" ref="M610:M621" si="277">+E610+G610+I610+K610</f>
        <v>792318464.47000003</v>
      </c>
      <c r="N610" s="39">
        <f t="shared" ref="N610:N621" si="278">+L610-X378</f>
        <v>0</v>
      </c>
      <c r="O610" s="13">
        <f t="shared" ref="O610:O621" si="279">+M610-Y378</f>
        <v>0</v>
      </c>
    </row>
    <row r="611" spans="2:15" x14ac:dyDescent="0.25">
      <c r="B611" s="2" t="s">
        <v>6</v>
      </c>
      <c r="C611" s="2">
        <v>2025</v>
      </c>
      <c r="D611" s="1">
        <f t="shared" ref="D611:K611" si="280">+D548+D527+D506+D464+D422+D401+D569+D590+D443+D485</f>
        <v>2228722</v>
      </c>
      <c r="E611" s="11">
        <f t="shared" si="280"/>
        <v>285913660.67000002</v>
      </c>
      <c r="F611" s="1">
        <f t="shared" si="280"/>
        <v>1269333</v>
      </c>
      <c r="G611" s="11">
        <f t="shared" si="280"/>
        <v>180408065.44999999</v>
      </c>
      <c r="H611" s="1">
        <f t="shared" si="280"/>
        <v>1294803</v>
      </c>
      <c r="I611" s="11">
        <f t="shared" si="280"/>
        <v>264294484.58999997</v>
      </c>
      <c r="J611" s="1">
        <f t="shared" si="280"/>
        <v>0</v>
      </c>
      <c r="K611" s="11">
        <f t="shared" si="280"/>
        <v>0</v>
      </c>
      <c r="L611" s="1">
        <f t="shared" si="276"/>
        <v>4792858</v>
      </c>
      <c r="M611" s="11">
        <f t="shared" si="277"/>
        <v>730616210.71000004</v>
      </c>
      <c r="N611" s="39">
        <f t="shared" si="278"/>
        <v>0</v>
      </c>
      <c r="O611" s="13">
        <f t="shared" si="279"/>
        <v>0</v>
      </c>
    </row>
    <row r="612" spans="2:15" x14ac:dyDescent="0.25">
      <c r="B612" s="2" t="s">
        <v>7</v>
      </c>
      <c r="C612" s="2">
        <v>2025</v>
      </c>
      <c r="D612" s="1">
        <f t="shared" ref="D612:K612" si="281">+D549+D528+D507+D465+D423+D402+D570+D591+D444+D486</f>
        <v>2610463</v>
      </c>
      <c r="E612" s="11">
        <f t="shared" si="281"/>
        <v>337432410.21000004</v>
      </c>
      <c r="F612" s="1">
        <f t="shared" si="281"/>
        <v>1433528</v>
      </c>
      <c r="G612" s="11">
        <f t="shared" si="281"/>
        <v>203964108.57999998</v>
      </c>
      <c r="H612" s="1">
        <f t="shared" si="281"/>
        <v>1467459</v>
      </c>
      <c r="I612" s="11">
        <f t="shared" si="281"/>
        <v>311650625.00999993</v>
      </c>
      <c r="J612" s="1">
        <f t="shared" si="281"/>
        <v>0</v>
      </c>
      <c r="K612" s="11">
        <f t="shared" si="281"/>
        <v>0</v>
      </c>
      <c r="L612" s="1">
        <f t="shared" si="276"/>
        <v>5511450</v>
      </c>
      <c r="M612" s="11">
        <f t="shared" si="277"/>
        <v>853047143.79999995</v>
      </c>
      <c r="N612" s="39">
        <f t="shared" si="278"/>
        <v>0</v>
      </c>
      <c r="O612" s="13">
        <f t="shared" si="279"/>
        <v>0</v>
      </c>
    </row>
    <row r="613" spans="2:15" x14ac:dyDescent="0.25">
      <c r="B613" s="2" t="s">
        <v>8</v>
      </c>
      <c r="C613" s="2">
        <v>2025</v>
      </c>
      <c r="D613" s="1">
        <f t="shared" ref="D613:K613" si="282">+D550+D529+D508+D466+D424+D403+D571+D592+D445+D487</f>
        <v>2668911</v>
      </c>
      <c r="E613" s="11">
        <f t="shared" si="282"/>
        <v>345554444.19999999</v>
      </c>
      <c r="F613" s="1">
        <f t="shared" si="282"/>
        <v>1357189</v>
      </c>
      <c r="G613" s="11">
        <f t="shared" si="282"/>
        <v>192702348.18000001</v>
      </c>
      <c r="H613" s="1">
        <f t="shared" si="282"/>
        <v>1545052</v>
      </c>
      <c r="I613" s="11">
        <f t="shared" si="282"/>
        <v>326517004.86999995</v>
      </c>
      <c r="J613" s="1">
        <f t="shared" si="282"/>
        <v>0</v>
      </c>
      <c r="K613" s="11">
        <f t="shared" si="282"/>
        <v>0</v>
      </c>
      <c r="L613" s="1">
        <f t="shared" si="276"/>
        <v>5571152</v>
      </c>
      <c r="M613" s="11">
        <f t="shared" si="277"/>
        <v>864773797.25</v>
      </c>
      <c r="N613" s="39">
        <f t="shared" si="278"/>
        <v>0</v>
      </c>
      <c r="O613" s="13">
        <f t="shared" si="279"/>
        <v>0</v>
      </c>
    </row>
    <row r="614" spans="2:15" x14ac:dyDescent="0.25">
      <c r="B614" s="2" t="s">
        <v>9</v>
      </c>
      <c r="C614" s="2">
        <v>2025</v>
      </c>
      <c r="D614" s="1">
        <f t="shared" ref="D614:K614" si="283">+D551+D530+D509+D467+D425+D404+D572+D593+D446+D488</f>
        <v>2711129</v>
      </c>
      <c r="E614" s="11">
        <f t="shared" si="283"/>
        <v>354071868.04999995</v>
      </c>
      <c r="F614" s="1">
        <f t="shared" si="283"/>
        <v>1437673</v>
      </c>
      <c r="G614" s="11">
        <f t="shared" si="283"/>
        <v>206994621.03999999</v>
      </c>
      <c r="H614" s="1">
        <f t="shared" si="283"/>
        <v>1538573</v>
      </c>
      <c r="I614" s="11">
        <f t="shared" si="283"/>
        <v>320582466.31999999</v>
      </c>
      <c r="J614" s="1">
        <f t="shared" si="283"/>
        <v>0</v>
      </c>
      <c r="K614" s="11">
        <f t="shared" si="283"/>
        <v>0</v>
      </c>
      <c r="L614" s="1">
        <f t="shared" si="276"/>
        <v>5687375</v>
      </c>
      <c r="M614" s="11">
        <f t="shared" si="277"/>
        <v>881648955.40999985</v>
      </c>
      <c r="N614" s="39">
        <f t="shared" si="278"/>
        <v>0</v>
      </c>
      <c r="O614" s="13">
        <f t="shared" si="279"/>
        <v>0</v>
      </c>
    </row>
    <row r="615" spans="2:15" x14ac:dyDescent="0.25">
      <c r="B615" s="2" t="s">
        <v>10</v>
      </c>
      <c r="C615" s="2">
        <v>2025</v>
      </c>
      <c r="D615" s="1">
        <f t="shared" ref="D615:K615" si="284">+D552+D531+D510+D468+D426+D405+D573+D594+D447+D489</f>
        <v>2513882</v>
      </c>
      <c r="E615" s="11">
        <f t="shared" si="284"/>
        <v>324398522.08999997</v>
      </c>
      <c r="F615" s="1">
        <f t="shared" si="284"/>
        <v>1335671</v>
      </c>
      <c r="G615" s="11">
        <f t="shared" si="284"/>
        <v>192250292.13</v>
      </c>
      <c r="H615" s="1">
        <f t="shared" si="284"/>
        <v>1458658</v>
      </c>
      <c r="I615" s="11">
        <f t="shared" si="284"/>
        <v>302045552.83999997</v>
      </c>
      <c r="J615" s="1">
        <f t="shared" si="284"/>
        <v>0</v>
      </c>
      <c r="K615" s="11">
        <f t="shared" si="284"/>
        <v>0</v>
      </c>
      <c r="L615" s="1">
        <f t="shared" si="276"/>
        <v>5308211</v>
      </c>
      <c r="M615" s="11">
        <f t="shared" si="277"/>
        <v>818694367.05999994</v>
      </c>
      <c r="N615" s="39">
        <f t="shared" si="278"/>
        <v>0</v>
      </c>
      <c r="O615" s="13">
        <f t="shared" si="279"/>
        <v>0</v>
      </c>
    </row>
    <row r="616" spans="2:15" x14ac:dyDescent="0.25">
      <c r="B616" s="2" t="s">
        <v>11</v>
      </c>
      <c r="C616" s="2">
        <v>2025</v>
      </c>
      <c r="D616" s="1">
        <f t="shared" ref="D616:K616" si="285">+D553+D532+D511+D469+D427+D406+D574+D595+D448+D490</f>
        <v>2757995</v>
      </c>
      <c r="E616" s="11">
        <f t="shared" si="285"/>
        <v>356392897.86000001</v>
      </c>
      <c r="F616" s="1">
        <f t="shared" si="285"/>
        <v>1358338</v>
      </c>
      <c r="G616" s="11">
        <f t="shared" si="285"/>
        <v>190655155.61999997</v>
      </c>
      <c r="H616" s="1">
        <f t="shared" si="285"/>
        <v>1564222</v>
      </c>
      <c r="I616" s="11">
        <f t="shared" si="285"/>
        <v>327068787.38000005</v>
      </c>
      <c r="J616" s="1">
        <f t="shared" si="285"/>
        <v>0</v>
      </c>
      <c r="K616" s="11">
        <f t="shared" si="285"/>
        <v>0</v>
      </c>
      <c r="L616" s="1">
        <f t="shared" si="276"/>
        <v>5680555</v>
      </c>
      <c r="M616" s="11">
        <f t="shared" si="277"/>
        <v>874116840.86000013</v>
      </c>
      <c r="N616" s="39">
        <f t="shared" si="278"/>
        <v>0</v>
      </c>
      <c r="O616" s="13">
        <f t="shared" si="279"/>
        <v>0</v>
      </c>
    </row>
    <row r="617" spans="2:15" x14ac:dyDescent="0.25">
      <c r="B617" s="2" t="s">
        <v>4</v>
      </c>
      <c r="C617" s="2">
        <v>2025</v>
      </c>
      <c r="D617" s="1">
        <f t="shared" ref="D617:K617" si="286">+D554+D533+D512+D470+D428+D407+D575+D596+D449+D491</f>
        <v>2739736</v>
      </c>
      <c r="E617" s="11">
        <f t="shared" si="286"/>
        <v>354477188.13999999</v>
      </c>
      <c r="F617" s="1">
        <f t="shared" si="286"/>
        <v>1368173</v>
      </c>
      <c r="G617" s="11">
        <f t="shared" si="286"/>
        <v>186309192.73000002</v>
      </c>
      <c r="H617" s="1">
        <f t="shared" si="286"/>
        <v>1552365</v>
      </c>
      <c r="I617" s="11">
        <f t="shared" si="286"/>
        <v>324365793.30999994</v>
      </c>
      <c r="J617" s="1">
        <f t="shared" si="286"/>
        <v>0</v>
      </c>
      <c r="K617" s="11">
        <f t="shared" si="286"/>
        <v>0</v>
      </c>
      <c r="L617" s="1">
        <f t="shared" si="276"/>
        <v>5660274</v>
      </c>
      <c r="M617" s="11">
        <f t="shared" si="277"/>
        <v>865152174.17999995</v>
      </c>
      <c r="N617" s="39">
        <f t="shared" si="278"/>
        <v>0</v>
      </c>
      <c r="O617" s="13">
        <f t="shared" si="279"/>
        <v>0</v>
      </c>
    </row>
    <row r="618" spans="2:15" x14ac:dyDescent="0.25">
      <c r="B618" s="2" t="s">
        <v>28</v>
      </c>
      <c r="C618" s="2">
        <v>2025</v>
      </c>
      <c r="D618" s="1">
        <f t="shared" ref="D618:K618" si="287">+D555+D534+D513+D471+D429+D408+D576+D597+D450+D492</f>
        <v>2542597</v>
      </c>
      <c r="E618" s="11">
        <f t="shared" si="287"/>
        <v>325489802.56000006</v>
      </c>
      <c r="F618" s="1">
        <f t="shared" si="287"/>
        <v>1322685</v>
      </c>
      <c r="G618" s="11">
        <f t="shared" si="287"/>
        <v>179768943</v>
      </c>
      <c r="H618" s="1">
        <f t="shared" si="287"/>
        <v>1499827</v>
      </c>
      <c r="I618" s="11">
        <f t="shared" si="287"/>
        <v>307706546.16999996</v>
      </c>
      <c r="J618" s="1">
        <f t="shared" si="287"/>
        <v>0</v>
      </c>
      <c r="K618" s="11">
        <f t="shared" si="287"/>
        <v>0</v>
      </c>
      <c r="L618" s="1">
        <f t="shared" si="276"/>
        <v>5365109</v>
      </c>
      <c r="M618" s="11">
        <f t="shared" si="277"/>
        <v>812965291.73000002</v>
      </c>
      <c r="N618" s="39">
        <f t="shared" si="278"/>
        <v>0</v>
      </c>
      <c r="O618" s="13">
        <f t="shared" si="279"/>
        <v>0</v>
      </c>
    </row>
    <row r="619" spans="2:15" x14ac:dyDescent="0.25">
      <c r="B619" s="2" t="s">
        <v>29</v>
      </c>
      <c r="C619" s="2">
        <v>2025</v>
      </c>
      <c r="D619" s="1">
        <f t="shared" ref="D619:K619" si="288">+D556+D535+D514+D472+D430+D409+D577+D598+D451+D493</f>
        <v>2741553</v>
      </c>
      <c r="E619" s="11">
        <f t="shared" si="288"/>
        <v>352647087.43000001</v>
      </c>
      <c r="F619" s="1">
        <f t="shared" si="288"/>
        <v>1478341</v>
      </c>
      <c r="G619" s="11">
        <f t="shared" si="288"/>
        <v>197033980.31</v>
      </c>
      <c r="H619" s="1">
        <f t="shared" si="288"/>
        <v>1529357</v>
      </c>
      <c r="I619" s="11">
        <f t="shared" si="288"/>
        <v>309121407.99000001</v>
      </c>
      <c r="J619" s="1">
        <f t="shared" si="288"/>
        <v>0</v>
      </c>
      <c r="K619" s="11">
        <f t="shared" si="288"/>
        <v>0</v>
      </c>
      <c r="L619" s="1">
        <f t="shared" si="276"/>
        <v>5749251</v>
      </c>
      <c r="M619" s="11">
        <f t="shared" si="277"/>
        <v>858802475.73000002</v>
      </c>
      <c r="N619" s="39">
        <f t="shared" si="278"/>
        <v>0</v>
      </c>
      <c r="O619" s="13">
        <f t="shared" si="279"/>
        <v>0</v>
      </c>
    </row>
    <row r="620" spans="2:15" x14ac:dyDescent="0.25">
      <c r="B620" s="2" t="s">
        <v>30</v>
      </c>
      <c r="C620" s="2">
        <v>2025</v>
      </c>
      <c r="D620" s="1">
        <f t="shared" ref="D620:K620" si="289">+D557+D536+D515+D473+D431+D410+D578+D599+D452+D494</f>
        <v>2735978</v>
      </c>
      <c r="E620" s="11">
        <f t="shared" si="289"/>
        <v>352142461.78999996</v>
      </c>
      <c r="F620" s="1">
        <f t="shared" si="289"/>
        <v>1423683</v>
      </c>
      <c r="G620" s="11">
        <f t="shared" si="289"/>
        <v>188927234.55000004</v>
      </c>
      <c r="H620" s="1">
        <f t="shared" si="289"/>
        <v>1508834</v>
      </c>
      <c r="I620" s="11">
        <f t="shared" si="289"/>
        <v>307663387.17000002</v>
      </c>
      <c r="J620" s="1">
        <f t="shared" si="289"/>
        <v>0</v>
      </c>
      <c r="K620" s="11">
        <f t="shared" si="289"/>
        <v>0</v>
      </c>
      <c r="L620" s="1">
        <f t="shared" si="276"/>
        <v>5668495</v>
      </c>
      <c r="M620" s="11">
        <f t="shared" si="277"/>
        <v>848733083.50999999</v>
      </c>
      <c r="N620" s="39">
        <f t="shared" si="278"/>
        <v>0</v>
      </c>
      <c r="O620" s="13">
        <f t="shared" si="279"/>
        <v>0</v>
      </c>
    </row>
    <row r="621" spans="2:15" x14ac:dyDescent="0.25">
      <c r="B621" s="2" t="s">
        <v>31</v>
      </c>
      <c r="C621" s="2">
        <v>2025</v>
      </c>
      <c r="D621" s="1">
        <f t="shared" ref="D621:K621" si="290">+D558+D537+D516+D474+D432+D411+D579+D600+D453+D495</f>
        <v>3014469</v>
      </c>
      <c r="E621" s="11">
        <f t="shared" si="290"/>
        <v>382772235.02000004</v>
      </c>
      <c r="F621" s="1">
        <f t="shared" si="290"/>
        <v>1510602</v>
      </c>
      <c r="G621" s="11">
        <f t="shared" si="290"/>
        <v>195288874.18000001</v>
      </c>
      <c r="H621" s="1">
        <f t="shared" si="290"/>
        <v>1767763</v>
      </c>
      <c r="I621" s="11">
        <f t="shared" si="290"/>
        <v>366558907.02999997</v>
      </c>
      <c r="J621" s="1">
        <f t="shared" si="290"/>
        <v>0</v>
      </c>
      <c r="K621" s="11">
        <f t="shared" si="290"/>
        <v>0</v>
      </c>
      <c r="L621" s="1">
        <f t="shared" si="276"/>
        <v>6292834</v>
      </c>
      <c r="M621" s="11">
        <f t="shared" si="277"/>
        <v>944620016.23000002</v>
      </c>
      <c r="N621" s="39">
        <f t="shared" si="278"/>
        <v>0</v>
      </c>
      <c r="O621" s="13">
        <f t="shared" si="279"/>
        <v>0</v>
      </c>
    </row>
    <row r="623" spans="2:15" x14ac:dyDescent="0.25">
      <c r="B623" s="88" t="s">
        <v>12</v>
      </c>
      <c r="C623" s="88"/>
      <c r="D623" s="4">
        <f>SUM(D610:D622)</f>
        <v>31681747</v>
      </c>
      <c r="E623" s="12">
        <f>SUM(E610:E622)</f>
        <v>4077352437.9199996</v>
      </c>
      <c r="F623" s="4">
        <f t="shared" ref="F623:M623" si="291">SUM(F610:F622)</f>
        <v>16622541</v>
      </c>
      <c r="G623" s="12">
        <f t="shared" si="291"/>
        <v>2302251862.1499996</v>
      </c>
      <c r="H623" s="4">
        <f t="shared" si="291"/>
        <v>18205503</v>
      </c>
      <c r="I623" s="12">
        <f t="shared" si="291"/>
        <v>3765884520.8699999</v>
      </c>
      <c r="J623" s="4">
        <f t="shared" si="291"/>
        <v>0</v>
      </c>
      <c r="K623" s="12">
        <f t="shared" si="291"/>
        <v>0</v>
      </c>
      <c r="L623" s="4">
        <f t="shared" si="291"/>
        <v>66509791</v>
      </c>
      <c r="M623" s="12">
        <f t="shared" si="291"/>
        <v>10145488820.939999</v>
      </c>
    </row>
    <row r="624" spans="2:15" x14ac:dyDescent="0.25">
      <c r="E624" s="29">
        <f>E623/$M$623</f>
        <v>0.40188821947193526</v>
      </c>
      <c r="G624" s="29">
        <f>G623/$M$623</f>
        <v>0.22692370005851445</v>
      </c>
      <c r="I624" s="29">
        <f>I623/$M$623</f>
        <v>0.37118808046955037</v>
      </c>
      <c r="K624" s="29">
        <f>K623/$M$623</f>
        <v>0</v>
      </c>
    </row>
    <row r="625" spans="1:20" x14ac:dyDescent="0.25">
      <c r="F625"/>
      <c r="G625"/>
      <c r="I625"/>
      <c r="K625"/>
      <c r="M625"/>
    </row>
    <row r="626" spans="1:20" collapsed="1" x14ac:dyDescent="0.25">
      <c r="A626" s="5" t="s">
        <v>14</v>
      </c>
    </row>
    <row r="627" spans="1:20" x14ac:dyDescent="0.25">
      <c r="A627" s="5" t="s">
        <v>115</v>
      </c>
    </row>
    <row r="628" spans="1:20" x14ac:dyDescent="0.25">
      <c r="F628"/>
      <c r="G628"/>
      <c r="I628"/>
      <c r="K628"/>
    </row>
    <row r="629" spans="1:20" ht="28.5" customHeight="1" x14ac:dyDescent="0.25">
      <c r="D629" s="89" t="s">
        <v>108</v>
      </c>
      <c r="E629" s="90"/>
      <c r="F629" s="89" t="s">
        <v>109</v>
      </c>
      <c r="G629" s="90"/>
      <c r="H629" s="89" t="s">
        <v>113</v>
      </c>
      <c r="I629" s="90"/>
      <c r="J629" s="89" t="s">
        <v>100</v>
      </c>
      <c r="K629" s="90"/>
      <c r="L629" s="89" t="s">
        <v>110</v>
      </c>
      <c r="M629" s="90"/>
      <c r="O629"/>
      <c r="P629"/>
      <c r="T629" s="9"/>
    </row>
    <row r="630" spans="1:20" x14ac:dyDescent="0.25">
      <c r="B630" s="7" t="s">
        <v>0</v>
      </c>
      <c r="C630" s="7" t="s">
        <v>1</v>
      </c>
      <c r="D630" s="7" t="s">
        <v>2</v>
      </c>
      <c r="E630" s="10" t="s">
        <v>3</v>
      </c>
      <c r="F630" s="7" t="s">
        <v>2</v>
      </c>
      <c r="G630" s="10" t="s">
        <v>3</v>
      </c>
      <c r="H630" s="7" t="s">
        <v>2</v>
      </c>
      <c r="I630" s="10" t="s">
        <v>3</v>
      </c>
      <c r="J630" s="7" t="s">
        <v>2</v>
      </c>
      <c r="K630" s="10" t="s">
        <v>3</v>
      </c>
      <c r="L630" s="7" t="s">
        <v>2</v>
      </c>
      <c r="M630" s="10" t="s">
        <v>3</v>
      </c>
      <c r="O630"/>
      <c r="P630"/>
      <c r="T630" s="9"/>
    </row>
    <row r="631" spans="1:20" x14ac:dyDescent="0.25">
      <c r="E631"/>
      <c r="F631"/>
      <c r="G631"/>
      <c r="I631"/>
      <c r="K631"/>
      <c r="M631"/>
      <c r="O631"/>
      <c r="P631"/>
      <c r="T631" s="9"/>
    </row>
    <row r="632" spans="1:20" x14ac:dyDescent="0.25">
      <c r="B632" s="2" t="s">
        <v>5</v>
      </c>
      <c r="C632" s="2">
        <v>2025</v>
      </c>
      <c r="D632" s="1">
        <f t="shared" ref="D632:D643" si="292">+D357+F357+H357</f>
        <v>3422251</v>
      </c>
      <c r="E632" s="11">
        <f t="shared" ref="E632:E643" si="293">+E357+G357+I357</f>
        <v>256624619.69999999</v>
      </c>
      <c r="F632" s="1">
        <f t="shared" ref="F632:F643" si="294">+X378</f>
        <v>5222227</v>
      </c>
      <c r="G632" s="11">
        <f t="shared" ref="G632:G643" si="295">+Y378</f>
        <v>792318464.47000003</v>
      </c>
      <c r="H632" s="1">
        <f>+D632+F632</f>
        <v>8644478</v>
      </c>
      <c r="I632" s="11">
        <f t="shared" ref="I632:I643" si="296">+E632+G632</f>
        <v>1048943084.1700001</v>
      </c>
      <c r="J632" s="1">
        <f t="shared" ref="J632:J643" si="297">+J357+L357+N357+P357+R357</f>
        <v>11684374</v>
      </c>
      <c r="K632" s="11">
        <f t="shared" ref="K632:K643" si="298">+K357+M357+O357+Q357+S357</f>
        <v>1215809185.6099994</v>
      </c>
      <c r="L632" s="1">
        <f t="shared" ref="L632:L643" si="299">H632+J632</f>
        <v>20328852</v>
      </c>
      <c r="M632" s="11">
        <f t="shared" ref="M632:M643" si="300">I632+K632</f>
        <v>2264752269.7799997</v>
      </c>
      <c r="N632" s="37">
        <f t="shared" ref="N632:N643" si="301">+L632-X378-T357</f>
        <v>0</v>
      </c>
      <c r="O632" s="13">
        <f t="shared" ref="O632:O643" si="302">+M632-Y378-U357</f>
        <v>0</v>
      </c>
      <c r="P632"/>
      <c r="T632" s="9"/>
    </row>
    <row r="633" spans="1:20" x14ac:dyDescent="0.25">
      <c r="B633" s="2" t="s">
        <v>6</v>
      </c>
      <c r="C633" s="2">
        <v>2025</v>
      </c>
      <c r="D633" s="1">
        <f t="shared" si="292"/>
        <v>3265401</v>
      </c>
      <c r="E633" s="11">
        <f t="shared" si="293"/>
        <v>248243510.39000002</v>
      </c>
      <c r="F633" s="1">
        <f t="shared" si="294"/>
        <v>4792858</v>
      </c>
      <c r="G633" s="11">
        <f t="shared" si="295"/>
        <v>730616210.71000004</v>
      </c>
      <c r="H633" s="1">
        <f t="shared" ref="H633:H643" si="303">+D633+F633</f>
        <v>8058259</v>
      </c>
      <c r="I633" s="11">
        <f t="shared" si="296"/>
        <v>978859721.10000002</v>
      </c>
      <c r="J633" s="1">
        <f t="shared" si="297"/>
        <v>10916967</v>
      </c>
      <c r="K633" s="11">
        <f t="shared" si="298"/>
        <v>1120555658.8899977</v>
      </c>
      <c r="L633" s="1">
        <f t="shared" si="299"/>
        <v>18975226</v>
      </c>
      <c r="M633" s="11">
        <f t="shared" si="300"/>
        <v>2099415379.9899979</v>
      </c>
      <c r="N633" s="37">
        <f t="shared" si="301"/>
        <v>0</v>
      </c>
      <c r="O633" s="13">
        <f t="shared" si="302"/>
        <v>0</v>
      </c>
      <c r="P633"/>
      <c r="T633" s="9"/>
    </row>
    <row r="634" spans="1:20" x14ac:dyDescent="0.25">
      <c r="B634" s="2" t="s">
        <v>7</v>
      </c>
      <c r="C634" s="2">
        <v>2025</v>
      </c>
      <c r="D634" s="1">
        <f t="shared" si="292"/>
        <v>3647415</v>
      </c>
      <c r="E634" s="11">
        <f t="shared" si="293"/>
        <v>280120101.25</v>
      </c>
      <c r="F634" s="1">
        <f t="shared" si="294"/>
        <v>5511450</v>
      </c>
      <c r="G634" s="11">
        <f t="shared" si="295"/>
        <v>853047143.79999995</v>
      </c>
      <c r="H634" s="1">
        <f t="shared" si="303"/>
        <v>9158865</v>
      </c>
      <c r="I634" s="11">
        <f t="shared" si="296"/>
        <v>1133167245.05</v>
      </c>
      <c r="J634" s="1">
        <f t="shared" si="297"/>
        <v>12094696</v>
      </c>
      <c r="K634" s="11">
        <f t="shared" si="298"/>
        <v>1252766214.6399999</v>
      </c>
      <c r="L634" s="1">
        <f t="shared" si="299"/>
        <v>21253561</v>
      </c>
      <c r="M634" s="11">
        <f t="shared" si="300"/>
        <v>2385933459.6899996</v>
      </c>
      <c r="N634" s="37">
        <f t="shared" si="301"/>
        <v>0</v>
      </c>
      <c r="O634" s="13">
        <f t="shared" si="302"/>
        <v>0</v>
      </c>
      <c r="P634"/>
      <c r="T634" s="9"/>
    </row>
    <row r="635" spans="1:20" x14ac:dyDescent="0.25">
      <c r="B635" s="2" t="s">
        <v>8</v>
      </c>
      <c r="C635" s="2">
        <v>2025</v>
      </c>
      <c r="D635" s="1">
        <f t="shared" si="292"/>
        <v>3470808</v>
      </c>
      <c r="E635" s="11">
        <f t="shared" si="293"/>
        <v>270650260.25999999</v>
      </c>
      <c r="F635" s="1">
        <f t="shared" si="294"/>
        <v>5571152</v>
      </c>
      <c r="G635" s="11">
        <f t="shared" si="295"/>
        <v>864773797.25000012</v>
      </c>
      <c r="H635" s="1">
        <f t="shared" si="303"/>
        <v>9041960</v>
      </c>
      <c r="I635" s="11">
        <f t="shared" si="296"/>
        <v>1135424057.5100002</v>
      </c>
      <c r="J635" s="1">
        <f t="shared" si="297"/>
        <v>11306734</v>
      </c>
      <c r="K635" s="11">
        <f t="shared" si="298"/>
        <v>1184621473.9300001</v>
      </c>
      <c r="L635" s="1">
        <f t="shared" si="299"/>
        <v>20348694</v>
      </c>
      <c r="M635" s="11">
        <f t="shared" si="300"/>
        <v>2320045531.4400005</v>
      </c>
      <c r="N635" s="37">
        <f t="shared" si="301"/>
        <v>0</v>
      </c>
      <c r="O635" s="13">
        <f t="shared" si="302"/>
        <v>0</v>
      </c>
      <c r="P635"/>
      <c r="T635" s="9"/>
    </row>
    <row r="636" spans="1:20" x14ac:dyDescent="0.25">
      <c r="B636" s="2" t="s">
        <v>9</v>
      </c>
      <c r="C636" s="2">
        <v>2025</v>
      </c>
      <c r="D636" s="1">
        <f t="shared" si="292"/>
        <v>3772249</v>
      </c>
      <c r="E636" s="11">
        <f t="shared" si="293"/>
        <v>290028987.83000004</v>
      </c>
      <c r="F636" s="1">
        <f t="shared" si="294"/>
        <v>5687375</v>
      </c>
      <c r="G636" s="11">
        <f t="shared" si="295"/>
        <v>881648955.40999985</v>
      </c>
      <c r="H636" s="1">
        <f t="shared" si="303"/>
        <v>9459624</v>
      </c>
      <c r="I636" s="11">
        <f t="shared" si="296"/>
        <v>1171677943.2399998</v>
      </c>
      <c r="J636" s="1">
        <f t="shared" si="297"/>
        <v>12323804</v>
      </c>
      <c r="K636" s="11">
        <f t="shared" si="298"/>
        <v>1269929270.74</v>
      </c>
      <c r="L636" s="1">
        <f t="shared" si="299"/>
        <v>21783428</v>
      </c>
      <c r="M636" s="11">
        <f t="shared" si="300"/>
        <v>2441607213.9799995</v>
      </c>
      <c r="N636" s="37">
        <f t="shared" si="301"/>
        <v>0</v>
      </c>
      <c r="O636" s="13">
        <f t="shared" si="302"/>
        <v>0</v>
      </c>
      <c r="P636"/>
      <c r="T636" s="9"/>
    </row>
    <row r="637" spans="1:20" x14ac:dyDescent="0.25">
      <c r="B637" s="2" t="s">
        <v>10</v>
      </c>
      <c r="C637" s="2">
        <v>2025</v>
      </c>
      <c r="D637" s="1">
        <f t="shared" si="292"/>
        <v>3642545</v>
      </c>
      <c r="E637" s="11">
        <f t="shared" si="293"/>
        <v>278018926.23000002</v>
      </c>
      <c r="F637" s="1">
        <f t="shared" si="294"/>
        <v>5308211</v>
      </c>
      <c r="G637" s="11">
        <f t="shared" si="295"/>
        <v>818694367.06000006</v>
      </c>
      <c r="H637" s="1">
        <f t="shared" si="303"/>
        <v>8950756</v>
      </c>
      <c r="I637" s="11">
        <f t="shared" si="296"/>
        <v>1096713293.29</v>
      </c>
      <c r="J637" s="1">
        <f t="shared" si="297"/>
        <v>11832698</v>
      </c>
      <c r="K637" s="11">
        <f t="shared" si="298"/>
        <v>1213727948.6300001</v>
      </c>
      <c r="L637" s="1">
        <f t="shared" si="299"/>
        <v>20783454</v>
      </c>
      <c r="M637" s="11">
        <f t="shared" si="300"/>
        <v>2310441241.9200001</v>
      </c>
      <c r="N637" s="37">
        <f t="shared" si="301"/>
        <v>0</v>
      </c>
      <c r="O637" s="13">
        <f t="shared" si="302"/>
        <v>0</v>
      </c>
      <c r="P637"/>
      <c r="T637" s="9"/>
    </row>
    <row r="638" spans="1:20" x14ac:dyDescent="0.25">
      <c r="B638" s="2" t="s">
        <v>11</v>
      </c>
      <c r="C638" s="2">
        <v>2025</v>
      </c>
      <c r="D638" s="1">
        <f t="shared" si="292"/>
        <v>3714162</v>
      </c>
      <c r="E638" s="11">
        <f t="shared" si="293"/>
        <v>289547259.64999998</v>
      </c>
      <c r="F638" s="1">
        <f t="shared" si="294"/>
        <v>5680555</v>
      </c>
      <c r="G638" s="11">
        <f t="shared" si="295"/>
        <v>874116840.86000001</v>
      </c>
      <c r="H638" s="1">
        <f t="shared" si="303"/>
        <v>9394717</v>
      </c>
      <c r="I638" s="11">
        <f t="shared" si="296"/>
        <v>1163664100.51</v>
      </c>
      <c r="J638" s="1">
        <f t="shared" si="297"/>
        <v>12055407</v>
      </c>
      <c r="K638" s="11">
        <f t="shared" si="298"/>
        <v>1265648710.1100001</v>
      </c>
      <c r="L638" s="1">
        <f t="shared" si="299"/>
        <v>21450124</v>
      </c>
      <c r="M638" s="11">
        <f t="shared" si="300"/>
        <v>2429312810.6199999</v>
      </c>
      <c r="N638" s="37">
        <f t="shared" si="301"/>
        <v>0</v>
      </c>
      <c r="O638" s="13">
        <f t="shared" si="302"/>
        <v>0</v>
      </c>
      <c r="P638"/>
      <c r="T638" s="9"/>
    </row>
    <row r="639" spans="1:20" x14ac:dyDescent="0.25">
      <c r="B639" s="2" t="s">
        <v>4</v>
      </c>
      <c r="C639" s="2">
        <v>2025</v>
      </c>
      <c r="D639" s="1">
        <f t="shared" si="292"/>
        <v>3840086</v>
      </c>
      <c r="E639" s="11">
        <f t="shared" si="293"/>
        <v>297671241.35999995</v>
      </c>
      <c r="F639" s="1">
        <f t="shared" si="294"/>
        <v>5660274</v>
      </c>
      <c r="G639" s="11">
        <f t="shared" si="295"/>
        <v>865152174.18000007</v>
      </c>
      <c r="H639" s="1">
        <f t="shared" si="303"/>
        <v>9500360</v>
      </c>
      <c r="I639" s="11">
        <f t="shared" si="296"/>
        <v>1162823415.54</v>
      </c>
      <c r="J639" s="1">
        <f t="shared" si="297"/>
        <v>12548180</v>
      </c>
      <c r="K639" s="11">
        <f t="shared" si="298"/>
        <v>1268898379.7800002</v>
      </c>
      <c r="L639" s="1">
        <f t="shared" si="299"/>
        <v>22048540</v>
      </c>
      <c r="M639" s="11">
        <f t="shared" si="300"/>
        <v>2431721795.3200002</v>
      </c>
      <c r="N639" s="37">
        <f t="shared" si="301"/>
        <v>0</v>
      </c>
      <c r="O639" s="13">
        <f t="shared" si="302"/>
        <v>0</v>
      </c>
      <c r="P639"/>
      <c r="T639" s="9"/>
    </row>
    <row r="640" spans="1:20" x14ac:dyDescent="0.25">
      <c r="B640" s="2" t="s">
        <v>28</v>
      </c>
      <c r="C640" s="2">
        <v>2025</v>
      </c>
      <c r="D640" s="1">
        <f t="shared" si="292"/>
        <v>3592469</v>
      </c>
      <c r="E640" s="11">
        <f t="shared" si="293"/>
        <v>275659966.61000001</v>
      </c>
      <c r="F640" s="1">
        <f t="shared" si="294"/>
        <v>5365109</v>
      </c>
      <c r="G640" s="11">
        <f t="shared" si="295"/>
        <v>812965291.7299999</v>
      </c>
      <c r="H640" s="1">
        <f t="shared" si="303"/>
        <v>8957578</v>
      </c>
      <c r="I640" s="11">
        <f t="shared" si="296"/>
        <v>1088625258.3399999</v>
      </c>
      <c r="J640" s="1">
        <f t="shared" si="297"/>
        <v>12179491</v>
      </c>
      <c r="K640" s="11">
        <f t="shared" si="298"/>
        <v>1301763181.3100002</v>
      </c>
      <c r="L640" s="1">
        <f t="shared" si="299"/>
        <v>21137069</v>
      </c>
      <c r="M640" s="11">
        <f t="shared" si="300"/>
        <v>2390388439.6500001</v>
      </c>
      <c r="N640" s="37">
        <f t="shared" si="301"/>
        <v>0</v>
      </c>
      <c r="O640" s="13">
        <f t="shared" si="302"/>
        <v>0</v>
      </c>
      <c r="P640"/>
      <c r="T640" s="9"/>
    </row>
    <row r="641" spans="2:22" x14ac:dyDescent="0.25">
      <c r="B641" s="2" t="s">
        <v>29</v>
      </c>
      <c r="C641" s="2">
        <v>2025</v>
      </c>
      <c r="D641" s="1">
        <f t="shared" si="292"/>
        <v>3743679</v>
      </c>
      <c r="E641" s="11">
        <f t="shared" si="293"/>
        <v>285629044.60000002</v>
      </c>
      <c r="F641" s="1">
        <f t="shared" si="294"/>
        <v>5749251</v>
      </c>
      <c r="G641" s="11">
        <f t="shared" si="295"/>
        <v>858802475.73000002</v>
      </c>
      <c r="H641" s="1">
        <f t="shared" si="303"/>
        <v>9492930</v>
      </c>
      <c r="I641" s="11">
        <f t="shared" si="296"/>
        <v>1144431520.3299999</v>
      </c>
      <c r="J641" s="1">
        <f t="shared" si="297"/>
        <v>12343622</v>
      </c>
      <c r="K641" s="11">
        <f t="shared" si="298"/>
        <v>1275603595.3299999</v>
      </c>
      <c r="L641" s="1">
        <f t="shared" si="299"/>
        <v>21836552</v>
      </c>
      <c r="M641" s="11">
        <f t="shared" si="300"/>
        <v>2420035115.6599998</v>
      </c>
      <c r="N641" s="37">
        <f t="shared" si="301"/>
        <v>0</v>
      </c>
      <c r="O641" s="13">
        <f t="shared" si="302"/>
        <v>0</v>
      </c>
      <c r="P641"/>
      <c r="T641" s="9"/>
    </row>
    <row r="642" spans="2:22" x14ac:dyDescent="0.25">
      <c r="B642" s="2" t="s">
        <v>30</v>
      </c>
      <c r="C642" s="2">
        <v>2025</v>
      </c>
      <c r="D642" s="1">
        <f t="shared" si="292"/>
        <v>3776399</v>
      </c>
      <c r="E642" s="11">
        <f t="shared" si="293"/>
        <v>280735349.75</v>
      </c>
      <c r="F642" s="1">
        <f t="shared" si="294"/>
        <v>5668495</v>
      </c>
      <c r="G642" s="11">
        <f t="shared" si="295"/>
        <v>848733083.51000011</v>
      </c>
      <c r="H642" s="1">
        <f t="shared" si="303"/>
        <v>9444894</v>
      </c>
      <c r="I642" s="11">
        <f t="shared" si="296"/>
        <v>1129468433.2600002</v>
      </c>
      <c r="J642" s="1">
        <f t="shared" si="297"/>
        <v>12486340</v>
      </c>
      <c r="K642" s="11">
        <f t="shared" si="298"/>
        <v>1269816662.6099999</v>
      </c>
      <c r="L642" s="1">
        <f t="shared" si="299"/>
        <v>21931234</v>
      </c>
      <c r="M642" s="11">
        <f t="shared" si="300"/>
        <v>2399285095.8699999</v>
      </c>
      <c r="N642" s="37">
        <f t="shared" si="301"/>
        <v>0</v>
      </c>
      <c r="O642" s="13">
        <f t="shared" si="302"/>
        <v>0</v>
      </c>
      <c r="P642"/>
      <c r="T642" s="9"/>
    </row>
    <row r="643" spans="2:22" x14ac:dyDescent="0.25">
      <c r="B643" s="2" t="s">
        <v>31</v>
      </c>
      <c r="C643" s="2">
        <v>2025</v>
      </c>
      <c r="D643" s="1">
        <f t="shared" si="292"/>
        <v>3696602</v>
      </c>
      <c r="E643" s="11">
        <f t="shared" si="293"/>
        <v>280682618.66999996</v>
      </c>
      <c r="F643" s="1">
        <f t="shared" si="294"/>
        <v>6292834</v>
      </c>
      <c r="G643" s="11">
        <f t="shared" si="295"/>
        <v>944620016.23000002</v>
      </c>
      <c r="H643" s="1">
        <f t="shared" si="303"/>
        <v>9989436</v>
      </c>
      <c r="I643" s="11">
        <f t="shared" si="296"/>
        <v>1225302634.9000001</v>
      </c>
      <c r="J643" s="1">
        <f t="shared" si="297"/>
        <v>12184411</v>
      </c>
      <c r="K643" s="11">
        <f t="shared" si="298"/>
        <v>1248584979.4900002</v>
      </c>
      <c r="L643" s="1">
        <f t="shared" si="299"/>
        <v>22173847</v>
      </c>
      <c r="M643" s="11">
        <f t="shared" si="300"/>
        <v>2473887614.3900003</v>
      </c>
      <c r="N643" s="37">
        <f t="shared" si="301"/>
        <v>0</v>
      </c>
      <c r="O643" s="13">
        <f t="shared" si="302"/>
        <v>0</v>
      </c>
      <c r="P643"/>
      <c r="T643" s="9"/>
    </row>
    <row r="644" spans="2:22" x14ac:dyDescent="0.25">
      <c r="E644"/>
      <c r="F644"/>
      <c r="G644"/>
      <c r="I644"/>
      <c r="K644"/>
      <c r="M644"/>
      <c r="N644" s="37"/>
      <c r="O644" s="13"/>
      <c r="P644"/>
      <c r="T644" s="9"/>
    </row>
    <row r="645" spans="2:22" x14ac:dyDescent="0.25">
      <c r="B645" s="88" t="s">
        <v>12</v>
      </c>
      <c r="C645" s="88"/>
      <c r="D645" s="4">
        <f>SUM(D632:D644)</f>
        <v>43584066</v>
      </c>
      <c r="E645" s="12">
        <f>SUM(E632:E644)</f>
        <v>3333611886.3000002</v>
      </c>
      <c r="F645" s="4">
        <f t="shared" ref="F645:M645" si="304">SUM(F632:F644)</f>
        <v>66509791</v>
      </c>
      <c r="G645" s="12">
        <f t="shared" si="304"/>
        <v>10145488820.939999</v>
      </c>
      <c r="H645" s="4">
        <f t="shared" si="304"/>
        <v>110093857</v>
      </c>
      <c r="I645" s="12">
        <f t="shared" si="304"/>
        <v>13479100707.24</v>
      </c>
      <c r="J645" s="4">
        <f t="shared" si="304"/>
        <v>143956724</v>
      </c>
      <c r="K645" s="12">
        <f t="shared" si="304"/>
        <v>14887725261.069998</v>
      </c>
      <c r="L645" s="4">
        <f t="shared" si="304"/>
        <v>254050581</v>
      </c>
      <c r="M645" s="12">
        <f t="shared" si="304"/>
        <v>28366825968.309998</v>
      </c>
      <c r="O645"/>
      <c r="P645"/>
      <c r="T645" s="9"/>
    </row>
    <row r="646" spans="2:22" x14ac:dyDescent="0.25">
      <c r="H646" s="78"/>
      <c r="J646" s="9"/>
      <c r="P646"/>
      <c r="R646"/>
      <c r="T646" s="9"/>
      <c r="V646" s="9"/>
    </row>
    <row r="647" spans="2:22" x14ac:dyDescent="0.25">
      <c r="E647"/>
      <c r="F647" s="88" t="s">
        <v>111</v>
      </c>
      <c r="G647" s="88"/>
      <c r="H647" s="4">
        <f t="shared" ref="H647:M647" si="305">AVERAGE(H632:H643)</f>
        <v>9174488.083333334</v>
      </c>
      <c r="I647" s="12">
        <f t="shared" si="305"/>
        <v>1123258392.27</v>
      </c>
      <c r="J647" s="4">
        <f t="shared" si="305"/>
        <v>11996393.666666666</v>
      </c>
      <c r="K647" s="12">
        <f t="shared" si="305"/>
        <v>1240643771.7558331</v>
      </c>
      <c r="L647" s="4">
        <f t="shared" si="305"/>
        <v>21170881.75</v>
      </c>
      <c r="M647" s="12">
        <f t="shared" si="305"/>
        <v>2363902164.0258331</v>
      </c>
      <c r="O647"/>
      <c r="P647"/>
      <c r="T647" s="9"/>
    </row>
    <row r="648" spans="2:22" x14ac:dyDescent="0.25">
      <c r="E648"/>
      <c r="H648" s="9"/>
      <c r="P648"/>
      <c r="T648" s="9"/>
    </row>
    <row r="649" spans="2:22" x14ac:dyDescent="0.25">
      <c r="H649" s="9"/>
      <c r="J649" s="9"/>
      <c r="P649"/>
      <c r="R649"/>
      <c r="T649" s="9"/>
      <c r="V649" s="9"/>
    </row>
    <row r="650" spans="2:22" x14ac:dyDescent="0.25">
      <c r="H650" s="9"/>
      <c r="J650" s="9"/>
      <c r="P650"/>
      <c r="R650"/>
      <c r="T650" s="9"/>
      <c r="V650" s="9"/>
    </row>
    <row r="651" spans="2:22" x14ac:dyDescent="0.25">
      <c r="H651" s="9"/>
      <c r="J651" s="9"/>
      <c r="P651"/>
      <c r="R651"/>
      <c r="T651" s="9"/>
      <c r="V651" s="9"/>
    </row>
    <row r="652" spans="2:22" x14ac:dyDescent="0.25">
      <c r="H652" s="9"/>
      <c r="J652" s="9"/>
      <c r="P652"/>
      <c r="R652"/>
      <c r="T652" s="9"/>
      <c r="V652" s="9"/>
    </row>
  </sheetData>
  <autoFilter ref="A6:AQ643" xr:uid="{025CF1B5-CE8E-41C9-8676-B577D26C40A8}"/>
  <mergeCells count="357">
    <mergeCell ref="B645:C645"/>
    <mergeCell ref="F647:G647"/>
    <mergeCell ref="B623:C623"/>
    <mergeCell ref="D629:E629"/>
    <mergeCell ref="F629:G629"/>
    <mergeCell ref="H629:I629"/>
    <mergeCell ref="J629:K629"/>
    <mergeCell ref="L629:M629"/>
    <mergeCell ref="B602:C602"/>
    <mergeCell ref="D607:E607"/>
    <mergeCell ref="F607:G607"/>
    <mergeCell ref="H607:I607"/>
    <mergeCell ref="J607:K607"/>
    <mergeCell ref="L607:M607"/>
    <mergeCell ref="B581:C581"/>
    <mergeCell ref="D586:E586"/>
    <mergeCell ref="F586:G586"/>
    <mergeCell ref="H586:I586"/>
    <mergeCell ref="J586:K586"/>
    <mergeCell ref="L586:M586"/>
    <mergeCell ref="B560:C560"/>
    <mergeCell ref="D565:E565"/>
    <mergeCell ref="F565:G565"/>
    <mergeCell ref="H565:I565"/>
    <mergeCell ref="J565:K565"/>
    <mergeCell ref="L565:M565"/>
    <mergeCell ref="B539:C539"/>
    <mergeCell ref="D544:E544"/>
    <mergeCell ref="F544:G544"/>
    <mergeCell ref="H544:I544"/>
    <mergeCell ref="J544:K544"/>
    <mergeCell ref="L544:M544"/>
    <mergeCell ref="B518:C518"/>
    <mergeCell ref="D523:E523"/>
    <mergeCell ref="F523:G523"/>
    <mergeCell ref="H523:I523"/>
    <mergeCell ref="J523:K523"/>
    <mergeCell ref="L523:M523"/>
    <mergeCell ref="D502:E502"/>
    <mergeCell ref="F502:G502"/>
    <mergeCell ref="H502:I502"/>
    <mergeCell ref="J502:K502"/>
    <mergeCell ref="L502:M502"/>
    <mergeCell ref="B434:C434"/>
    <mergeCell ref="D460:E460"/>
    <mergeCell ref="F460:G460"/>
    <mergeCell ref="H460:I460"/>
    <mergeCell ref="J460:K460"/>
    <mergeCell ref="L460:M460"/>
    <mergeCell ref="D481:E481"/>
    <mergeCell ref="F481:G481"/>
    <mergeCell ref="H481:I481"/>
    <mergeCell ref="J481:K481"/>
    <mergeCell ref="L481:M481"/>
    <mergeCell ref="B497:C497"/>
    <mergeCell ref="D418:E418"/>
    <mergeCell ref="F418:G418"/>
    <mergeCell ref="H418:I418"/>
    <mergeCell ref="J418:K418"/>
    <mergeCell ref="L418:M418"/>
    <mergeCell ref="R375:S375"/>
    <mergeCell ref="T375:U375"/>
    <mergeCell ref="V375:W375"/>
    <mergeCell ref="B476:C476"/>
    <mergeCell ref="D397:E397"/>
    <mergeCell ref="F397:G397"/>
    <mergeCell ref="H397:I397"/>
    <mergeCell ref="J397:K397"/>
    <mergeCell ref="L397:M397"/>
    <mergeCell ref="D439:E439"/>
    <mergeCell ref="F439:G439"/>
    <mergeCell ref="H439:I439"/>
    <mergeCell ref="J439:K439"/>
    <mergeCell ref="L439:M439"/>
    <mergeCell ref="B455:C455"/>
    <mergeCell ref="AI354:AJ354"/>
    <mergeCell ref="AK354:AL354"/>
    <mergeCell ref="B413:C413"/>
    <mergeCell ref="AS355:AT355"/>
    <mergeCell ref="D375:E375"/>
    <mergeCell ref="F375:G375"/>
    <mergeCell ref="H375:I375"/>
    <mergeCell ref="N375:O375"/>
    <mergeCell ref="P375:Q375"/>
    <mergeCell ref="P354:Q354"/>
    <mergeCell ref="R354:S354"/>
    <mergeCell ref="T354:U354"/>
    <mergeCell ref="AA354:AB354"/>
    <mergeCell ref="AC354:AD354"/>
    <mergeCell ref="AE354:AF354"/>
    <mergeCell ref="X375:Y375"/>
    <mergeCell ref="J375:K375"/>
    <mergeCell ref="L375:M375"/>
    <mergeCell ref="AG332:AH332"/>
    <mergeCell ref="AI332:AJ332"/>
    <mergeCell ref="AK332:AL332"/>
    <mergeCell ref="AM332:AN332"/>
    <mergeCell ref="D354:E354"/>
    <mergeCell ref="F354:G354"/>
    <mergeCell ref="H354:I354"/>
    <mergeCell ref="J354:K354"/>
    <mergeCell ref="L354:M354"/>
    <mergeCell ref="N354:O354"/>
    <mergeCell ref="P332:Q332"/>
    <mergeCell ref="R332:S332"/>
    <mergeCell ref="T332:U332"/>
    <mergeCell ref="AA332:AB332"/>
    <mergeCell ref="AC332:AD332"/>
    <mergeCell ref="AE332:AF332"/>
    <mergeCell ref="AM354:AN354"/>
    <mergeCell ref="D332:E332"/>
    <mergeCell ref="F332:G332"/>
    <mergeCell ref="H332:I332"/>
    <mergeCell ref="J332:K332"/>
    <mergeCell ref="L332:M332"/>
    <mergeCell ref="N332:O332"/>
    <mergeCell ref="AG354:AH354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AE311:AF311"/>
    <mergeCell ref="D290:E290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5714-3C94-42AC-9948-388ED2EFB599}">
  <dimension ref="A2:BC652"/>
  <sheetViews>
    <sheetView showGridLines="0" tabSelected="1" zoomScale="60" zoomScaleNormal="60" workbookViewId="0">
      <pane ySplit="6" topLeftCell="A579" activePane="bottomLeft" state="frozen"/>
      <selection pane="bottomLeft" activeCell="I630" sqref="I630"/>
    </sheetView>
  </sheetViews>
  <sheetFormatPr baseColWidth="10" defaultColWidth="11" defaultRowHeight="15" outlineLevelRow="1" x14ac:dyDescent="0.25"/>
  <cols>
    <col min="1" max="1" width="15.5703125" bestFit="1" customWidth="1"/>
    <col min="2" max="2" width="18.28515625" customWidth="1"/>
    <col min="3" max="3" width="19.7109375" customWidth="1"/>
    <col min="4" max="4" width="15.7109375" bestFit="1" customWidth="1"/>
    <col min="5" max="5" width="26.85546875" style="9" customWidth="1"/>
    <col min="6" max="6" width="18.5703125" style="9" bestFit="1" customWidth="1"/>
    <col min="7" max="7" width="28" style="9" bestFit="1" customWidth="1"/>
    <col min="8" max="8" width="16.28515625" bestFit="1" customWidth="1"/>
    <col min="9" max="9" width="28" style="9" bestFit="1" customWidth="1"/>
    <col min="10" max="10" width="16.7109375" bestFit="1" customWidth="1"/>
    <col min="11" max="11" width="28" style="9" bestFit="1" customWidth="1"/>
    <col min="12" max="12" width="16.28515625" bestFit="1" customWidth="1"/>
    <col min="13" max="13" width="29" style="9" bestFit="1" customWidth="1"/>
    <col min="14" max="14" width="13.85546875" bestFit="1" customWidth="1"/>
    <col min="15" max="15" width="26.85546875" style="9" customWidth="1"/>
    <col min="16" max="16" width="15.140625" style="9" bestFit="1" customWidth="1"/>
    <col min="17" max="17" width="26.85546875" style="9" customWidth="1"/>
    <col min="18" max="18" width="17.85546875" style="9" bestFit="1" customWidth="1"/>
    <col min="19" max="19" width="26.85546875" style="9" customWidth="1"/>
    <col min="20" max="20" width="16.7109375" bestFit="1" customWidth="1"/>
    <col min="21" max="21" width="28.7109375" style="9" bestFit="1" customWidth="1"/>
    <col min="22" max="22" width="18.85546875" customWidth="1"/>
    <col min="23" max="23" width="26.85546875" customWidth="1"/>
    <col min="24" max="24" width="18.42578125" bestFit="1" customWidth="1"/>
    <col min="25" max="25" width="28" bestFit="1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0"/>
      <c r="F5" s="89" t="s">
        <v>71</v>
      </c>
      <c r="G5" s="90"/>
      <c r="H5" s="89" t="s">
        <v>16</v>
      </c>
      <c r="I5" s="90"/>
      <c r="J5" s="89" t="s">
        <v>17</v>
      </c>
      <c r="K5" s="93"/>
      <c r="L5" s="89" t="s">
        <v>18</v>
      </c>
      <c r="M5" s="93"/>
      <c r="N5" s="89" t="s">
        <v>13</v>
      </c>
      <c r="O5" s="93"/>
      <c r="P5" s="89" t="s">
        <v>34</v>
      </c>
      <c r="Q5" s="93"/>
      <c r="R5" s="89" t="s">
        <v>87</v>
      </c>
      <c r="S5" s="93"/>
      <c r="T5" s="89" t="s">
        <v>12</v>
      </c>
      <c r="U5" s="93"/>
      <c r="AA5" s="89" t="s">
        <v>69</v>
      </c>
      <c r="AB5" s="90"/>
      <c r="AC5" s="89" t="s">
        <v>17</v>
      </c>
      <c r="AD5" s="93"/>
      <c r="AE5" s="89" t="s">
        <v>18</v>
      </c>
      <c r="AF5" s="93"/>
      <c r="AG5" s="89" t="s">
        <v>13</v>
      </c>
      <c r="AH5" s="93"/>
      <c r="AI5" s="89" t="s">
        <v>34</v>
      </c>
      <c r="AJ5" s="93"/>
      <c r="AK5" s="89" t="s">
        <v>87</v>
      </c>
      <c r="AL5" s="93"/>
      <c r="AM5" s="89" t="s">
        <v>12</v>
      </c>
      <c r="AN5" s="93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2026</v>
      </c>
      <c r="D8" s="1">
        <v>442436</v>
      </c>
      <c r="E8" s="11">
        <v>27146882.440000005</v>
      </c>
      <c r="F8" s="1">
        <v>266662</v>
      </c>
      <c r="G8" s="11">
        <v>16253985.370000005</v>
      </c>
      <c r="H8" s="1">
        <v>19473</v>
      </c>
      <c r="I8" s="11">
        <v>1189570.0999999999</v>
      </c>
      <c r="J8" s="1">
        <v>2298735</v>
      </c>
      <c r="K8" s="11">
        <v>141390474.46000001</v>
      </c>
      <c r="L8" s="1">
        <v>11060</v>
      </c>
      <c r="M8" s="11">
        <v>730810.87000000011</v>
      </c>
      <c r="N8" s="1">
        <v>16527</v>
      </c>
      <c r="O8" s="11">
        <v>950269.4</v>
      </c>
      <c r="P8" s="1">
        <v>138</v>
      </c>
      <c r="Q8" s="11">
        <v>6401.1900000000023</v>
      </c>
      <c r="R8" s="1">
        <v>18267</v>
      </c>
      <c r="S8" s="11">
        <v>1170578.8500000001</v>
      </c>
      <c r="T8" s="53">
        <f>N8+L8+J8+H8+D8+P8+F8+R8</f>
        <v>3073298</v>
      </c>
      <c r="U8" s="54">
        <f t="shared" ref="U8:U19" si="0">O8+M8+K8+I8+E8+Q8+G8+S8</f>
        <v>188838972.68000001</v>
      </c>
      <c r="V8" s="2" t="s">
        <v>56</v>
      </c>
      <c r="Y8" s="2" t="s">
        <v>5</v>
      </c>
      <c r="Z8" s="2">
        <v>2026</v>
      </c>
      <c r="AA8" s="1">
        <f t="shared" ref="AA8:AB19" si="1">D8+H8+F8</f>
        <v>728571</v>
      </c>
      <c r="AB8" s="11">
        <f t="shared" si="1"/>
        <v>44590437.910000011</v>
      </c>
      <c r="AC8" s="1">
        <f t="shared" ref="AC8:AL19" si="2">+J8</f>
        <v>2298735</v>
      </c>
      <c r="AD8" s="11">
        <f t="shared" si="2"/>
        <v>141390474.46000001</v>
      </c>
      <c r="AE8" s="8">
        <f t="shared" si="2"/>
        <v>11060</v>
      </c>
      <c r="AF8" s="11">
        <f t="shared" si="2"/>
        <v>730810.87000000011</v>
      </c>
      <c r="AG8" s="8">
        <f t="shared" si="2"/>
        <v>16527</v>
      </c>
      <c r="AH8" s="11">
        <f t="shared" si="2"/>
        <v>950269.4</v>
      </c>
      <c r="AI8" s="8">
        <f t="shared" si="2"/>
        <v>138</v>
      </c>
      <c r="AJ8" s="11">
        <f t="shared" si="2"/>
        <v>6401.1900000000023</v>
      </c>
      <c r="AK8" s="11">
        <f t="shared" si="2"/>
        <v>18267</v>
      </c>
      <c r="AL8" s="11">
        <f t="shared" si="2"/>
        <v>1170578.8500000001</v>
      </c>
      <c r="AM8" s="8">
        <f>AI8+AG8+AE8+AC8+AA8+AK8</f>
        <v>3073298</v>
      </c>
      <c r="AN8" s="11">
        <f t="shared" ref="AN8:AN19" si="3">AJ8+AH8+AF8+AD8+AB8+AL8</f>
        <v>188838972.68000004</v>
      </c>
      <c r="AO8" s="2" t="str">
        <f t="shared" ref="AO8:AO19" si="4">+V8</f>
        <v>AUNORTE</v>
      </c>
      <c r="AP8" s="37">
        <f t="shared" ref="AP8:AQ19" si="5">+AM8-T8</f>
        <v>0</v>
      </c>
      <c r="AQ8" s="37">
        <f t="shared" si="5"/>
        <v>0</v>
      </c>
    </row>
    <row r="9" spans="1:43" x14ac:dyDescent="0.25">
      <c r="B9" s="2" t="s">
        <v>6</v>
      </c>
      <c r="C9" s="2">
        <v>2026</v>
      </c>
      <c r="D9" s="1">
        <v>411008</v>
      </c>
      <c r="E9" s="11">
        <v>27412394.710000001</v>
      </c>
      <c r="F9" s="1">
        <v>268087</v>
      </c>
      <c r="G9" s="11">
        <v>17661301.07</v>
      </c>
      <c r="H9" s="1">
        <v>19321</v>
      </c>
      <c r="I9" s="11">
        <v>1293954.2600000005</v>
      </c>
      <c r="J9" s="1">
        <v>2209897</v>
      </c>
      <c r="K9" s="11">
        <v>147754217.54000002</v>
      </c>
      <c r="L9" s="1">
        <v>10644</v>
      </c>
      <c r="M9" s="11">
        <v>750672.20000000019</v>
      </c>
      <c r="N9" s="1">
        <v>16576</v>
      </c>
      <c r="O9" s="11">
        <v>1033661.6100000002</v>
      </c>
      <c r="P9" s="1">
        <v>108</v>
      </c>
      <c r="Q9" s="11">
        <v>5187.2000000000007</v>
      </c>
      <c r="R9" s="1">
        <v>17173</v>
      </c>
      <c r="S9" s="11">
        <v>1189405.0699999998</v>
      </c>
      <c r="T9" s="53">
        <f t="shared" ref="T9:T19" si="6">N9+L9+J9+H9+D9+P9+F9+R9</f>
        <v>2952814</v>
      </c>
      <c r="U9" s="54">
        <f t="shared" si="0"/>
        <v>197100793.66</v>
      </c>
      <c r="V9" s="2" t="s">
        <v>56</v>
      </c>
      <c r="Y9" s="2" t="s">
        <v>6</v>
      </c>
      <c r="Z9" s="2">
        <v>2026</v>
      </c>
      <c r="AA9" s="1">
        <f t="shared" si="1"/>
        <v>698416</v>
      </c>
      <c r="AB9" s="11">
        <f t="shared" si="1"/>
        <v>46367650.040000007</v>
      </c>
      <c r="AC9" s="1">
        <f t="shared" si="2"/>
        <v>2209897</v>
      </c>
      <c r="AD9" s="11">
        <f t="shared" si="2"/>
        <v>147754217.54000002</v>
      </c>
      <c r="AE9" s="8">
        <f t="shared" si="2"/>
        <v>10644</v>
      </c>
      <c r="AF9" s="11">
        <f t="shared" si="2"/>
        <v>750672.20000000019</v>
      </c>
      <c r="AG9" s="8">
        <f t="shared" si="2"/>
        <v>16576</v>
      </c>
      <c r="AH9" s="11">
        <f t="shared" si="2"/>
        <v>1033661.6100000002</v>
      </c>
      <c r="AI9" s="8">
        <f t="shared" si="2"/>
        <v>108</v>
      </c>
      <c r="AJ9" s="11">
        <f t="shared" si="2"/>
        <v>5187.2000000000007</v>
      </c>
      <c r="AK9" s="11">
        <f t="shared" si="2"/>
        <v>17173</v>
      </c>
      <c r="AL9" s="11">
        <f t="shared" si="2"/>
        <v>1189405.0699999998</v>
      </c>
      <c r="AM9" s="8">
        <f t="shared" ref="AM9:AM19" si="7">AI9+AG9+AE9+AC9+AA9+AK9</f>
        <v>2952814</v>
      </c>
      <c r="AN9" s="11">
        <f t="shared" si="3"/>
        <v>197100793.66000003</v>
      </c>
      <c r="AO9" s="2" t="str">
        <f t="shared" si="4"/>
        <v>AUNORTE</v>
      </c>
      <c r="AP9" s="37">
        <f t="shared" si="5"/>
        <v>0</v>
      </c>
      <c r="AQ9" s="37">
        <f t="shared" si="5"/>
        <v>0</v>
      </c>
    </row>
    <row r="10" spans="1:43" x14ac:dyDescent="0.25">
      <c r="B10" s="2" t="s">
        <v>7</v>
      </c>
      <c r="C10" s="2">
        <v>2026</v>
      </c>
      <c r="D10" s="1">
        <v>435842</v>
      </c>
      <c r="E10" s="11">
        <v>29432066.960000001</v>
      </c>
      <c r="F10" s="1">
        <v>280809</v>
      </c>
      <c r="G10" s="11">
        <v>18656521.870000005</v>
      </c>
      <c r="H10" s="1">
        <v>21665</v>
      </c>
      <c r="I10" s="11">
        <v>1442476.5899999999</v>
      </c>
      <c r="J10" s="1">
        <v>2422523</v>
      </c>
      <c r="K10" s="11">
        <v>163301864.44999999</v>
      </c>
      <c r="L10" s="1">
        <v>11761</v>
      </c>
      <c r="M10" s="11">
        <v>838656.83000000031</v>
      </c>
      <c r="N10" s="1">
        <v>18024</v>
      </c>
      <c r="O10" s="11">
        <v>1130115.1800000004</v>
      </c>
      <c r="P10" s="1">
        <v>107</v>
      </c>
      <c r="Q10" s="11">
        <v>5242.78</v>
      </c>
      <c r="R10" s="1">
        <v>18995</v>
      </c>
      <c r="S10" s="11">
        <v>1327993.8999999999</v>
      </c>
      <c r="T10" s="53">
        <f t="shared" si="6"/>
        <v>3209726</v>
      </c>
      <c r="U10" s="54">
        <f t="shared" si="0"/>
        <v>216134938.56</v>
      </c>
      <c r="V10" s="2" t="s">
        <v>56</v>
      </c>
      <c r="Y10" s="2" t="s">
        <v>7</v>
      </c>
      <c r="Z10" s="2">
        <v>2026</v>
      </c>
      <c r="AA10" s="1">
        <f>D10+H10+F10</f>
        <v>738316</v>
      </c>
      <c r="AB10" s="11">
        <f t="shared" si="1"/>
        <v>49531065.420000002</v>
      </c>
      <c r="AC10" s="1">
        <f t="shared" si="2"/>
        <v>2422523</v>
      </c>
      <c r="AD10" s="11">
        <f t="shared" si="2"/>
        <v>163301864.44999999</v>
      </c>
      <c r="AE10" s="8">
        <f t="shared" si="2"/>
        <v>11761</v>
      </c>
      <c r="AF10" s="11">
        <f t="shared" si="2"/>
        <v>838656.83000000031</v>
      </c>
      <c r="AG10" s="8">
        <f t="shared" si="2"/>
        <v>18024</v>
      </c>
      <c r="AH10" s="11">
        <f t="shared" si="2"/>
        <v>1130115.1800000004</v>
      </c>
      <c r="AI10" s="8">
        <f t="shared" si="2"/>
        <v>107</v>
      </c>
      <c r="AJ10" s="11">
        <f t="shared" si="2"/>
        <v>5242.78</v>
      </c>
      <c r="AK10" s="11">
        <f t="shared" si="2"/>
        <v>18995</v>
      </c>
      <c r="AL10" s="11">
        <f t="shared" si="2"/>
        <v>1327993.8999999999</v>
      </c>
      <c r="AM10" s="8">
        <f t="shared" si="7"/>
        <v>3209726</v>
      </c>
      <c r="AN10" s="11">
        <f t="shared" si="3"/>
        <v>216134938.55999997</v>
      </c>
      <c r="AO10" s="2" t="str">
        <f t="shared" si="4"/>
        <v>AUNORTE</v>
      </c>
      <c r="AP10" s="37">
        <f t="shared" si="5"/>
        <v>0</v>
      </c>
      <c r="AQ10" s="37">
        <f t="shared" si="5"/>
        <v>0</v>
      </c>
    </row>
    <row r="11" spans="1:43" x14ac:dyDescent="0.25">
      <c r="B11" s="2" t="s">
        <v>8</v>
      </c>
      <c r="C11" s="2">
        <v>2026</v>
      </c>
      <c r="D11" s="1">
        <v>388765</v>
      </c>
      <c r="E11" s="11">
        <v>26224158.360000003</v>
      </c>
      <c r="F11" s="1">
        <v>250825</v>
      </c>
      <c r="G11" s="11">
        <v>16653800.249999998</v>
      </c>
      <c r="H11" s="1">
        <v>20380</v>
      </c>
      <c r="I11" s="11">
        <v>1341531.6400000001</v>
      </c>
      <c r="J11" s="1">
        <v>2192626</v>
      </c>
      <c r="K11" s="11">
        <v>147933814.75</v>
      </c>
      <c r="L11" s="1">
        <v>10650</v>
      </c>
      <c r="M11" s="11">
        <v>760271.83000000007</v>
      </c>
      <c r="N11" s="1">
        <v>16285</v>
      </c>
      <c r="O11" s="11">
        <v>1039363.8200000001</v>
      </c>
      <c r="P11" s="1">
        <v>93</v>
      </c>
      <c r="Q11" s="11">
        <v>4828.71</v>
      </c>
      <c r="R11" s="1">
        <v>18037</v>
      </c>
      <c r="S11" s="11">
        <v>1255409.9899999998</v>
      </c>
      <c r="T11" s="53">
        <f t="shared" si="6"/>
        <v>2897661</v>
      </c>
      <c r="U11" s="54">
        <f t="shared" si="0"/>
        <v>195213179.35000002</v>
      </c>
      <c r="V11" s="2" t="s">
        <v>56</v>
      </c>
      <c r="Y11" s="2" t="s">
        <v>8</v>
      </c>
      <c r="Z11" s="2">
        <v>2026</v>
      </c>
      <c r="AA11" s="1">
        <f t="shared" si="1"/>
        <v>659970</v>
      </c>
      <c r="AB11" s="11">
        <f t="shared" si="1"/>
        <v>44219490.25</v>
      </c>
      <c r="AC11" s="1">
        <f t="shared" si="2"/>
        <v>2192626</v>
      </c>
      <c r="AD11" s="11">
        <f t="shared" si="2"/>
        <v>147933814.75</v>
      </c>
      <c r="AE11" s="8">
        <f t="shared" si="2"/>
        <v>10650</v>
      </c>
      <c r="AF11" s="11">
        <f t="shared" si="2"/>
        <v>760271.83000000007</v>
      </c>
      <c r="AG11" s="8">
        <f t="shared" si="2"/>
        <v>16285</v>
      </c>
      <c r="AH11" s="11">
        <f t="shared" si="2"/>
        <v>1039363.8200000001</v>
      </c>
      <c r="AI11" s="8">
        <f t="shared" si="2"/>
        <v>93</v>
      </c>
      <c r="AJ11" s="11">
        <f t="shared" si="2"/>
        <v>4828.71</v>
      </c>
      <c r="AK11" s="11">
        <f t="shared" si="2"/>
        <v>18037</v>
      </c>
      <c r="AL11" s="11">
        <f t="shared" si="2"/>
        <v>1255409.9899999998</v>
      </c>
      <c r="AM11" s="8">
        <f t="shared" si="7"/>
        <v>2897661</v>
      </c>
      <c r="AN11" s="11">
        <f t="shared" si="3"/>
        <v>195213179.35000002</v>
      </c>
      <c r="AO11" s="2" t="str">
        <f t="shared" si="4"/>
        <v>AUNORTE</v>
      </c>
      <c r="AP11" s="37">
        <f t="shared" si="5"/>
        <v>0</v>
      </c>
      <c r="AQ11" s="37">
        <f t="shared" si="5"/>
        <v>0</v>
      </c>
    </row>
    <row r="12" spans="1:43" x14ac:dyDescent="0.25">
      <c r="B12" s="2" t="s">
        <v>9</v>
      </c>
      <c r="C12" s="2">
        <v>2026</v>
      </c>
      <c r="D12" s="1">
        <v>444940</v>
      </c>
      <c r="E12" s="11">
        <v>29873953.449999999</v>
      </c>
      <c r="F12" s="1">
        <v>292374</v>
      </c>
      <c r="G12" s="11">
        <v>19528863.649999999</v>
      </c>
      <c r="H12" s="1">
        <v>24460</v>
      </c>
      <c r="I12" s="11">
        <v>1653510.1800000002</v>
      </c>
      <c r="J12" s="1">
        <v>2574142</v>
      </c>
      <c r="K12" s="11">
        <v>173061423.09999993</v>
      </c>
      <c r="L12" s="1">
        <v>11951</v>
      </c>
      <c r="M12" s="11">
        <v>844823.89</v>
      </c>
      <c r="N12" s="1">
        <v>18795</v>
      </c>
      <c r="O12" s="11">
        <v>1183943.5899999999</v>
      </c>
      <c r="P12" s="8">
        <v>88</v>
      </c>
      <c r="Q12" s="11">
        <v>3450.61</v>
      </c>
      <c r="R12" s="1">
        <v>21504</v>
      </c>
      <c r="S12" s="11">
        <v>1484788.4799999997</v>
      </c>
      <c r="T12" s="53">
        <f t="shared" si="6"/>
        <v>3388254</v>
      </c>
      <c r="U12" s="54">
        <f t="shared" si="0"/>
        <v>227634756.94999993</v>
      </c>
      <c r="V12" s="2" t="s">
        <v>56</v>
      </c>
      <c r="Y12" s="2" t="s">
        <v>9</v>
      </c>
      <c r="Z12" s="2">
        <v>2026</v>
      </c>
      <c r="AA12" s="1">
        <f t="shared" si="1"/>
        <v>761774</v>
      </c>
      <c r="AB12" s="11">
        <f t="shared" si="1"/>
        <v>51056327.280000001</v>
      </c>
      <c r="AC12" s="1">
        <f t="shared" si="2"/>
        <v>2574142</v>
      </c>
      <c r="AD12" s="11">
        <f t="shared" si="2"/>
        <v>173061423.09999993</v>
      </c>
      <c r="AE12" s="8">
        <f t="shared" si="2"/>
        <v>11951</v>
      </c>
      <c r="AF12" s="11">
        <f t="shared" si="2"/>
        <v>844823.89</v>
      </c>
      <c r="AG12" s="8">
        <f t="shared" si="2"/>
        <v>18795</v>
      </c>
      <c r="AH12" s="11">
        <f t="shared" si="2"/>
        <v>1183943.5899999999</v>
      </c>
      <c r="AI12" s="8">
        <f t="shared" si="2"/>
        <v>88</v>
      </c>
      <c r="AJ12" s="11">
        <f t="shared" si="2"/>
        <v>3450.61</v>
      </c>
      <c r="AK12" s="11">
        <f t="shared" si="2"/>
        <v>21504</v>
      </c>
      <c r="AL12" s="11">
        <f t="shared" si="2"/>
        <v>1484788.4799999997</v>
      </c>
      <c r="AM12" s="8">
        <f t="shared" si="7"/>
        <v>3388254</v>
      </c>
      <c r="AN12" s="11">
        <f t="shared" si="3"/>
        <v>227634756.94999993</v>
      </c>
      <c r="AO12" s="2" t="str">
        <f t="shared" si="4"/>
        <v>AUNORTE</v>
      </c>
      <c r="AP12" s="37">
        <f t="shared" si="5"/>
        <v>0</v>
      </c>
      <c r="AQ12" s="37">
        <f t="shared" si="5"/>
        <v>0</v>
      </c>
    </row>
    <row r="13" spans="1:43" x14ac:dyDescent="0.25">
      <c r="B13" s="2" t="s">
        <v>10</v>
      </c>
      <c r="C13" s="2">
        <v>2026</v>
      </c>
      <c r="D13" s="1">
        <v>405070</v>
      </c>
      <c r="E13" s="11">
        <v>27104297.200000007</v>
      </c>
      <c r="F13" s="1">
        <v>265596</v>
      </c>
      <c r="G13" s="11">
        <v>17643821.969999999</v>
      </c>
      <c r="H13" s="1">
        <v>23185</v>
      </c>
      <c r="I13" s="11">
        <v>1548992.44</v>
      </c>
      <c r="J13" s="1">
        <v>2375380</v>
      </c>
      <c r="K13" s="11">
        <v>159080804.09999996</v>
      </c>
      <c r="L13" s="1">
        <v>10849</v>
      </c>
      <c r="M13" s="11">
        <v>772294.51000000013</v>
      </c>
      <c r="N13" s="1">
        <v>18039</v>
      </c>
      <c r="O13" s="11">
        <v>1114560.42</v>
      </c>
      <c r="P13" s="1">
        <v>98</v>
      </c>
      <c r="Q13" s="11">
        <v>4479.7100000000009</v>
      </c>
      <c r="R13" s="1">
        <v>20401</v>
      </c>
      <c r="S13" s="11">
        <v>1416834.1099999999</v>
      </c>
      <c r="T13" s="53">
        <f t="shared" si="6"/>
        <v>3118618</v>
      </c>
      <c r="U13" s="54">
        <f t="shared" si="0"/>
        <v>208686084.46000001</v>
      </c>
      <c r="V13" s="2" t="s">
        <v>56</v>
      </c>
      <c r="Y13" s="2" t="s">
        <v>10</v>
      </c>
      <c r="Z13" s="2">
        <v>2026</v>
      </c>
      <c r="AA13" s="1">
        <f t="shared" si="1"/>
        <v>693851</v>
      </c>
      <c r="AB13" s="11">
        <f t="shared" si="1"/>
        <v>46297111.610000007</v>
      </c>
      <c r="AC13" s="1">
        <f t="shared" si="2"/>
        <v>2375380</v>
      </c>
      <c r="AD13" s="11">
        <f t="shared" si="2"/>
        <v>159080804.09999996</v>
      </c>
      <c r="AE13" s="8">
        <f t="shared" si="2"/>
        <v>10849</v>
      </c>
      <c r="AF13" s="11">
        <f t="shared" si="2"/>
        <v>772294.51000000013</v>
      </c>
      <c r="AG13" s="8">
        <f t="shared" si="2"/>
        <v>18039</v>
      </c>
      <c r="AH13" s="11">
        <f t="shared" si="2"/>
        <v>1114560.42</v>
      </c>
      <c r="AI13" s="8">
        <f t="shared" si="2"/>
        <v>98</v>
      </c>
      <c r="AJ13" s="11">
        <f t="shared" si="2"/>
        <v>4479.7100000000009</v>
      </c>
      <c r="AK13" s="11">
        <f t="shared" si="2"/>
        <v>20401</v>
      </c>
      <c r="AL13" s="11">
        <f t="shared" si="2"/>
        <v>1416834.1099999999</v>
      </c>
      <c r="AM13" s="8">
        <f t="shared" si="7"/>
        <v>3118618</v>
      </c>
      <c r="AN13" s="11">
        <f t="shared" si="3"/>
        <v>208686084.45999998</v>
      </c>
      <c r="AO13" s="2" t="str">
        <f t="shared" si="4"/>
        <v>AUNORTE</v>
      </c>
      <c r="AP13" s="37">
        <f t="shared" si="5"/>
        <v>0</v>
      </c>
      <c r="AQ13" s="37">
        <f t="shared" si="5"/>
        <v>0</v>
      </c>
    </row>
    <row r="14" spans="1:43" x14ac:dyDescent="0.25">
      <c r="B14" s="2" t="s">
        <v>11</v>
      </c>
      <c r="C14" s="2">
        <v>2026</v>
      </c>
      <c r="D14" s="1"/>
      <c r="E14" s="11"/>
      <c r="F14" s="1"/>
      <c r="G14" s="11"/>
      <c r="H14" s="1"/>
      <c r="I14" s="11"/>
      <c r="J14" s="1"/>
      <c r="K14" s="11"/>
      <c r="L14" s="1"/>
      <c r="M14" s="11"/>
      <c r="N14" s="1"/>
      <c r="O14" s="11"/>
      <c r="P14" s="1"/>
      <c r="Q14" s="11"/>
      <c r="R14" s="1"/>
      <c r="S14" s="11"/>
      <c r="T14" s="53">
        <f t="shared" si="6"/>
        <v>0</v>
      </c>
      <c r="U14" s="54">
        <f t="shared" si="0"/>
        <v>0</v>
      </c>
      <c r="V14" s="2" t="s">
        <v>56</v>
      </c>
      <c r="Y14" s="2" t="s">
        <v>11</v>
      </c>
      <c r="Z14" s="2">
        <v>2026</v>
      </c>
      <c r="AA14" s="1">
        <f t="shared" si="1"/>
        <v>0</v>
      </c>
      <c r="AB14" s="11">
        <f t="shared" si="1"/>
        <v>0</v>
      </c>
      <c r="AC14" s="1">
        <f t="shared" si="2"/>
        <v>0</v>
      </c>
      <c r="AD14" s="11">
        <f t="shared" si="2"/>
        <v>0</v>
      </c>
      <c r="AE14" s="8">
        <f t="shared" si="2"/>
        <v>0</v>
      </c>
      <c r="AF14" s="11">
        <f t="shared" si="2"/>
        <v>0</v>
      </c>
      <c r="AG14" s="8">
        <f t="shared" si="2"/>
        <v>0</v>
      </c>
      <c r="AH14" s="11">
        <f t="shared" si="2"/>
        <v>0</v>
      </c>
      <c r="AI14" s="8">
        <f t="shared" si="2"/>
        <v>0</v>
      </c>
      <c r="AJ14" s="11">
        <f t="shared" si="2"/>
        <v>0</v>
      </c>
      <c r="AK14" s="11">
        <f t="shared" si="2"/>
        <v>0</v>
      </c>
      <c r="AL14" s="11">
        <f t="shared" si="2"/>
        <v>0</v>
      </c>
      <c r="AM14" s="8">
        <f t="shared" si="7"/>
        <v>0</v>
      </c>
      <c r="AN14" s="11">
        <f t="shared" si="3"/>
        <v>0</v>
      </c>
      <c r="AO14" s="2" t="str">
        <f t="shared" si="4"/>
        <v>AUNORTE</v>
      </c>
      <c r="AP14" s="37">
        <f t="shared" si="5"/>
        <v>0</v>
      </c>
      <c r="AQ14" s="37">
        <f t="shared" si="5"/>
        <v>0</v>
      </c>
    </row>
    <row r="15" spans="1:43" x14ac:dyDescent="0.25">
      <c r="B15" s="2" t="s">
        <v>4</v>
      </c>
      <c r="C15" s="2">
        <v>2026</v>
      </c>
      <c r="D15" s="1"/>
      <c r="E15" s="11"/>
      <c r="F15" s="1"/>
      <c r="G15" s="11"/>
      <c r="H15" s="1"/>
      <c r="I15" s="11"/>
      <c r="J15" s="1"/>
      <c r="K15" s="11"/>
      <c r="L15" s="1"/>
      <c r="M15" s="11"/>
      <c r="N15" s="1"/>
      <c r="O15" s="11"/>
      <c r="P15" s="1"/>
      <c r="Q15" s="11"/>
      <c r="R15" s="1"/>
      <c r="S15" s="11"/>
      <c r="T15" s="53">
        <f t="shared" si="6"/>
        <v>0</v>
      </c>
      <c r="U15" s="54">
        <f t="shared" si="0"/>
        <v>0</v>
      </c>
      <c r="V15" s="2" t="s">
        <v>56</v>
      </c>
      <c r="Y15" s="2" t="s">
        <v>4</v>
      </c>
      <c r="Z15" s="2">
        <v>2026</v>
      </c>
      <c r="AA15" s="1">
        <f t="shared" si="1"/>
        <v>0</v>
      </c>
      <c r="AB15" s="11">
        <f t="shared" si="1"/>
        <v>0</v>
      </c>
      <c r="AC15" s="1">
        <f t="shared" si="2"/>
        <v>0</v>
      </c>
      <c r="AD15" s="11">
        <f t="shared" si="2"/>
        <v>0</v>
      </c>
      <c r="AE15" s="8">
        <f t="shared" si="2"/>
        <v>0</v>
      </c>
      <c r="AF15" s="11">
        <f t="shared" si="2"/>
        <v>0</v>
      </c>
      <c r="AG15" s="8">
        <f t="shared" si="2"/>
        <v>0</v>
      </c>
      <c r="AH15" s="11">
        <f t="shared" si="2"/>
        <v>0</v>
      </c>
      <c r="AI15" s="8">
        <f t="shared" si="2"/>
        <v>0</v>
      </c>
      <c r="AJ15" s="11">
        <f t="shared" si="2"/>
        <v>0</v>
      </c>
      <c r="AK15" s="11">
        <f t="shared" si="2"/>
        <v>0</v>
      </c>
      <c r="AL15" s="11">
        <f t="shared" si="2"/>
        <v>0</v>
      </c>
      <c r="AM15" s="27">
        <f t="shared" si="7"/>
        <v>0</v>
      </c>
      <c r="AN15" s="14">
        <f t="shared" si="3"/>
        <v>0</v>
      </c>
      <c r="AO15" s="2" t="str">
        <f t="shared" si="4"/>
        <v>AUNORTE</v>
      </c>
      <c r="AP15" s="37">
        <f t="shared" si="5"/>
        <v>0</v>
      </c>
      <c r="AQ15" s="37">
        <f t="shared" si="5"/>
        <v>0</v>
      </c>
    </row>
    <row r="16" spans="1:43" x14ac:dyDescent="0.25">
      <c r="B16" s="2" t="s">
        <v>28</v>
      </c>
      <c r="C16" s="2">
        <v>2026</v>
      </c>
      <c r="D16" s="1"/>
      <c r="E16" s="11"/>
      <c r="F16" s="1"/>
      <c r="G16" s="11"/>
      <c r="H16" s="1"/>
      <c r="I16" s="11"/>
      <c r="J16" s="1"/>
      <c r="K16" s="11"/>
      <c r="L16" s="1"/>
      <c r="M16" s="11"/>
      <c r="N16" s="1"/>
      <c r="O16" s="11"/>
      <c r="P16" s="1"/>
      <c r="Q16" s="11"/>
      <c r="R16" s="1"/>
      <c r="S16" s="11"/>
      <c r="T16" s="53">
        <f t="shared" si="6"/>
        <v>0</v>
      </c>
      <c r="U16" s="54">
        <f>O16+M16+K16+I16+E16+Q16+G16+S16</f>
        <v>0</v>
      </c>
      <c r="V16" s="2" t="s">
        <v>56</v>
      </c>
      <c r="Y16" s="2" t="s">
        <v>28</v>
      </c>
      <c r="Z16" s="2">
        <v>2026</v>
      </c>
      <c r="AA16" s="1">
        <f t="shared" si="1"/>
        <v>0</v>
      </c>
      <c r="AB16" s="11">
        <f t="shared" si="1"/>
        <v>0</v>
      </c>
      <c r="AC16" s="1">
        <f t="shared" si="2"/>
        <v>0</v>
      </c>
      <c r="AD16" s="11">
        <f t="shared" si="2"/>
        <v>0</v>
      </c>
      <c r="AE16" s="8">
        <f t="shared" si="2"/>
        <v>0</v>
      </c>
      <c r="AF16" s="11">
        <f t="shared" si="2"/>
        <v>0</v>
      </c>
      <c r="AG16" s="8">
        <f t="shared" si="2"/>
        <v>0</v>
      </c>
      <c r="AH16" s="11">
        <f t="shared" si="2"/>
        <v>0</v>
      </c>
      <c r="AI16" s="8">
        <f t="shared" si="2"/>
        <v>0</v>
      </c>
      <c r="AJ16" s="11">
        <f t="shared" si="2"/>
        <v>0</v>
      </c>
      <c r="AK16" s="11">
        <f t="shared" si="2"/>
        <v>0</v>
      </c>
      <c r="AL16" s="11">
        <f t="shared" si="2"/>
        <v>0</v>
      </c>
      <c r="AM16" s="8">
        <f t="shared" si="7"/>
        <v>0</v>
      </c>
      <c r="AN16" s="11">
        <f t="shared" si="3"/>
        <v>0</v>
      </c>
      <c r="AO16" s="2" t="str">
        <f t="shared" si="4"/>
        <v>AUNORTE</v>
      </c>
      <c r="AP16" s="37">
        <f t="shared" si="5"/>
        <v>0</v>
      </c>
      <c r="AQ16" s="37">
        <f t="shared" si="5"/>
        <v>0</v>
      </c>
    </row>
    <row r="17" spans="1:43" x14ac:dyDescent="0.25">
      <c r="B17" s="2" t="s">
        <v>29</v>
      </c>
      <c r="C17" s="2">
        <v>2026</v>
      </c>
      <c r="D17" s="1"/>
      <c r="E17" s="11"/>
      <c r="F17" s="1"/>
      <c r="G17" s="11"/>
      <c r="H17" s="1"/>
      <c r="I17" s="11"/>
      <c r="J17" s="1"/>
      <c r="K17" s="11"/>
      <c r="L17" s="1"/>
      <c r="M17" s="11"/>
      <c r="N17" s="1"/>
      <c r="O17" s="11"/>
      <c r="P17" s="1"/>
      <c r="Q17" s="11"/>
      <c r="R17" s="1"/>
      <c r="S17" s="11"/>
      <c r="T17" s="53">
        <f t="shared" si="6"/>
        <v>0</v>
      </c>
      <c r="U17" s="54">
        <f t="shared" si="0"/>
        <v>0</v>
      </c>
      <c r="V17" s="2" t="s">
        <v>56</v>
      </c>
      <c r="Y17" s="2" t="s">
        <v>29</v>
      </c>
      <c r="Z17" s="2">
        <v>2026</v>
      </c>
      <c r="AA17" s="1">
        <f t="shared" si="1"/>
        <v>0</v>
      </c>
      <c r="AB17" s="11">
        <f t="shared" si="1"/>
        <v>0</v>
      </c>
      <c r="AC17" s="1">
        <f t="shared" si="2"/>
        <v>0</v>
      </c>
      <c r="AD17" s="11">
        <f t="shared" si="2"/>
        <v>0</v>
      </c>
      <c r="AE17" s="8">
        <f t="shared" si="2"/>
        <v>0</v>
      </c>
      <c r="AF17" s="11">
        <f t="shared" si="2"/>
        <v>0</v>
      </c>
      <c r="AG17" s="8">
        <f t="shared" si="2"/>
        <v>0</v>
      </c>
      <c r="AH17" s="11">
        <f t="shared" si="2"/>
        <v>0</v>
      </c>
      <c r="AI17" s="8">
        <f t="shared" si="2"/>
        <v>0</v>
      </c>
      <c r="AJ17" s="11">
        <f t="shared" si="2"/>
        <v>0</v>
      </c>
      <c r="AK17" s="11">
        <f t="shared" si="2"/>
        <v>0</v>
      </c>
      <c r="AL17" s="11">
        <f t="shared" si="2"/>
        <v>0</v>
      </c>
      <c r="AM17" s="8">
        <f t="shared" si="7"/>
        <v>0</v>
      </c>
      <c r="AN17" s="11">
        <f t="shared" si="3"/>
        <v>0</v>
      </c>
      <c r="AO17" s="2" t="str">
        <f t="shared" si="4"/>
        <v>AUNORTE</v>
      </c>
      <c r="AP17" s="37">
        <f t="shared" si="5"/>
        <v>0</v>
      </c>
      <c r="AQ17" s="37">
        <f t="shared" si="5"/>
        <v>0</v>
      </c>
    </row>
    <row r="18" spans="1:43" x14ac:dyDescent="0.25">
      <c r="B18" s="2" t="s">
        <v>30</v>
      </c>
      <c r="C18" s="2">
        <v>2026</v>
      </c>
      <c r="D18" s="1"/>
      <c r="E18" s="11"/>
      <c r="F18" s="1"/>
      <c r="G18" s="11"/>
      <c r="H18" s="1"/>
      <c r="I18" s="11"/>
      <c r="J18" s="1"/>
      <c r="K18" s="11"/>
      <c r="L18" s="1"/>
      <c r="M18" s="11"/>
      <c r="N18" s="1"/>
      <c r="O18" s="11"/>
      <c r="P18" s="1"/>
      <c r="Q18" s="11"/>
      <c r="R18" s="1"/>
      <c r="S18" s="11"/>
      <c r="T18" s="53">
        <f t="shared" si="6"/>
        <v>0</v>
      </c>
      <c r="U18" s="54">
        <f t="shared" si="0"/>
        <v>0</v>
      </c>
      <c r="V18" s="2" t="s">
        <v>56</v>
      </c>
      <c r="Y18" s="2" t="s">
        <v>30</v>
      </c>
      <c r="Z18" s="2">
        <v>2026</v>
      </c>
      <c r="AA18" s="1">
        <f t="shared" si="1"/>
        <v>0</v>
      </c>
      <c r="AB18" s="11">
        <f t="shared" si="1"/>
        <v>0</v>
      </c>
      <c r="AC18" s="1">
        <f t="shared" si="2"/>
        <v>0</v>
      </c>
      <c r="AD18" s="11">
        <f t="shared" si="2"/>
        <v>0</v>
      </c>
      <c r="AE18" s="8">
        <f t="shared" si="2"/>
        <v>0</v>
      </c>
      <c r="AF18" s="11">
        <f t="shared" si="2"/>
        <v>0</v>
      </c>
      <c r="AG18" s="8">
        <f t="shared" si="2"/>
        <v>0</v>
      </c>
      <c r="AH18" s="11">
        <f t="shared" si="2"/>
        <v>0</v>
      </c>
      <c r="AI18" s="8">
        <f t="shared" si="2"/>
        <v>0</v>
      </c>
      <c r="AJ18" s="11">
        <f t="shared" si="2"/>
        <v>0</v>
      </c>
      <c r="AK18" s="11">
        <f t="shared" si="2"/>
        <v>0</v>
      </c>
      <c r="AL18" s="11">
        <f t="shared" si="2"/>
        <v>0</v>
      </c>
      <c r="AM18" s="79">
        <f t="shared" si="7"/>
        <v>0</v>
      </c>
      <c r="AN18" s="80">
        <f t="shared" si="3"/>
        <v>0</v>
      </c>
      <c r="AO18" s="2" t="str">
        <f t="shared" si="4"/>
        <v>AUNORTE</v>
      </c>
      <c r="AP18" s="37">
        <f t="shared" si="5"/>
        <v>0</v>
      </c>
      <c r="AQ18" s="37">
        <f t="shared" si="5"/>
        <v>0</v>
      </c>
    </row>
    <row r="19" spans="1:43" x14ac:dyDescent="0.25">
      <c r="B19" s="2" t="s">
        <v>31</v>
      </c>
      <c r="C19" s="2">
        <v>2026</v>
      </c>
      <c r="D19" s="1"/>
      <c r="E19" s="11"/>
      <c r="F19" s="1"/>
      <c r="G19" s="11"/>
      <c r="H19" s="1"/>
      <c r="I19" s="11"/>
      <c r="J19" s="1"/>
      <c r="K19" s="11"/>
      <c r="L19" s="8"/>
      <c r="M19" s="11"/>
      <c r="N19" s="8"/>
      <c r="O19" s="11"/>
      <c r="P19" s="8"/>
      <c r="Q19" s="11"/>
      <c r="R19" s="8"/>
      <c r="S19" s="11"/>
      <c r="T19" s="53">
        <f t="shared" si="6"/>
        <v>0</v>
      </c>
      <c r="U19" s="54">
        <f t="shared" si="0"/>
        <v>0</v>
      </c>
      <c r="V19" s="2" t="s">
        <v>56</v>
      </c>
      <c r="W19" s="13"/>
      <c r="Y19" s="2" t="s">
        <v>31</v>
      </c>
      <c r="Z19" s="2">
        <v>2026</v>
      </c>
      <c r="AA19" s="1">
        <f t="shared" si="1"/>
        <v>0</v>
      </c>
      <c r="AB19" s="11">
        <f t="shared" si="1"/>
        <v>0</v>
      </c>
      <c r="AC19" s="1">
        <f t="shared" si="2"/>
        <v>0</v>
      </c>
      <c r="AD19" s="11">
        <f t="shared" si="2"/>
        <v>0</v>
      </c>
      <c r="AE19" s="8">
        <f t="shared" si="2"/>
        <v>0</v>
      </c>
      <c r="AF19" s="11">
        <f t="shared" si="2"/>
        <v>0</v>
      </c>
      <c r="AG19" s="8">
        <f t="shared" si="2"/>
        <v>0</v>
      </c>
      <c r="AH19" s="11">
        <f t="shared" si="2"/>
        <v>0</v>
      </c>
      <c r="AI19" s="8">
        <f t="shared" si="2"/>
        <v>0</v>
      </c>
      <c r="AJ19" s="11">
        <f t="shared" si="2"/>
        <v>0</v>
      </c>
      <c r="AK19" s="11">
        <f t="shared" si="2"/>
        <v>0</v>
      </c>
      <c r="AL19" s="11">
        <f t="shared" si="2"/>
        <v>0</v>
      </c>
      <c r="AM19" s="8">
        <f t="shared" si="7"/>
        <v>0</v>
      </c>
      <c r="AN19" s="11">
        <f t="shared" si="3"/>
        <v>0</v>
      </c>
      <c r="AO19" s="2" t="str">
        <f t="shared" si="4"/>
        <v>AUNORTE</v>
      </c>
      <c r="AP19" s="37">
        <f t="shared" si="5"/>
        <v>0</v>
      </c>
      <c r="AQ19" s="37">
        <f t="shared" si="5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8">SUM(D8:D20)</f>
        <v>2528061</v>
      </c>
      <c r="E21" s="12">
        <f t="shared" si="8"/>
        <v>167193753.12000003</v>
      </c>
      <c r="F21" s="4">
        <f t="shared" si="8"/>
        <v>1624353</v>
      </c>
      <c r="G21" s="12">
        <f t="shared" si="8"/>
        <v>106398294.18000001</v>
      </c>
      <c r="H21" s="4">
        <f t="shared" si="8"/>
        <v>128484</v>
      </c>
      <c r="I21" s="12">
        <f t="shared" si="8"/>
        <v>8470035.209999999</v>
      </c>
      <c r="J21" s="4">
        <f t="shared" si="8"/>
        <v>14073303</v>
      </c>
      <c r="K21" s="12">
        <f t="shared" si="8"/>
        <v>932522598.39999986</v>
      </c>
      <c r="L21" s="4">
        <f t="shared" si="8"/>
        <v>66915</v>
      </c>
      <c r="M21" s="12">
        <f t="shared" si="8"/>
        <v>4697530.1300000008</v>
      </c>
      <c r="N21" s="4">
        <f t="shared" si="8"/>
        <v>104246</v>
      </c>
      <c r="O21" s="12">
        <f t="shared" si="8"/>
        <v>6451914.0200000005</v>
      </c>
      <c r="P21" s="4">
        <f>SUM(P8:P20)</f>
        <v>632</v>
      </c>
      <c r="Q21" s="12">
        <f>SUM(Q8:Q20)</f>
        <v>29590.200000000004</v>
      </c>
      <c r="R21" s="4">
        <f>SUM(R8:R20)</f>
        <v>114377</v>
      </c>
      <c r="S21" s="12">
        <f>SUM(S8:S20)</f>
        <v>7845010.3999999985</v>
      </c>
      <c r="T21" s="4">
        <f t="shared" si="8"/>
        <v>18640371</v>
      </c>
      <c r="U21" s="12">
        <f t="shared" si="8"/>
        <v>1233608725.6600001</v>
      </c>
      <c r="Y21" s="3" t="s">
        <v>12</v>
      </c>
      <c r="Z21" s="3"/>
      <c r="AA21" s="4">
        <f t="shared" ref="AA21:AN21" si="9">SUM(AA8:AA20)</f>
        <v>4280898</v>
      </c>
      <c r="AB21" s="12">
        <f t="shared" si="9"/>
        <v>282062082.50999999</v>
      </c>
      <c r="AC21" s="4">
        <f t="shared" si="9"/>
        <v>14073303</v>
      </c>
      <c r="AD21" s="12">
        <f t="shared" si="9"/>
        <v>932522598.39999986</v>
      </c>
      <c r="AE21" s="4">
        <f t="shared" si="9"/>
        <v>66915</v>
      </c>
      <c r="AF21" s="12">
        <f t="shared" si="9"/>
        <v>4697530.1300000008</v>
      </c>
      <c r="AG21" s="4">
        <f t="shared" si="9"/>
        <v>104246</v>
      </c>
      <c r="AH21" s="12">
        <f t="shared" si="9"/>
        <v>6451914.0200000005</v>
      </c>
      <c r="AI21" s="4">
        <f t="shared" si="9"/>
        <v>632</v>
      </c>
      <c r="AJ21" s="12">
        <f t="shared" si="9"/>
        <v>29590.200000000004</v>
      </c>
      <c r="AK21" s="4">
        <f t="shared" si="9"/>
        <v>114377</v>
      </c>
      <c r="AL21" s="12">
        <f t="shared" si="9"/>
        <v>7845010.3999999985</v>
      </c>
      <c r="AM21" s="4">
        <f t="shared" si="9"/>
        <v>18640371</v>
      </c>
      <c r="AN21" s="12">
        <f t="shared" si="9"/>
        <v>1233608725.6599998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10852</v>
      </c>
      <c r="M22" s="60">
        <f>AVERAGE(M8:M9)</f>
        <v>740741.53500000015</v>
      </c>
      <c r="T22" s="15">
        <f>AVERAGE(T8:T9)</f>
        <v>3013056</v>
      </c>
      <c r="U22" s="61">
        <f>AVERAGE(U8:U9)</f>
        <v>192969883.17000002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7.178008254841782E-2</v>
      </c>
      <c r="M23" s="36">
        <f>+M22/$M$371</f>
        <v>2.6653308632540913E-2</v>
      </c>
      <c r="N23" s="18"/>
      <c r="O23" s="19"/>
      <c r="P23" s="19"/>
      <c r="Q23" s="19"/>
      <c r="R23" s="19"/>
      <c r="S23" s="19"/>
      <c r="T23" s="26">
        <f>+L22/T22</f>
        <v>3.6016589137407335E-3</v>
      </c>
      <c r="U23" s="36">
        <f>+M22/U22</f>
        <v>3.8386380446083996E-3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0"/>
      <c r="F26" s="89" t="s">
        <v>71</v>
      </c>
      <c r="G26" s="90"/>
      <c r="H26" s="89" t="s">
        <v>16</v>
      </c>
      <c r="I26" s="90"/>
      <c r="J26" s="89" t="s">
        <v>17</v>
      </c>
      <c r="K26" s="93"/>
      <c r="L26" s="89" t="s">
        <v>18</v>
      </c>
      <c r="M26" s="93"/>
      <c r="N26" s="89" t="s">
        <v>13</v>
      </c>
      <c r="O26" s="93"/>
      <c r="P26" s="89" t="s">
        <v>34</v>
      </c>
      <c r="Q26" s="93"/>
      <c r="R26" s="89" t="s">
        <v>87</v>
      </c>
      <c r="S26" s="93"/>
      <c r="T26" s="89" t="s">
        <v>12</v>
      </c>
      <c r="U26" s="93"/>
      <c r="AA26" s="89" t="s">
        <v>69</v>
      </c>
      <c r="AB26" s="90"/>
      <c r="AC26" s="89" t="s">
        <v>17</v>
      </c>
      <c r="AD26" s="93"/>
      <c r="AE26" s="89" t="s">
        <v>18</v>
      </c>
      <c r="AF26" s="93"/>
      <c r="AG26" s="89" t="s">
        <v>13</v>
      </c>
      <c r="AH26" s="93"/>
      <c r="AI26" s="89" t="s">
        <v>34</v>
      </c>
      <c r="AJ26" s="93"/>
      <c r="AK26" s="89" t="s">
        <v>87</v>
      </c>
      <c r="AL26" s="93"/>
      <c r="AM26" s="89" t="s">
        <v>12</v>
      </c>
      <c r="AN26" s="93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2026</v>
      </c>
      <c r="D29" s="1">
        <v>544163</v>
      </c>
      <c r="E29" s="11">
        <v>28141130.329999994</v>
      </c>
      <c r="F29" s="1">
        <v>263175</v>
      </c>
      <c r="G29" s="11">
        <v>12652128.789999997</v>
      </c>
      <c r="H29" s="1">
        <v>21085</v>
      </c>
      <c r="I29" s="11">
        <v>1123822.29</v>
      </c>
      <c r="J29" s="1">
        <v>2196446</v>
      </c>
      <c r="K29" s="11">
        <v>104666177.38999997</v>
      </c>
      <c r="L29" s="8">
        <v>10267</v>
      </c>
      <c r="M29" s="11">
        <v>546337.29</v>
      </c>
      <c r="N29" s="8">
        <v>13375</v>
      </c>
      <c r="O29" s="11">
        <v>643467.41</v>
      </c>
      <c r="P29" s="8">
        <v>103</v>
      </c>
      <c r="Q29" s="11">
        <v>8015.34</v>
      </c>
      <c r="R29" s="8">
        <v>15240</v>
      </c>
      <c r="S29" s="11">
        <v>806021.32000000007</v>
      </c>
      <c r="T29" s="53">
        <f>N29+L29+J29+H29+D29+P29+F29+R29</f>
        <v>3063854</v>
      </c>
      <c r="U29" s="54">
        <f t="shared" ref="U29:U40" si="10">O29+M29+K29+I29+E29+Q29+G29+S29</f>
        <v>148587100.15999997</v>
      </c>
      <c r="V29" s="2" t="s">
        <v>57</v>
      </c>
      <c r="Y29" s="2" t="s">
        <v>5</v>
      </c>
      <c r="Z29" s="2">
        <v>2026</v>
      </c>
      <c r="AA29" s="1">
        <f t="shared" ref="AA29:AB40" si="11">D29+H29+F29</f>
        <v>828423</v>
      </c>
      <c r="AB29" s="11">
        <f t="shared" si="11"/>
        <v>41917081.409999989</v>
      </c>
      <c r="AC29" s="1">
        <f t="shared" ref="AC29:AL40" si="12">+J29</f>
        <v>2196446</v>
      </c>
      <c r="AD29" s="11">
        <f t="shared" si="12"/>
        <v>104666177.38999997</v>
      </c>
      <c r="AE29" s="8">
        <f t="shared" si="12"/>
        <v>10267</v>
      </c>
      <c r="AF29" s="11">
        <f t="shared" si="12"/>
        <v>546337.29</v>
      </c>
      <c r="AG29" s="8">
        <f t="shared" si="12"/>
        <v>13375</v>
      </c>
      <c r="AH29" s="11">
        <f t="shared" si="12"/>
        <v>643467.41</v>
      </c>
      <c r="AI29" s="8">
        <f t="shared" si="12"/>
        <v>103</v>
      </c>
      <c r="AJ29" s="11">
        <f t="shared" si="12"/>
        <v>8015.34</v>
      </c>
      <c r="AK29" s="11">
        <f t="shared" si="12"/>
        <v>15240</v>
      </c>
      <c r="AL29" s="11">
        <f t="shared" si="12"/>
        <v>806021.32000000007</v>
      </c>
      <c r="AM29" s="8">
        <f>AI29+AG29+AE29+AC29+AA29+AK29</f>
        <v>3063854</v>
      </c>
      <c r="AN29" s="11">
        <f t="shared" ref="AN29:AN40" si="13">AJ29+AH29+AF29+AD29+AB29+AL29</f>
        <v>148587100.15999997</v>
      </c>
      <c r="AO29" s="2" t="str">
        <f t="shared" ref="AO29:AO40" si="14">+V29</f>
        <v>VIADUCTO</v>
      </c>
      <c r="AP29" s="37">
        <f t="shared" ref="AP29:AQ40" si="15">+AM29-T29</f>
        <v>0</v>
      </c>
      <c r="AQ29" s="37">
        <f t="shared" si="15"/>
        <v>0</v>
      </c>
    </row>
    <row r="30" spans="1:43" x14ac:dyDescent="0.25">
      <c r="B30" s="2" t="s">
        <v>6</v>
      </c>
      <c r="C30" s="2">
        <v>2026</v>
      </c>
      <c r="D30" s="1">
        <v>510757</v>
      </c>
      <c r="E30" s="11">
        <v>26780786.450000003</v>
      </c>
      <c r="F30" s="1">
        <v>249639</v>
      </c>
      <c r="G30" s="11">
        <v>12052928.109999999</v>
      </c>
      <c r="H30" s="1">
        <v>20162</v>
      </c>
      <c r="I30" s="11">
        <v>1055654.79</v>
      </c>
      <c r="J30" s="1">
        <v>2066525</v>
      </c>
      <c r="K30" s="11">
        <v>98833964.579999983</v>
      </c>
      <c r="L30" s="8">
        <v>9545</v>
      </c>
      <c r="M30" s="11">
        <v>486673.9800000001</v>
      </c>
      <c r="N30" s="8">
        <v>12450</v>
      </c>
      <c r="O30" s="11">
        <v>592777.76</v>
      </c>
      <c r="P30" s="8">
        <v>64</v>
      </c>
      <c r="Q30" s="11">
        <v>5353.38</v>
      </c>
      <c r="R30" s="8">
        <v>13830</v>
      </c>
      <c r="S30" s="11">
        <v>732220.28</v>
      </c>
      <c r="T30" s="53">
        <f t="shared" ref="T30:T40" si="16">N30+L30+J30+H30+D30+P30+F30+R30</f>
        <v>2882972</v>
      </c>
      <c r="U30" s="54">
        <f t="shared" si="10"/>
        <v>140540359.32999998</v>
      </c>
      <c r="V30" s="2" t="s">
        <v>57</v>
      </c>
      <c r="Y30" s="2" t="s">
        <v>6</v>
      </c>
      <c r="Z30" s="2">
        <v>2026</v>
      </c>
      <c r="AA30" s="1">
        <f t="shared" si="11"/>
        <v>780558</v>
      </c>
      <c r="AB30" s="11">
        <f t="shared" si="11"/>
        <v>39889369.350000001</v>
      </c>
      <c r="AC30" s="1">
        <f t="shared" si="12"/>
        <v>2066525</v>
      </c>
      <c r="AD30" s="11">
        <f t="shared" si="12"/>
        <v>98833964.579999983</v>
      </c>
      <c r="AE30" s="8">
        <f t="shared" si="12"/>
        <v>9545</v>
      </c>
      <c r="AF30" s="11">
        <f t="shared" si="12"/>
        <v>486673.9800000001</v>
      </c>
      <c r="AG30" s="8">
        <f t="shared" si="12"/>
        <v>12450</v>
      </c>
      <c r="AH30" s="11">
        <f t="shared" si="12"/>
        <v>592777.76</v>
      </c>
      <c r="AI30" s="8">
        <f t="shared" si="12"/>
        <v>64</v>
      </c>
      <c r="AJ30" s="11">
        <f t="shared" si="12"/>
        <v>5353.38</v>
      </c>
      <c r="AK30" s="11">
        <f t="shared" si="12"/>
        <v>13830</v>
      </c>
      <c r="AL30" s="11">
        <f t="shared" si="12"/>
        <v>732220.28</v>
      </c>
      <c r="AM30" s="8">
        <f t="shared" ref="AM30:AM40" si="17">AI30+AG30+AE30+AC30+AA30+AK30</f>
        <v>2882972</v>
      </c>
      <c r="AN30" s="11">
        <f t="shared" si="13"/>
        <v>140540359.32999998</v>
      </c>
      <c r="AO30" s="2" t="str">
        <f t="shared" si="14"/>
        <v>VIADUCTO</v>
      </c>
      <c r="AP30" s="37">
        <f t="shared" si="15"/>
        <v>0</v>
      </c>
      <c r="AQ30" s="37">
        <f t="shared" si="15"/>
        <v>0</v>
      </c>
    </row>
    <row r="31" spans="1:43" x14ac:dyDescent="0.25">
      <c r="B31" s="2" t="s">
        <v>7</v>
      </c>
      <c r="C31" s="2">
        <v>2026</v>
      </c>
      <c r="D31" s="1">
        <v>555496</v>
      </c>
      <c r="E31" s="11">
        <v>31771080.329999998</v>
      </c>
      <c r="F31" s="1">
        <v>260303</v>
      </c>
      <c r="G31" s="11">
        <v>13889438.210000001</v>
      </c>
      <c r="H31" s="1">
        <v>22161</v>
      </c>
      <c r="I31" s="11">
        <v>1281317.56</v>
      </c>
      <c r="J31" s="1">
        <v>2261282</v>
      </c>
      <c r="K31" s="11">
        <v>117349894.77</v>
      </c>
      <c r="L31" s="8">
        <v>10646</v>
      </c>
      <c r="M31" s="11">
        <v>591340.08000000007</v>
      </c>
      <c r="N31" s="8">
        <v>13420</v>
      </c>
      <c r="O31" s="11">
        <v>695397.77000000014</v>
      </c>
      <c r="P31" s="8">
        <v>92</v>
      </c>
      <c r="Q31" s="11">
        <v>9631.7199999999993</v>
      </c>
      <c r="R31" s="8">
        <v>15636</v>
      </c>
      <c r="S31" s="11">
        <v>911446.30999999994</v>
      </c>
      <c r="T31" s="53">
        <f t="shared" si="16"/>
        <v>3139036</v>
      </c>
      <c r="U31" s="54">
        <f t="shared" si="10"/>
        <v>166499546.75</v>
      </c>
      <c r="V31" s="2" t="s">
        <v>57</v>
      </c>
      <c r="Y31" s="2" t="s">
        <v>7</v>
      </c>
      <c r="Z31" s="2">
        <v>2026</v>
      </c>
      <c r="AA31" s="1">
        <f t="shared" si="11"/>
        <v>837960</v>
      </c>
      <c r="AB31" s="11">
        <f t="shared" si="11"/>
        <v>46941836.099999994</v>
      </c>
      <c r="AC31" s="1">
        <f t="shared" si="12"/>
        <v>2261282</v>
      </c>
      <c r="AD31" s="11">
        <f t="shared" si="12"/>
        <v>117349894.77</v>
      </c>
      <c r="AE31" s="8">
        <f t="shared" si="12"/>
        <v>10646</v>
      </c>
      <c r="AF31" s="11">
        <f t="shared" si="12"/>
        <v>591340.08000000007</v>
      </c>
      <c r="AG31" s="8">
        <f t="shared" si="12"/>
        <v>13420</v>
      </c>
      <c r="AH31" s="11">
        <f t="shared" si="12"/>
        <v>695397.77000000014</v>
      </c>
      <c r="AI31" s="8">
        <f t="shared" si="12"/>
        <v>92</v>
      </c>
      <c r="AJ31" s="11">
        <f t="shared" si="12"/>
        <v>9631.7199999999993</v>
      </c>
      <c r="AK31" s="11">
        <f t="shared" si="12"/>
        <v>15636</v>
      </c>
      <c r="AL31" s="11">
        <f t="shared" si="12"/>
        <v>911446.30999999994</v>
      </c>
      <c r="AM31" s="8">
        <f t="shared" si="17"/>
        <v>3139036</v>
      </c>
      <c r="AN31" s="11">
        <f t="shared" si="13"/>
        <v>166499546.75</v>
      </c>
      <c r="AO31" s="2" t="str">
        <f t="shared" si="14"/>
        <v>VIADUCTO</v>
      </c>
      <c r="AP31" s="37">
        <f t="shared" si="15"/>
        <v>0</v>
      </c>
      <c r="AQ31" s="37">
        <f t="shared" si="15"/>
        <v>0</v>
      </c>
    </row>
    <row r="32" spans="1:43" x14ac:dyDescent="0.25">
      <c r="B32" s="2" t="s">
        <v>8</v>
      </c>
      <c r="C32" s="2">
        <v>2026</v>
      </c>
      <c r="D32" s="1">
        <v>502814</v>
      </c>
      <c r="E32" s="11">
        <v>29221889.850000001</v>
      </c>
      <c r="F32" s="1">
        <v>237167</v>
      </c>
      <c r="G32" s="11">
        <v>12645757.840000004</v>
      </c>
      <c r="H32" s="1">
        <v>21588</v>
      </c>
      <c r="I32" s="11">
        <v>1267432.3599999999</v>
      </c>
      <c r="J32" s="1">
        <v>2114125</v>
      </c>
      <c r="K32" s="11">
        <v>111780758.58999999</v>
      </c>
      <c r="L32" s="8">
        <v>9651</v>
      </c>
      <c r="M32" s="11">
        <v>542679.14</v>
      </c>
      <c r="N32" s="8">
        <v>12686</v>
      </c>
      <c r="O32" s="11">
        <v>667477.95000000007</v>
      </c>
      <c r="P32" s="8">
        <v>70</v>
      </c>
      <c r="Q32" s="11">
        <v>7814.64</v>
      </c>
      <c r="R32" s="8">
        <v>15038</v>
      </c>
      <c r="S32" s="11">
        <v>897174.8</v>
      </c>
      <c r="T32" s="53">
        <f t="shared" si="16"/>
        <v>2913139</v>
      </c>
      <c r="U32" s="54">
        <f t="shared" si="10"/>
        <v>157030985.16999999</v>
      </c>
      <c r="V32" s="2" t="s">
        <v>57</v>
      </c>
      <c r="Y32" s="2" t="s">
        <v>8</v>
      </c>
      <c r="Z32" s="2">
        <v>2026</v>
      </c>
      <c r="AA32" s="1">
        <f t="shared" si="11"/>
        <v>761569</v>
      </c>
      <c r="AB32" s="11">
        <f t="shared" si="11"/>
        <v>43135080.050000004</v>
      </c>
      <c r="AC32" s="1">
        <f t="shared" si="12"/>
        <v>2114125</v>
      </c>
      <c r="AD32" s="11">
        <f t="shared" si="12"/>
        <v>111780758.58999999</v>
      </c>
      <c r="AE32" s="8">
        <f t="shared" si="12"/>
        <v>9651</v>
      </c>
      <c r="AF32" s="11">
        <f t="shared" si="12"/>
        <v>542679.14</v>
      </c>
      <c r="AG32" s="8">
        <f t="shared" si="12"/>
        <v>12686</v>
      </c>
      <c r="AH32" s="11">
        <f t="shared" si="12"/>
        <v>667477.95000000007</v>
      </c>
      <c r="AI32" s="8">
        <f t="shared" si="12"/>
        <v>70</v>
      </c>
      <c r="AJ32" s="11">
        <f t="shared" si="12"/>
        <v>7814.64</v>
      </c>
      <c r="AK32" s="11">
        <f t="shared" si="12"/>
        <v>15038</v>
      </c>
      <c r="AL32" s="11">
        <f t="shared" si="12"/>
        <v>897174.8</v>
      </c>
      <c r="AM32" s="8">
        <f t="shared" si="17"/>
        <v>2913139</v>
      </c>
      <c r="AN32" s="11">
        <f t="shared" si="13"/>
        <v>157030985.17000002</v>
      </c>
      <c r="AO32" s="2" t="str">
        <f t="shared" si="14"/>
        <v>VIADUCTO</v>
      </c>
      <c r="AP32" s="37">
        <f t="shared" si="15"/>
        <v>0</v>
      </c>
      <c r="AQ32" s="37">
        <f t="shared" si="15"/>
        <v>0</v>
      </c>
    </row>
    <row r="33" spans="1:43" x14ac:dyDescent="0.25">
      <c r="B33" s="2" t="s">
        <v>9</v>
      </c>
      <c r="C33" s="2">
        <v>2026</v>
      </c>
      <c r="D33" s="1">
        <v>503583</v>
      </c>
      <c r="E33" s="11">
        <v>28236139.98</v>
      </c>
      <c r="F33" s="1">
        <v>235592</v>
      </c>
      <c r="G33" s="11">
        <v>12206617.500000004</v>
      </c>
      <c r="H33" s="1">
        <v>22329</v>
      </c>
      <c r="I33" s="11">
        <v>1294871.9399999997</v>
      </c>
      <c r="J33" s="1">
        <v>2191456</v>
      </c>
      <c r="K33" s="11">
        <v>113056158.66000001</v>
      </c>
      <c r="L33" s="8">
        <v>9558</v>
      </c>
      <c r="M33" s="11">
        <v>529435.26</v>
      </c>
      <c r="N33" s="8">
        <v>13255</v>
      </c>
      <c r="O33" s="11">
        <v>692732.80999999994</v>
      </c>
      <c r="P33" s="8">
        <v>86</v>
      </c>
      <c r="Q33" s="11">
        <v>8851.0399999999991</v>
      </c>
      <c r="R33" s="8">
        <v>15543</v>
      </c>
      <c r="S33" s="11">
        <v>921998.17000000016</v>
      </c>
      <c r="T33" s="53">
        <f t="shared" si="16"/>
        <v>2991402</v>
      </c>
      <c r="U33" s="54">
        <f t="shared" si="10"/>
        <v>156946805.35999998</v>
      </c>
      <c r="V33" s="2" t="s">
        <v>57</v>
      </c>
      <c r="Y33" s="2" t="s">
        <v>9</v>
      </c>
      <c r="Z33" s="2">
        <v>2026</v>
      </c>
      <c r="AA33" s="1">
        <f t="shared" si="11"/>
        <v>761504</v>
      </c>
      <c r="AB33" s="11">
        <f t="shared" si="11"/>
        <v>41737629.420000002</v>
      </c>
      <c r="AC33" s="1">
        <f t="shared" si="12"/>
        <v>2191456</v>
      </c>
      <c r="AD33" s="11">
        <f t="shared" si="12"/>
        <v>113056158.66000001</v>
      </c>
      <c r="AE33" s="8">
        <f t="shared" si="12"/>
        <v>9558</v>
      </c>
      <c r="AF33" s="11">
        <f t="shared" si="12"/>
        <v>529435.26</v>
      </c>
      <c r="AG33" s="8">
        <f t="shared" si="12"/>
        <v>13255</v>
      </c>
      <c r="AH33" s="11">
        <f t="shared" si="12"/>
        <v>692732.80999999994</v>
      </c>
      <c r="AI33" s="8">
        <f t="shared" si="12"/>
        <v>86</v>
      </c>
      <c r="AJ33" s="11">
        <f t="shared" si="12"/>
        <v>8851.0399999999991</v>
      </c>
      <c r="AK33" s="11">
        <f t="shared" si="12"/>
        <v>15543</v>
      </c>
      <c r="AL33" s="11">
        <f t="shared" si="12"/>
        <v>921998.17000000016</v>
      </c>
      <c r="AM33" s="8">
        <f t="shared" si="17"/>
        <v>2991402</v>
      </c>
      <c r="AN33" s="11">
        <f t="shared" si="13"/>
        <v>156946805.35999998</v>
      </c>
      <c r="AO33" s="2" t="str">
        <f t="shared" si="14"/>
        <v>VIADUCTO</v>
      </c>
      <c r="AP33" s="37">
        <f t="shared" si="15"/>
        <v>0</v>
      </c>
      <c r="AQ33" s="37">
        <f t="shared" si="15"/>
        <v>0</v>
      </c>
    </row>
    <row r="34" spans="1:43" x14ac:dyDescent="0.25">
      <c r="B34" s="2" t="s">
        <v>10</v>
      </c>
      <c r="C34" s="2">
        <v>2026</v>
      </c>
      <c r="D34" s="1">
        <v>477797</v>
      </c>
      <c r="E34" s="11">
        <v>26680770.489999998</v>
      </c>
      <c r="F34" s="1">
        <v>222363</v>
      </c>
      <c r="G34" s="11">
        <v>11401068.669999998</v>
      </c>
      <c r="H34" s="1">
        <v>21236</v>
      </c>
      <c r="I34" s="11">
        <v>1212743.8399999999</v>
      </c>
      <c r="J34" s="1">
        <v>2124583</v>
      </c>
      <c r="K34" s="11">
        <v>109313470.67999998</v>
      </c>
      <c r="L34" s="8">
        <v>9302</v>
      </c>
      <c r="M34" s="11">
        <v>516242.48999999993</v>
      </c>
      <c r="N34" s="8">
        <v>13340</v>
      </c>
      <c r="O34" s="11">
        <v>699753.64999999991</v>
      </c>
      <c r="P34" s="8">
        <v>69</v>
      </c>
      <c r="Q34" s="11">
        <v>6551.13</v>
      </c>
      <c r="R34" s="8">
        <v>15445</v>
      </c>
      <c r="S34" s="11">
        <v>900993.12000000011</v>
      </c>
      <c r="T34" s="53">
        <f t="shared" si="16"/>
        <v>2884135</v>
      </c>
      <c r="U34" s="54">
        <f t="shared" si="10"/>
        <v>150731594.06999996</v>
      </c>
      <c r="V34" s="2" t="s">
        <v>57</v>
      </c>
      <c r="Y34" s="2" t="s">
        <v>10</v>
      </c>
      <c r="Z34" s="2">
        <v>2026</v>
      </c>
      <c r="AA34" s="1">
        <f t="shared" si="11"/>
        <v>721396</v>
      </c>
      <c r="AB34" s="11">
        <f t="shared" si="11"/>
        <v>39294583</v>
      </c>
      <c r="AC34" s="1">
        <f t="shared" si="12"/>
        <v>2124583</v>
      </c>
      <c r="AD34" s="11">
        <f t="shared" si="12"/>
        <v>109313470.67999998</v>
      </c>
      <c r="AE34" s="8">
        <f t="shared" si="12"/>
        <v>9302</v>
      </c>
      <c r="AF34" s="11">
        <f t="shared" si="12"/>
        <v>516242.48999999993</v>
      </c>
      <c r="AG34" s="8">
        <f t="shared" si="12"/>
        <v>13340</v>
      </c>
      <c r="AH34" s="11">
        <f t="shared" si="12"/>
        <v>699753.64999999991</v>
      </c>
      <c r="AI34" s="8">
        <f t="shared" si="12"/>
        <v>69</v>
      </c>
      <c r="AJ34" s="11">
        <f t="shared" si="12"/>
        <v>6551.13</v>
      </c>
      <c r="AK34" s="11">
        <f t="shared" si="12"/>
        <v>15445</v>
      </c>
      <c r="AL34" s="11">
        <f t="shared" si="12"/>
        <v>900993.12000000011</v>
      </c>
      <c r="AM34" s="8">
        <f t="shared" si="17"/>
        <v>2884135</v>
      </c>
      <c r="AN34" s="11">
        <f t="shared" si="13"/>
        <v>150731594.06999999</v>
      </c>
      <c r="AO34" s="2" t="str">
        <f t="shared" si="14"/>
        <v>VIADUCTO</v>
      </c>
      <c r="AP34" s="37">
        <f t="shared" si="15"/>
        <v>0</v>
      </c>
      <c r="AQ34" s="37">
        <f t="shared" si="15"/>
        <v>0</v>
      </c>
    </row>
    <row r="35" spans="1:43" x14ac:dyDescent="0.25">
      <c r="B35" s="2" t="s">
        <v>11</v>
      </c>
      <c r="C35" s="2">
        <v>2026</v>
      </c>
      <c r="D35" s="1"/>
      <c r="E35" s="11"/>
      <c r="F35" s="1"/>
      <c r="G35" s="11"/>
      <c r="H35" s="1"/>
      <c r="I35" s="11"/>
      <c r="J35" s="1"/>
      <c r="K35" s="11"/>
      <c r="L35" s="8"/>
      <c r="M35" s="11"/>
      <c r="N35" s="8"/>
      <c r="O35" s="11"/>
      <c r="P35" s="8"/>
      <c r="Q35" s="11"/>
      <c r="R35" s="8"/>
      <c r="S35" s="11"/>
      <c r="T35" s="53">
        <f t="shared" si="16"/>
        <v>0</v>
      </c>
      <c r="U35" s="54">
        <f t="shared" si="10"/>
        <v>0</v>
      </c>
      <c r="V35" s="2" t="s">
        <v>57</v>
      </c>
      <c r="Y35" s="2" t="s">
        <v>11</v>
      </c>
      <c r="Z35" s="2">
        <v>2026</v>
      </c>
      <c r="AA35" s="1">
        <f t="shared" si="11"/>
        <v>0</v>
      </c>
      <c r="AB35" s="11">
        <f t="shared" si="11"/>
        <v>0</v>
      </c>
      <c r="AC35" s="1">
        <f t="shared" si="12"/>
        <v>0</v>
      </c>
      <c r="AD35" s="11">
        <f t="shared" si="12"/>
        <v>0</v>
      </c>
      <c r="AE35" s="8">
        <f t="shared" si="12"/>
        <v>0</v>
      </c>
      <c r="AF35" s="11">
        <f t="shared" si="12"/>
        <v>0</v>
      </c>
      <c r="AG35" s="8">
        <f t="shared" si="12"/>
        <v>0</v>
      </c>
      <c r="AH35" s="11">
        <f t="shared" si="12"/>
        <v>0</v>
      </c>
      <c r="AI35" s="8">
        <f t="shared" si="12"/>
        <v>0</v>
      </c>
      <c r="AJ35" s="11">
        <f t="shared" si="12"/>
        <v>0</v>
      </c>
      <c r="AK35" s="11">
        <f t="shared" si="12"/>
        <v>0</v>
      </c>
      <c r="AL35" s="11">
        <f t="shared" si="12"/>
        <v>0</v>
      </c>
      <c r="AM35" s="8">
        <f t="shared" si="17"/>
        <v>0</v>
      </c>
      <c r="AN35" s="11">
        <f t="shared" si="13"/>
        <v>0</v>
      </c>
      <c r="AO35" s="2" t="str">
        <f t="shared" si="14"/>
        <v>VIADUCTO</v>
      </c>
      <c r="AP35" s="37">
        <f t="shared" si="15"/>
        <v>0</v>
      </c>
      <c r="AQ35" s="37">
        <f t="shared" si="15"/>
        <v>0</v>
      </c>
    </row>
    <row r="36" spans="1:43" x14ac:dyDescent="0.25">
      <c r="B36" s="2" t="s">
        <v>4</v>
      </c>
      <c r="C36" s="2">
        <v>2026</v>
      </c>
      <c r="D36" s="1"/>
      <c r="E36" s="11"/>
      <c r="F36" s="1"/>
      <c r="G36" s="11"/>
      <c r="H36" s="1"/>
      <c r="I36" s="11"/>
      <c r="J36" s="1"/>
      <c r="K36" s="11"/>
      <c r="L36" s="8"/>
      <c r="M36" s="11"/>
      <c r="N36" s="8"/>
      <c r="O36" s="11"/>
      <c r="P36" s="8"/>
      <c r="Q36" s="11"/>
      <c r="R36" s="8"/>
      <c r="S36" s="11"/>
      <c r="T36" s="53">
        <f t="shared" si="16"/>
        <v>0</v>
      </c>
      <c r="U36" s="54">
        <f t="shared" si="10"/>
        <v>0</v>
      </c>
      <c r="V36" s="2" t="s">
        <v>57</v>
      </c>
      <c r="Y36" s="2" t="s">
        <v>4</v>
      </c>
      <c r="Z36" s="2">
        <v>2026</v>
      </c>
      <c r="AA36" s="1">
        <f t="shared" si="11"/>
        <v>0</v>
      </c>
      <c r="AB36" s="11">
        <f t="shared" si="11"/>
        <v>0</v>
      </c>
      <c r="AC36" s="1">
        <f t="shared" si="12"/>
        <v>0</v>
      </c>
      <c r="AD36" s="11">
        <f t="shared" si="12"/>
        <v>0</v>
      </c>
      <c r="AE36" s="8">
        <f t="shared" si="12"/>
        <v>0</v>
      </c>
      <c r="AF36" s="11">
        <f t="shared" si="12"/>
        <v>0</v>
      </c>
      <c r="AG36" s="8">
        <f t="shared" si="12"/>
        <v>0</v>
      </c>
      <c r="AH36" s="11">
        <f t="shared" si="12"/>
        <v>0</v>
      </c>
      <c r="AI36" s="8">
        <f t="shared" si="12"/>
        <v>0</v>
      </c>
      <c r="AJ36" s="11">
        <f t="shared" si="12"/>
        <v>0</v>
      </c>
      <c r="AK36" s="11">
        <f t="shared" si="12"/>
        <v>0</v>
      </c>
      <c r="AL36" s="11">
        <f t="shared" si="12"/>
        <v>0</v>
      </c>
      <c r="AM36" s="27">
        <f t="shared" si="17"/>
        <v>0</v>
      </c>
      <c r="AN36" s="14">
        <f t="shared" si="13"/>
        <v>0</v>
      </c>
      <c r="AO36" s="2" t="str">
        <f t="shared" si="14"/>
        <v>VIADUCTO</v>
      </c>
      <c r="AP36" s="37">
        <f t="shared" si="15"/>
        <v>0</v>
      </c>
      <c r="AQ36" s="37">
        <f t="shared" si="15"/>
        <v>0</v>
      </c>
    </row>
    <row r="37" spans="1:43" x14ac:dyDescent="0.25">
      <c r="B37" s="2" t="s">
        <v>28</v>
      </c>
      <c r="C37" s="2">
        <v>2026</v>
      </c>
      <c r="D37" s="1"/>
      <c r="E37" s="11"/>
      <c r="F37" s="1"/>
      <c r="G37" s="11"/>
      <c r="H37" s="1"/>
      <c r="I37" s="11"/>
      <c r="J37" s="1"/>
      <c r="K37" s="11"/>
      <c r="L37" s="8"/>
      <c r="M37" s="11"/>
      <c r="N37" s="8"/>
      <c r="O37" s="11"/>
      <c r="P37" s="8"/>
      <c r="Q37" s="11"/>
      <c r="R37" s="8"/>
      <c r="S37" s="11"/>
      <c r="T37" s="53">
        <f t="shared" si="16"/>
        <v>0</v>
      </c>
      <c r="U37" s="54">
        <f t="shared" si="10"/>
        <v>0</v>
      </c>
      <c r="V37" s="2" t="s">
        <v>57</v>
      </c>
      <c r="Y37" s="2" t="s">
        <v>28</v>
      </c>
      <c r="Z37" s="2">
        <v>2026</v>
      </c>
      <c r="AA37" s="1">
        <f t="shared" si="11"/>
        <v>0</v>
      </c>
      <c r="AB37" s="11">
        <f t="shared" si="11"/>
        <v>0</v>
      </c>
      <c r="AC37" s="1">
        <f t="shared" si="12"/>
        <v>0</v>
      </c>
      <c r="AD37" s="11">
        <f t="shared" si="12"/>
        <v>0</v>
      </c>
      <c r="AE37" s="8">
        <f t="shared" si="12"/>
        <v>0</v>
      </c>
      <c r="AF37" s="11">
        <f t="shared" si="12"/>
        <v>0</v>
      </c>
      <c r="AG37" s="8">
        <f t="shared" si="12"/>
        <v>0</v>
      </c>
      <c r="AH37" s="11">
        <f t="shared" si="12"/>
        <v>0</v>
      </c>
      <c r="AI37" s="8">
        <f t="shared" si="12"/>
        <v>0</v>
      </c>
      <c r="AJ37" s="11">
        <f t="shared" si="12"/>
        <v>0</v>
      </c>
      <c r="AK37" s="11">
        <f t="shared" si="12"/>
        <v>0</v>
      </c>
      <c r="AL37" s="11">
        <f t="shared" si="12"/>
        <v>0</v>
      </c>
      <c r="AM37" s="8">
        <f t="shared" si="17"/>
        <v>0</v>
      </c>
      <c r="AN37" s="11">
        <f t="shared" si="13"/>
        <v>0</v>
      </c>
      <c r="AO37" s="2" t="str">
        <f t="shared" si="14"/>
        <v>VIADUCTO</v>
      </c>
      <c r="AP37" s="37">
        <f t="shared" si="15"/>
        <v>0</v>
      </c>
      <c r="AQ37" s="37">
        <f t="shared" si="15"/>
        <v>0</v>
      </c>
    </row>
    <row r="38" spans="1:43" x14ac:dyDescent="0.25">
      <c r="B38" s="2" t="s">
        <v>29</v>
      </c>
      <c r="C38" s="2">
        <v>2026</v>
      </c>
      <c r="D38" s="1"/>
      <c r="E38" s="11"/>
      <c r="F38" s="1"/>
      <c r="G38" s="11"/>
      <c r="H38" s="1"/>
      <c r="I38" s="11"/>
      <c r="J38" s="1"/>
      <c r="K38" s="11"/>
      <c r="L38" s="8"/>
      <c r="M38" s="11"/>
      <c r="N38" s="8"/>
      <c r="O38" s="11"/>
      <c r="P38" s="8"/>
      <c r="Q38" s="11"/>
      <c r="R38" s="8"/>
      <c r="S38" s="11"/>
      <c r="T38" s="53">
        <f>N38+L38+J38+H38+D38+P38+F38+R38</f>
        <v>0</v>
      </c>
      <c r="U38" s="54">
        <f t="shared" si="10"/>
        <v>0</v>
      </c>
      <c r="V38" s="2" t="s">
        <v>57</v>
      </c>
      <c r="Y38" s="2" t="s">
        <v>29</v>
      </c>
      <c r="Z38" s="2">
        <v>2026</v>
      </c>
      <c r="AA38" s="1">
        <f t="shared" si="11"/>
        <v>0</v>
      </c>
      <c r="AB38" s="11">
        <f t="shared" si="11"/>
        <v>0</v>
      </c>
      <c r="AC38" s="1">
        <f t="shared" si="12"/>
        <v>0</v>
      </c>
      <c r="AD38" s="11">
        <f t="shared" si="12"/>
        <v>0</v>
      </c>
      <c r="AE38" s="8">
        <f t="shared" si="12"/>
        <v>0</v>
      </c>
      <c r="AF38" s="11">
        <f t="shared" si="12"/>
        <v>0</v>
      </c>
      <c r="AG38" s="8">
        <f t="shared" si="12"/>
        <v>0</v>
      </c>
      <c r="AH38" s="11">
        <f t="shared" si="12"/>
        <v>0</v>
      </c>
      <c r="AI38" s="8">
        <f t="shared" si="12"/>
        <v>0</v>
      </c>
      <c r="AJ38" s="11">
        <f t="shared" si="12"/>
        <v>0</v>
      </c>
      <c r="AK38" s="11">
        <f t="shared" si="12"/>
        <v>0</v>
      </c>
      <c r="AL38" s="11">
        <f t="shared" si="12"/>
        <v>0</v>
      </c>
      <c r="AM38" s="8">
        <f t="shared" si="17"/>
        <v>0</v>
      </c>
      <c r="AN38" s="11">
        <f t="shared" si="13"/>
        <v>0</v>
      </c>
      <c r="AO38" s="2" t="str">
        <f t="shared" si="14"/>
        <v>VIADUCTO</v>
      </c>
      <c r="AP38" s="37">
        <f t="shared" si="15"/>
        <v>0</v>
      </c>
      <c r="AQ38" s="37">
        <f t="shared" si="15"/>
        <v>0</v>
      </c>
    </row>
    <row r="39" spans="1:43" x14ac:dyDescent="0.25">
      <c r="B39" s="2" t="s">
        <v>30</v>
      </c>
      <c r="C39" s="2">
        <v>2026</v>
      </c>
      <c r="D39" s="1"/>
      <c r="E39" s="11"/>
      <c r="F39" s="1"/>
      <c r="G39" s="11"/>
      <c r="H39" s="1"/>
      <c r="I39" s="11"/>
      <c r="J39" s="1"/>
      <c r="K39" s="11"/>
      <c r="L39" s="8"/>
      <c r="M39" s="11"/>
      <c r="N39" s="8"/>
      <c r="O39" s="11"/>
      <c r="P39" s="8"/>
      <c r="Q39" s="11"/>
      <c r="R39" s="8"/>
      <c r="S39" s="11"/>
      <c r="T39" s="53">
        <f t="shared" si="16"/>
        <v>0</v>
      </c>
      <c r="U39" s="54">
        <f t="shared" si="10"/>
        <v>0</v>
      </c>
      <c r="V39" s="2" t="s">
        <v>57</v>
      </c>
      <c r="Y39" s="2" t="s">
        <v>30</v>
      </c>
      <c r="Z39" s="2">
        <v>2026</v>
      </c>
      <c r="AA39" s="1">
        <f t="shared" si="11"/>
        <v>0</v>
      </c>
      <c r="AB39" s="11">
        <f t="shared" si="11"/>
        <v>0</v>
      </c>
      <c r="AC39" s="1">
        <f t="shared" si="12"/>
        <v>0</v>
      </c>
      <c r="AD39" s="11">
        <f t="shared" si="12"/>
        <v>0</v>
      </c>
      <c r="AE39" s="8">
        <f t="shared" si="12"/>
        <v>0</v>
      </c>
      <c r="AF39" s="11">
        <f t="shared" si="12"/>
        <v>0</v>
      </c>
      <c r="AG39" s="8">
        <f t="shared" si="12"/>
        <v>0</v>
      </c>
      <c r="AH39" s="11">
        <f t="shared" si="12"/>
        <v>0</v>
      </c>
      <c r="AI39" s="8">
        <f t="shared" si="12"/>
        <v>0</v>
      </c>
      <c r="AJ39" s="11">
        <f t="shared" si="12"/>
        <v>0</v>
      </c>
      <c r="AK39" s="11">
        <f t="shared" si="12"/>
        <v>0</v>
      </c>
      <c r="AL39" s="11">
        <f t="shared" si="12"/>
        <v>0</v>
      </c>
      <c r="AM39" s="79">
        <f t="shared" si="17"/>
        <v>0</v>
      </c>
      <c r="AN39" s="80">
        <f t="shared" si="13"/>
        <v>0</v>
      </c>
      <c r="AO39" s="2" t="str">
        <f t="shared" si="14"/>
        <v>VIADUCTO</v>
      </c>
      <c r="AP39" s="37">
        <f t="shared" si="15"/>
        <v>0</v>
      </c>
      <c r="AQ39" s="37">
        <f t="shared" si="15"/>
        <v>0</v>
      </c>
    </row>
    <row r="40" spans="1:43" x14ac:dyDescent="0.25">
      <c r="B40" s="2" t="s">
        <v>31</v>
      </c>
      <c r="C40" s="2">
        <v>2026</v>
      </c>
      <c r="D40" s="1"/>
      <c r="E40" s="11"/>
      <c r="F40" s="1"/>
      <c r="G40" s="11"/>
      <c r="H40" s="1"/>
      <c r="I40" s="11"/>
      <c r="J40" s="1"/>
      <c r="K40" s="11"/>
      <c r="L40" s="8"/>
      <c r="M40" s="11"/>
      <c r="N40" s="8"/>
      <c r="O40" s="11"/>
      <c r="P40" s="8"/>
      <c r="Q40" s="11"/>
      <c r="R40" s="8"/>
      <c r="S40" s="11"/>
      <c r="T40" s="53">
        <f t="shared" si="16"/>
        <v>0</v>
      </c>
      <c r="U40" s="54">
        <f t="shared" si="10"/>
        <v>0</v>
      </c>
      <c r="V40" s="2" t="s">
        <v>57</v>
      </c>
      <c r="W40" s="13"/>
      <c r="Y40" s="2" t="s">
        <v>31</v>
      </c>
      <c r="Z40" s="2">
        <v>2026</v>
      </c>
      <c r="AA40" s="1">
        <f t="shared" si="11"/>
        <v>0</v>
      </c>
      <c r="AB40" s="11">
        <f t="shared" si="11"/>
        <v>0</v>
      </c>
      <c r="AC40" s="1">
        <f t="shared" si="12"/>
        <v>0</v>
      </c>
      <c r="AD40" s="11">
        <f t="shared" si="12"/>
        <v>0</v>
      </c>
      <c r="AE40" s="8">
        <f t="shared" si="12"/>
        <v>0</v>
      </c>
      <c r="AF40" s="11">
        <f t="shared" si="12"/>
        <v>0</v>
      </c>
      <c r="AG40" s="8">
        <f t="shared" si="12"/>
        <v>0</v>
      </c>
      <c r="AH40" s="11">
        <f t="shared" si="12"/>
        <v>0</v>
      </c>
      <c r="AI40" s="8">
        <f t="shared" si="12"/>
        <v>0</v>
      </c>
      <c r="AJ40" s="11">
        <f t="shared" si="12"/>
        <v>0</v>
      </c>
      <c r="AK40" s="11">
        <f t="shared" si="12"/>
        <v>0</v>
      </c>
      <c r="AL40" s="11">
        <f t="shared" si="12"/>
        <v>0</v>
      </c>
      <c r="AM40" s="8">
        <f t="shared" si="17"/>
        <v>0</v>
      </c>
      <c r="AN40" s="11">
        <f t="shared" si="13"/>
        <v>0</v>
      </c>
      <c r="AO40" s="2" t="str">
        <f t="shared" si="14"/>
        <v>VIADUCTO</v>
      </c>
      <c r="AP40" s="37">
        <f t="shared" si="15"/>
        <v>0</v>
      </c>
      <c r="AQ40" s="37">
        <f t="shared" si="15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18">SUM(D29:D41)</f>
        <v>3094610</v>
      </c>
      <c r="E42" s="12">
        <f t="shared" si="18"/>
        <v>170831797.43000001</v>
      </c>
      <c r="F42" s="4">
        <f t="shared" si="18"/>
        <v>1468239</v>
      </c>
      <c r="G42" s="12">
        <f t="shared" si="18"/>
        <v>74847939.120000005</v>
      </c>
      <c r="H42" s="4">
        <f t="shared" si="18"/>
        <v>128561</v>
      </c>
      <c r="I42" s="12">
        <f t="shared" si="18"/>
        <v>7235842.7799999993</v>
      </c>
      <c r="J42" s="4">
        <f t="shared" si="18"/>
        <v>12954417</v>
      </c>
      <c r="K42" s="12">
        <f t="shared" si="18"/>
        <v>655000424.66999984</v>
      </c>
      <c r="L42" s="4">
        <f t="shared" si="18"/>
        <v>58969</v>
      </c>
      <c r="M42" s="12">
        <f t="shared" si="18"/>
        <v>3212708.2399999998</v>
      </c>
      <c r="N42" s="4">
        <f t="shared" si="18"/>
        <v>78526</v>
      </c>
      <c r="O42" s="12">
        <f t="shared" si="18"/>
        <v>3991607.35</v>
      </c>
      <c r="P42" s="4">
        <f>SUM(P29:P41)</f>
        <v>484</v>
      </c>
      <c r="Q42" s="12">
        <f>SUM(Q29:Q41)</f>
        <v>46217.25</v>
      </c>
      <c r="R42" s="4">
        <f>SUM(R29:R41)</f>
        <v>90732</v>
      </c>
      <c r="S42" s="12">
        <f>SUM(S29:S41)</f>
        <v>5169854</v>
      </c>
      <c r="T42" s="4">
        <f t="shared" si="18"/>
        <v>17874538</v>
      </c>
      <c r="U42" s="12">
        <f t="shared" si="18"/>
        <v>920336390.83999991</v>
      </c>
      <c r="Y42" s="3" t="s">
        <v>12</v>
      </c>
      <c r="Z42" s="3"/>
      <c r="AA42" s="4">
        <f t="shared" ref="AA42:AN42" si="19">SUM(AA29:AA41)</f>
        <v>4691410</v>
      </c>
      <c r="AB42" s="12">
        <f t="shared" si="19"/>
        <v>252915579.32999998</v>
      </c>
      <c r="AC42" s="4">
        <f t="shared" si="19"/>
        <v>12954417</v>
      </c>
      <c r="AD42" s="12">
        <f t="shared" si="19"/>
        <v>655000424.66999984</v>
      </c>
      <c r="AE42" s="4">
        <f t="shared" si="19"/>
        <v>58969</v>
      </c>
      <c r="AF42" s="12">
        <f t="shared" si="19"/>
        <v>3212708.2399999998</v>
      </c>
      <c r="AG42" s="4">
        <f t="shared" si="19"/>
        <v>78526</v>
      </c>
      <c r="AH42" s="12">
        <f t="shared" si="19"/>
        <v>3991607.35</v>
      </c>
      <c r="AI42" s="4">
        <f t="shared" si="19"/>
        <v>484</v>
      </c>
      <c r="AJ42" s="12">
        <f t="shared" si="19"/>
        <v>46217.25</v>
      </c>
      <c r="AK42" s="4">
        <f t="shared" si="19"/>
        <v>90732</v>
      </c>
      <c r="AL42" s="12">
        <f t="shared" si="19"/>
        <v>5169854</v>
      </c>
      <c r="AM42" s="4">
        <f t="shared" si="19"/>
        <v>17874538</v>
      </c>
      <c r="AN42" s="12">
        <f t="shared" si="19"/>
        <v>920336390.83999991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9906</v>
      </c>
      <c r="M43" s="60">
        <f>AVERAGE(M29:M30)</f>
        <v>516505.63500000007</v>
      </c>
      <c r="T43" s="15">
        <f>AVERAGE(T29:T30)</f>
        <v>2973413</v>
      </c>
      <c r="U43" s="28">
        <f>AVERAGE(U29:U30)</f>
        <v>144563729.74499997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6.5522806646205953E-2</v>
      </c>
      <c r="M44" s="36">
        <f>+M43/$M$371</f>
        <v>1.8584868607511695E-2</v>
      </c>
      <c r="N44" s="18"/>
      <c r="O44" s="19"/>
      <c r="P44" s="19"/>
      <c r="Q44" s="19"/>
      <c r="R44" s="19"/>
      <c r="S44" s="19"/>
      <c r="T44" s="36">
        <f>+L43/T43</f>
        <v>3.331525085818889E-3</v>
      </c>
      <c r="U44" s="62">
        <f>+M43/U43</f>
        <v>3.5728577002757116E-3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0"/>
      <c r="F47" s="89" t="s">
        <v>71</v>
      </c>
      <c r="G47" s="90"/>
      <c r="H47" s="89" t="s">
        <v>16</v>
      </c>
      <c r="I47" s="90"/>
      <c r="J47" s="89" t="s">
        <v>17</v>
      </c>
      <c r="K47" s="93"/>
      <c r="L47" s="89" t="s">
        <v>18</v>
      </c>
      <c r="M47" s="93"/>
      <c r="N47" s="89" t="s">
        <v>13</v>
      </c>
      <c r="O47" s="93"/>
      <c r="P47" s="89" t="s">
        <v>34</v>
      </c>
      <c r="Q47" s="93"/>
      <c r="R47" s="89" t="s">
        <v>87</v>
      </c>
      <c r="S47" s="93"/>
      <c r="T47" s="89" t="s">
        <v>12</v>
      </c>
      <c r="U47" s="93"/>
      <c r="AA47" s="89" t="s">
        <v>69</v>
      </c>
      <c r="AB47" s="90"/>
      <c r="AC47" s="89" t="s">
        <v>17</v>
      </c>
      <c r="AD47" s="93"/>
      <c r="AE47" s="89" t="s">
        <v>18</v>
      </c>
      <c r="AF47" s="93"/>
      <c r="AG47" s="89" t="s">
        <v>13</v>
      </c>
      <c r="AH47" s="93"/>
      <c r="AI47" s="89" t="s">
        <v>34</v>
      </c>
      <c r="AJ47" s="93"/>
      <c r="AK47" s="89" t="s">
        <v>87</v>
      </c>
      <c r="AL47" s="93"/>
      <c r="AM47" s="89" t="s">
        <v>12</v>
      </c>
      <c r="AN47" s="93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2026</v>
      </c>
      <c r="D50" s="1">
        <v>249419</v>
      </c>
      <c r="E50" s="11">
        <v>12706055</v>
      </c>
      <c r="F50" s="1">
        <v>211404</v>
      </c>
      <c r="G50" s="11">
        <v>10897752</v>
      </c>
      <c r="H50" s="1">
        <v>22228</v>
      </c>
      <c r="I50" s="11">
        <v>1213259</v>
      </c>
      <c r="J50" s="1">
        <v>1959007</v>
      </c>
      <c r="K50" s="11">
        <v>98912295</v>
      </c>
      <c r="L50" s="8">
        <v>8237</v>
      </c>
      <c r="M50" s="11">
        <v>409489</v>
      </c>
      <c r="N50" s="8">
        <v>31557</v>
      </c>
      <c r="O50" s="11">
        <v>1578835</v>
      </c>
      <c r="P50" s="8">
        <v>41</v>
      </c>
      <c r="Q50" s="11">
        <v>2008</v>
      </c>
      <c r="R50" s="8">
        <v>25036</v>
      </c>
      <c r="S50" s="11">
        <v>1272129</v>
      </c>
      <c r="T50" s="53">
        <f>N50+L50+J50+H50+D50+P50+F50+R50</f>
        <v>2506929</v>
      </c>
      <c r="U50" s="54">
        <f t="shared" ref="U50:U61" si="20">O50+M50+K50+I50+E50+Q50+G50+S50</f>
        <v>126991822</v>
      </c>
      <c r="V50" s="2" t="s">
        <v>58</v>
      </c>
      <c r="Y50" s="2" t="s">
        <v>5</v>
      </c>
      <c r="Z50" s="2">
        <v>2026</v>
      </c>
      <c r="AA50" s="1">
        <f t="shared" ref="AA50:AB61" si="21">D50+H50+F50</f>
        <v>483051</v>
      </c>
      <c r="AB50" s="11">
        <f t="shared" si="21"/>
        <v>24817066</v>
      </c>
      <c r="AC50" s="1">
        <f t="shared" ref="AC50:AL61" si="22">+J50</f>
        <v>1959007</v>
      </c>
      <c r="AD50" s="11">
        <f t="shared" si="22"/>
        <v>98912295</v>
      </c>
      <c r="AE50" s="8">
        <f t="shared" si="22"/>
        <v>8237</v>
      </c>
      <c r="AF50" s="11">
        <f t="shared" si="22"/>
        <v>409489</v>
      </c>
      <c r="AG50" s="8">
        <f t="shared" si="22"/>
        <v>31557</v>
      </c>
      <c r="AH50" s="11">
        <f t="shared" si="22"/>
        <v>1578835</v>
      </c>
      <c r="AI50" s="8">
        <f t="shared" si="22"/>
        <v>41</v>
      </c>
      <c r="AJ50" s="11">
        <f t="shared" si="22"/>
        <v>2008</v>
      </c>
      <c r="AK50" s="11">
        <f t="shared" si="22"/>
        <v>25036</v>
      </c>
      <c r="AL50" s="11">
        <f t="shared" si="22"/>
        <v>1272129</v>
      </c>
      <c r="AM50" s="8">
        <f>AI50+AG50+AE50+AC50+AA50+AK50</f>
        <v>2506929</v>
      </c>
      <c r="AN50" s="11">
        <f t="shared" ref="AN50:AN61" si="23">AJ50+AH50+AF50+AD50+AB50+AL50</f>
        <v>126991822</v>
      </c>
      <c r="AO50" s="2" t="str">
        <f t="shared" ref="AO50:AO61" si="24">+V50</f>
        <v>SUPERVIA</v>
      </c>
      <c r="AP50" s="37">
        <f t="shared" ref="AP50:AQ61" si="25">+AM50-T50</f>
        <v>0</v>
      </c>
      <c r="AQ50" s="37">
        <f t="shared" si="25"/>
        <v>0</v>
      </c>
    </row>
    <row r="51" spans="2:43" x14ac:dyDescent="0.25">
      <c r="B51" s="2" t="s">
        <v>6</v>
      </c>
      <c r="C51" s="2">
        <v>2026</v>
      </c>
      <c r="D51" s="1">
        <v>241405</v>
      </c>
      <c r="E51" s="11">
        <v>12929729</v>
      </c>
      <c r="F51" s="1">
        <v>210385</v>
      </c>
      <c r="G51" s="11">
        <v>11446370</v>
      </c>
      <c r="H51" s="1">
        <v>22509</v>
      </c>
      <c r="I51" s="11">
        <v>1297356</v>
      </c>
      <c r="J51" s="1">
        <v>1959975</v>
      </c>
      <c r="K51" s="11">
        <v>104400190</v>
      </c>
      <c r="L51" s="8">
        <v>8170</v>
      </c>
      <c r="M51" s="11">
        <v>426828</v>
      </c>
      <c r="N51" s="8">
        <v>30382</v>
      </c>
      <c r="O51" s="11">
        <v>1603066</v>
      </c>
      <c r="P51" s="8">
        <v>8</v>
      </c>
      <c r="Q51" s="11">
        <v>392</v>
      </c>
      <c r="R51" s="8">
        <v>25365</v>
      </c>
      <c r="S51" s="11">
        <v>1362304</v>
      </c>
      <c r="T51" s="53">
        <f t="shared" ref="T51:T61" si="26">N51+L51+J51+H51+D51+P51+F51+R51</f>
        <v>2498199</v>
      </c>
      <c r="U51" s="54">
        <f t="shared" si="20"/>
        <v>133466235</v>
      </c>
      <c r="V51" s="2" t="s">
        <v>58</v>
      </c>
      <c r="Y51" s="2" t="s">
        <v>6</v>
      </c>
      <c r="Z51" s="2">
        <v>2026</v>
      </c>
      <c r="AA51" s="1">
        <f t="shared" si="21"/>
        <v>474299</v>
      </c>
      <c r="AB51" s="11">
        <f t="shared" si="21"/>
        <v>25673455</v>
      </c>
      <c r="AC51" s="1">
        <f t="shared" si="22"/>
        <v>1959975</v>
      </c>
      <c r="AD51" s="11">
        <f t="shared" si="22"/>
        <v>104400190</v>
      </c>
      <c r="AE51" s="8">
        <f t="shared" si="22"/>
        <v>8170</v>
      </c>
      <c r="AF51" s="11">
        <f t="shared" si="22"/>
        <v>426828</v>
      </c>
      <c r="AG51" s="8">
        <f t="shared" si="22"/>
        <v>30382</v>
      </c>
      <c r="AH51" s="11">
        <f t="shared" si="22"/>
        <v>1603066</v>
      </c>
      <c r="AI51" s="8">
        <f t="shared" si="22"/>
        <v>8</v>
      </c>
      <c r="AJ51" s="11">
        <f t="shared" si="22"/>
        <v>392</v>
      </c>
      <c r="AK51" s="11">
        <f t="shared" si="22"/>
        <v>25365</v>
      </c>
      <c r="AL51" s="11">
        <f t="shared" si="22"/>
        <v>1362304</v>
      </c>
      <c r="AM51" s="8">
        <f t="shared" ref="AM51:AM61" si="27">AI51+AG51+AE51+AC51+AA51+AK51</f>
        <v>2498199</v>
      </c>
      <c r="AN51" s="11">
        <f t="shared" si="23"/>
        <v>133466235</v>
      </c>
      <c r="AO51" s="2" t="str">
        <f t="shared" si="24"/>
        <v>SUPERVIA</v>
      </c>
      <c r="AP51" s="37">
        <f t="shared" si="25"/>
        <v>0</v>
      </c>
      <c r="AQ51" s="37">
        <f t="shared" si="25"/>
        <v>0</v>
      </c>
    </row>
    <row r="52" spans="2:43" x14ac:dyDescent="0.25">
      <c r="B52" s="2" t="s">
        <v>7</v>
      </c>
      <c r="C52" s="2">
        <v>2026</v>
      </c>
      <c r="D52" s="1">
        <v>261429</v>
      </c>
      <c r="E52" s="11">
        <v>13953639</v>
      </c>
      <c r="F52" s="1">
        <v>226030</v>
      </c>
      <c r="G52" s="11">
        <v>12282704</v>
      </c>
      <c r="H52" s="1">
        <v>23884</v>
      </c>
      <c r="I52" s="11">
        <v>1364930</v>
      </c>
      <c r="J52" s="1">
        <v>2177565</v>
      </c>
      <c r="K52" s="11">
        <v>115562313</v>
      </c>
      <c r="L52" s="8">
        <v>9187</v>
      </c>
      <c r="M52" s="11">
        <v>478252</v>
      </c>
      <c r="N52" s="8">
        <v>34240</v>
      </c>
      <c r="O52" s="11">
        <v>1801504</v>
      </c>
      <c r="P52" s="8">
        <v>31</v>
      </c>
      <c r="Q52" s="11">
        <v>1608</v>
      </c>
      <c r="R52" s="8">
        <v>28850</v>
      </c>
      <c r="S52" s="11">
        <v>1546116</v>
      </c>
      <c r="T52" s="53">
        <f t="shared" si="26"/>
        <v>2761216</v>
      </c>
      <c r="U52" s="54">
        <f t="shared" si="20"/>
        <v>146991066</v>
      </c>
      <c r="V52" s="2" t="s">
        <v>58</v>
      </c>
      <c r="Y52" s="2" t="s">
        <v>7</v>
      </c>
      <c r="Z52" s="2">
        <v>2026</v>
      </c>
      <c r="AA52" s="1">
        <f t="shared" si="21"/>
        <v>511343</v>
      </c>
      <c r="AB52" s="11">
        <f t="shared" si="21"/>
        <v>27601273</v>
      </c>
      <c r="AC52" s="1">
        <f t="shared" si="22"/>
        <v>2177565</v>
      </c>
      <c r="AD52" s="11">
        <f t="shared" si="22"/>
        <v>115562313</v>
      </c>
      <c r="AE52" s="8">
        <f t="shared" si="22"/>
        <v>9187</v>
      </c>
      <c r="AF52" s="11">
        <f t="shared" si="22"/>
        <v>478252</v>
      </c>
      <c r="AG52" s="8">
        <f t="shared" si="22"/>
        <v>34240</v>
      </c>
      <c r="AH52" s="11">
        <f t="shared" si="22"/>
        <v>1801504</v>
      </c>
      <c r="AI52" s="8">
        <f t="shared" si="22"/>
        <v>31</v>
      </c>
      <c r="AJ52" s="11">
        <f t="shared" si="22"/>
        <v>1608</v>
      </c>
      <c r="AK52" s="11">
        <f t="shared" si="22"/>
        <v>28850</v>
      </c>
      <c r="AL52" s="11">
        <f t="shared" si="22"/>
        <v>1546116</v>
      </c>
      <c r="AM52" s="8">
        <f t="shared" si="27"/>
        <v>2761216</v>
      </c>
      <c r="AN52" s="11">
        <f t="shared" si="23"/>
        <v>146991066</v>
      </c>
      <c r="AO52" s="2" t="str">
        <f t="shared" si="24"/>
        <v>SUPERVIA</v>
      </c>
      <c r="AP52" s="37">
        <f t="shared" si="25"/>
        <v>0</v>
      </c>
      <c r="AQ52" s="37">
        <f t="shared" si="25"/>
        <v>0</v>
      </c>
    </row>
    <row r="53" spans="2:43" x14ac:dyDescent="0.25">
      <c r="B53" s="2" t="s">
        <v>8</v>
      </c>
      <c r="C53" s="2">
        <v>2026</v>
      </c>
      <c r="D53" s="1">
        <v>248506</v>
      </c>
      <c r="E53" s="11">
        <v>13447255</v>
      </c>
      <c r="F53" s="1">
        <v>201136</v>
      </c>
      <c r="G53" s="11">
        <v>11018944</v>
      </c>
      <c r="H53" s="1">
        <v>21819</v>
      </c>
      <c r="I53" s="11">
        <v>1259552</v>
      </c>
      <c r="J53" s="1">
        <v>1929977</v>
      </c>
      <c r="K53" s="11">
        <v>102531184</v>
      </c>
      <c r="L53" s="8">
        <v>8076</v>
      </c>
      <c r="M53" s="11">
        <v>418480</v>
      </c>
      <c r="N53" s="8">
        <v>30835</v>
      </c>
      <c r="O53" s="11">
        <v>1622691</v>
      </c>
      <c r="P53" s="8">
        <v>6</v>
      </c>
      <c r="Q53" s="11">
        <v>297</v>
      </c>
      <c r="R53" s="8">
        <v>25409</v>
      </c>
      <c r="S53" s="11">
        <v>1361454</v>
      </c>
      <c r="T53" s="53">
        <f t="shared" si="26"/>
        <v>2465764</v>
      </c>
      <c r="U53" s="54">
        <f t="shared" si="20"/>
        <v>131659857</v>
      </c>
      <c r="V53" s="2" t="s">
        <v>58</v>
      </c>
      <c r="Y53" s="2" t="s">
        <v>8</v>
      </c>
      <c r="Z53" s="2">
        <v>2026</v>
      </c>
      <c r="AA53" s="1">
        <f t="shared" si="21"/>
        <v>471461</v>
      </c>
      <c r="AB53" s="11">
        <f t="shared" si="21"/>
        <v>25725751</v>
      </c>
      <c r="AC53" s="1">
        <f t="shared" si="22"/>
        <v>1929977</v>
      </c>
      <c r="AD53" s="11">
        <f t="shared" si="22"/>
        <v>102531184</v>
      </c>
      <c r="AE53" s="8">
        <f t="shared" si="22"/>
        <v>8076</v>
      </c>
      <c r="AF53" s="11">
        <f t="shared" si="22"/>
        <v>418480</v>
      </c>
      <c r="AG53" s="8">
        <f t="shared" si="22"/>
        <v>30835</v>
      </c>
      <c r="AH53" s="11">
        <f t="shared" si="22"/>
        <v>1622691</v>
      </c>
      <c r="AI53" s="8">
        <f t="shared" si="22"/>
        <v>6</v>
      </c>
      <c r="AJ53" s="11">
        <f t="shared" si="22"/>
        <v>297</v>
      </c>
      <c r="AK53" s="11">
        <f t="shared" si="22"/>
        <v>25409</v>
      </c>
      <c r="AL53" s="11">
        <f t="shared" si="22"/>
        <v>1361454</v>
      </c>
      <c r="AM53" s="8">
        <f t="shared" si="27"/>
        <v>2465764</v>
      </c>
      <c r="AN53" s="11">
        <f t="shared" si="23"/>
        <v>131659857</v>
      </c>
      <c r="AO53" s="2" t="str">
        <f t="shared" si="24"/>
        <v>SUPERVIA</v>
      </c>
      <c r="AP53" s="37">
        <f t="shared" si="25"/>
        <v>0</v>
      </c>
      <c r="AQ53" s="37">
        <f t="shared" si="25"/>
        <v>0</v>
      </c>
    </row>
    <row r="54" spans="2:43" x14ac:dyDescent="0.25">
      <c r="B54" s="2" t="s">
        <v>9</v>
      </c>
      <c r="C54" s="2">
        <v>2026</v>
      </c>
      <c r="D54" s="1">
        <v>263233</v>
      </c>
      <c r="E54" s="11">
        <v>14570582</v>
      </c>
      <c r="F54" s="1">
        <v>200015</v>
      </c>
      <c r="G54" s="11">
        <v>10664813</v>
      </c>
      <c r="H54" s="1">
        <v>23981</v>
      </c>
      <c r="I54" s="11">
        <v>1399301</v>
      </c>
      <c r="J54" s="1">
        <v>2217517</v>
      </c>
      <c r="K54" s="11">
        <v>118244949</v>
      </c>
      <c r="L54" s="8">
        <v>8527</v>
      </c>
      <c r="M54" s="11">
        <v>445288</v>
      </c>
      <c r="N54" s="8">
        <v>35723</v>
      </c>
      <c r="O54" s="11">
        <v>1887089</v>
      </c>
      <c r="P54" s="8">
        <v>8</v>
      </c>
      <c r="Q54" s="11">
        <v>396</v>
      </c>
      <c r="R54" s="8">
        <v>30490</v>
      </c>
      <c r="S54" s="11">
        <v>1632980</v>
      </c>
      <c r="T54" s="53">
        <f t="shared" si="26"/>
        <v>2779494</v>
      </c>
      <c r="U54" s="54">
        <f t="shared" si="20"/>
        <v>148845398</v>
      </c>
      <c r="V54" s="2" t="s">
        <v>58</v>
      </c>
      <c r="W54" s="15"/>
      <c r="X54" s="9"/>
      <c r="Y54" s="2" t="s">
        <v>9</v>
      </c>
      <c r="Z54" s="2">
        <v>2026</v>
      </c>
      <c r="AA54" s="1">
        <f t="shared" si="21"/>
        <v>487229</v>
      </c>
      <c r="AB54" s="11">
        <f t="shared" si="21"/>
        <v>26634696</v>
      </c>
      <c r="AC54" s="1">
        <f t="shared" si="22"/>
        <v>2217517</v>
      </c>
      <c r="AD54" s="11">
        <f t="shared" si="22"/>
        <v>118244949</v>
      </c>
      <c r="AE54" s="8">
        <f t="shared" si="22"/>
        <v>8527</v>
      </c>
      <c r="AF54" s="11">
        <f t="shared" si="22"/>
        <v>445288</v>
      </c>
      <c r="AG54" s="8">
        <f t="shared" si="22"/>
        <v>35723</v>
      </c>
      <c r="AH54" s="11">
        <f t="shared" si="22"/>
        <v>1887089</v>
      </c>
      <c r="AI54" s="8">
        <f t="shared" si="22"/>
        <v>8</v>
      </c>
      <c r="AJ54" s="11">
        <f t="shared" si="22"/>
        <v>396</v>
      </c>
      <c r="AK54" s="11">
        <f t="shared" si="22"/>
        <v>30490</v>
      </c>
      <c r="AL54" s="11">
        <f t="shared" si="22"/>
        <v>1632980</v>
      </c>
      <c r="AM54" s="8">
        <f t="shared" si="27"/>
        <v>2779494</v>
      </c>
      <c r="AN54" s="11">
        <f t="shared" si="23"/>
        <v>148845398</v>
      </c>
      <c r="AO54" s="2" t="str">
        <f t="shared" si="24"/>
        <v>SUPERVIA</v>
      </c>
      <c r="AP54" s="37">
        <f t="shared" si="25"/>
        <v>0</v>
      </c>
      <c r="AQ54" s="37">
        <f t="shared" si="25"/>
        <v>0</v>
      </c>
    </row>
    <row r="55" spans="2:43" x14ac:dyDescent="0.25">
      <c r="B55" s="2" t="s">
        <v>10</v>
      </c>
      <c r="C55" s="2">
        <v>2026</v>
      </c>
      <c r="D55" s="1">
        <v>233315</v>
      </c>
      <c r="E55" s="11">
        <v>12531518</v>
      </c>
      <c r="F55" s="1">
        <v>196806</v>
      </c>
      <c r="G55" s="11">
        <v>10674465</v>
      </c>
      <c r="H55" s="1">
        <v>17282</v>
      </c>
      <c r="I55" s="11">
        <v>942679</v>
      </c>
      <c r="J55" s="1">
        <v>2015774</v>
      </c>
      <c r="K55" s="11">
        <v>107564904</v>
      </c>
      <c r="L55" s="8">
        <v>7419</v>
      </c>
      <c r="M55" s="11">
        <v>387796</v>
      </c>
      <c r="N55" s="8">
        <v>33617</v>
      </c>
      <c r="O55" s="11">
        <v>1778285</v>
      </c>
      <c r="P55" s="8">
        <v>0</v>
      </c>
      <c r="Q55" s="11">
        <v>0</v>
      </c>
      <c r="R55" s="8">
        <v>26845</v>
      </c>
      <c r="S55" s="11">
        <v>1439249</v>
      </c>
      <c r="T55" s="53">
        <f t="shared" si="26"/>
        <v>2531058</v>
      </c>
      <c r="U55" s="54">
        <f t="shared" si="20"/>
        <v>135318896</v>
      </c>
      <c r="V55" s="2" t="s">
        <v>58</v>
      </c>
      <c r="Y55" s="2" t="s">
        <v>10</v>
      </c>
      <c r="Z55" s="2">
        <v>2026</v>
      </c>
      <c r="AA55" s="1">
        <f t="shared" si="21"/>
        <v>447403</v>
      </c>
      <c r="AB55" s="11">
        <f t="shared" si="21"/>
        <v>24148662</v>
      </c>
      <c r="AC55" s="1">
        <f t="shared" si="22"/>
        <v>2015774</v>
      </c>
      <c r="AD55" s="11">
        <f t="shared" si="22"/>
        <v>107564904</v>
      </c>
      <c r="AE55" s="8">
        <f t="shared" si="22"/>
        <v>7419</v>
      </c>
      <c r="AF55" s="11">
        <f t="shared" si="22"/>
        <v>387796</v>
      </c>
      <c r="AG55" s="8">
        <f t="shared" si="22"/>
        <v>33617</v>
      </c>
      <c r="AH55" s="11">
        <f t="shared" si="22"/>
        <v>1778285</v>
      </c>
      <c r="AI55" s="8">
        <f t="shared" si="22"/>
        <v>0</v>
      </c>
      <c r="AJ55" s="11">
        <f t="shared" si="22"/>
        <v>0</v>
      </c>
      <c r="AK55" s="11">
        <f t="shared" si="22"/>
        <v>26845</v>
      </c>
      <c r="AL55" s="11">
        <f t="shared" si="22"/>
        <v>1439249</v>
      </c>
      <c r="AM55" s="8">
        <f t="shared" si="27"/>
        <v>2531058</v>
      </c>
      <c r="AN55" s="11">
        <f t="shared" si="23"/>
        <v>135318896</v>
      </c>
      <c r="AO55" s="2" t="str">
        <f t="shared" si="24"/>
        <v>SUPERVIA</v>
      </c>
      <c r="AP55" s="37">
        <f t="shared" si="25"/>
        <v>0</v>
      </c>
      <c r="AQ55" s="37">
        <f t="shared" si="25"/>
        <v>0</v>
      </c>
    </row>
    <row r="56" spans="2:43" x14ac:dyDescent="0.25">
      <c r="B56" s="2" t="s">
        <v>11</v>
      </c>
      <c r="C56" s="2">
        <v>2026</v>
      </c>
      <c r="D56" s="1"/>
      <c r="E56" s="11"/>
      <c r="F56" s="1"/>
      <c r="G56" s="11"/>
      <c r="H56" s="1"/>
      <c r="I56" s="11"/>
      <c r="J56" s="1"/>
      <c r="K56" s="11"/>
      <c r="L56" s="8"/>
      <c r="M56" s="11"/>
      <c r="N56" s="8"/>
      <c r="O56" s="11"/>
      <c r="P56" s="8"/>
      <c r="Q56" s="11"/>
      <c r="R56" s="8"/>
      <c r="S56" s="11"/>
      <c r="T56" s="53">
        <f t="shared" si="26"/>
        <v>0</v>
      </c>
      <c r="U56" s="54">
        <f t="shared" si="20"/>
        <v>0</v>
      </c>
      <c r="V56" s="2" t="s">
        <v>58</v>
      </c>
      <c r="Y56" s="2" t="s">
        <v>11</v>
      </c>
      <c r="Z56" s="2">
        <v>2026</v>
      </c>
      <c r="AA56" s="1">
        <f t="shared" si="21"/>
        <v>0</v>
      </c>
      <c r="AB56" s="11">
        <f t="shared" si="21"/>
        <v>0</v>
      </c>
      <c r="AC56" s="1">
        <f t="shared" si="22"/>
        <v>0</v>
      </c>
      <c r="AD56" s="11">
        <f t="shared" si="22"/>
        <v>0</v>
      </c>
      <c r="AE56" s="8">
        <f t="shared" si="22"/>
        <v>0</v>
      </c>
      <c r="AF56" s="11">
        <f t="shared" si="22"/>
        <v>0</v>
      </c>
      <c r="AG56" s="8">
        <f t="shared" si="22"/>
        <v>0</v>
      </c>
      <c r="AH56" s="11">
        <f t="shared" si="22"/>
        <v>0</v>
      </c>
      <c r="AI56" s="8">
        <f t="shared" si="22"/>
        <v>0</v>
      </c>
      <c r="AJ56" s="11">
        <f t="shared" si="22"/>
        <v>0</v>
      </c>
      <c r="AK56" s="11">
        <f t="shared" si="22"/>
        <v>0</v>
      </c>
      <c r="AL56" s="11">
        <f t="shared" si="22"/>
        <v>0</v>
      </c>
      <c r="AM56" s="8">
        <f t="shared" si="27"/>
        <v>0</v>
      </c>
      <c r="AN56" s="11">
        <f t="shared" si="23"/>
        <v>0</v>
      </c>
      <c r="AO56" s="2" t="str">
        <f t="shared" si="24"/>
        <v>SUPERVIA</v>
      </c>
      <c r="AP56" s="37">
        <f t="shared" si="25"/>
        <v>0</v>
      </c>
      <c r="AQ56" s="37">
        <f t="shared" si="25"/>
        <v>0</v>
      </c>
    </row>
    <row r="57" spans="2:43" x14ac:dyDescent="0.25">
      <c r="B57" s="2" t="s">
        <v>4</v>
      </c>
      <c r="C57" s="2">
        <v>2026</v>
      </c>
      <c r="D57" s="1"/>
      <c r="E57" s="11"/>
      <c r="F57" s="1"/>
      <c r="G57" s="11"/>
      <c r="H57" s="1"/>
      <c r="I57" s="11"/>
      <c r="J57" s="1"/>
      <c r="K57" s="11"/>
      <c r="L57" s="8"/>
      <c r="M57" s="11"/>
      <c r="N57" s="8"/>
      <c r="O57" s="11"/>
      <c r="P57" s="8"/>
      <c r="Q57" s="11"/>
      <c r="R57" s="8"/>
      <c r="S57" s="11"/>
      <c r="T57" s="53">
        <f t="shared" si="26"/>
        <v>0</v>
      </c>
      <c r="U57" s="54">
        <f t="shared" si="20"/>
        <v>0</v>
      </c>
      <c r="V57" s="2" t="s">
        <v>58</v>
      </c>
      <c r="Y57" s="2" t="s">
        <v>4</v>
      </c>
      <c r="Z57" s="2">
        <v>2026</v>
      </c>
      <c r="AA57" s="1">
        <f t="shared" si="21"/>
        <v>0</v>
      </c>
      <c r="AB57" s="11">
        <f t="shared" si="21"/>
        <v>0</v>
      </c>
      <c r="AC57" s="1">
        <f t="shared" si="22"/>
        <v>0</v>
      </c>
      <c r="AD57" s="11">
        <f t="shared" si="22"/>
        <v>0</v>
      </c>
      <c r="AE57" s="8">
        <f t="shared" si="22"/>
        <v>0</v>
      </c>
      <c r="AF57" s="11">
        <f t="shared" si="22"/>
        <v>0</v>
      </c>
      <c r="AG57" s="8">
        <f t="shared" si="22"/>
        <v>0</v>
      </c>
      <c r="AH57" s="11">
        <f t="shared" si="22"/>
        <v>0</v>
      </c>
      <c r="AI57" s="8">
        <f t="shared" si="22"/>
        <v>0</v>
      </c>
      <c r="AJ57" s="11">
        <f t="shared" si="22"/>
        <v>0</v>
      </c>
      <c r="AK57" s="11">
        <f t="shared" si="22"/>
        <v>0</v>
      </c>
      <c r="AL57" s="11">
        <f t="shared" si="22"/>
        <v>0</v>
      </c>
      <c r="AM57" s="27">
        <f t="shared" si="27"/>
        <v>0</v>
      </c>
      <c r="AN57" s="14">
        <f t="shared" si="23"/>
        <v>0</v>
      </c>
      <c r="AO57" s="2" t="str">
        <f t="shared" si="24"/>
        <v>SUPERVIA</v>
      </c>
      <c r="AP57" s="37">
        <f t="shared" si="25"/>
        <v>0</v>
      </c>
      <c r="AQ57" s="37">
        <f t="shared" si="25"/>
        <v>0</v>
      </c>
    </row>
    <row r="58" spans="2:43" x14ac:dyDescent="0.25">
      <c r="B58" s="2" t="s">
        <v>28</v>
      </c>
      <c r="C58" s="2">
        <v>2026</v>
      </c>
      <c r="D58" s="1"/>
      <c r="E58" s="11"/>
      <c r="F58" s="1"/>
      <c r="G58" s="11"/>
      <c r="H58" s="1"/>
      <c r="I58" s="11"/>
      <c r="J58" s="1"/>
      <c r="K58" s="11"/>
      <c r="L58" s="8"/>
      <c r="M58" s="11"/>
      <c r="N58" s="8"/>
      <c r="O58" s="11"/>
      <c r="P58" s="8"/>
      <c r="Q58" s="11"/>
      <c r="R58" s="8"/>
      <c r="S58" s="11"/>
      <c r="T58" s="53">
        <f t="shared" si="26"/>
        <v>0</v>
      </c>
      <c r="U58" s="54">
        <f t="shared" si="20"/>
        <v>0</v>
      </c>
      <c r="V58" s="2" t="s">
        <v>58</v>
      </c>
      <c r="Y58" s="2" t="s">
        <v>28</v>
      </c>
      <c r="Z58" s="2">
        <v>2026</v>
      </c>
      <c r="AA58" s="1">
        <f t="shared" si="21"/>
        <v>0</v>
      </c>
      <c r="AB58" s="11">
        <f t="shared" si="21"/>
        <v>0</v>
      </c>
      <c r="AC58" s="1">
        <f t="shared" si="22"/>
        <v>0</v>
      </c>
      <c r="AD58" s="11">
        <f t="shared" si="22"/>
        <v>0</v>
      </c>
      <c r="AE58" s="8">
        <f t="shared" si="22"/>
        <v>0</v>
      </c>
      <c r="AF58" s="11">
        <f t="shared" si="22"/>
        <v>0</v>
      </c>
      <c r="AG58" s="8">
        <f t="shared" si="22"/>
        <v>0</v>
      </c>
      <c r="AH58" s="11">
        <f t="shared" si="22"/>
        <v>0</v>
      </c>
      <c r="AI58" s="8">
        <f t="shared" si="22"/>
        <v>0</v>
      </c>
      <c r="AJ58" s="11">
        <f t="shared" si="22"/>
        <v>0</v>
      </c>
      <c r="AK58" s="11">
        <f t="shared" si="22"/>
        <v>0</v>
      </c>
      <c r="AL58" s="11">
        <f t="shared" si="22"/>
        <v>0</v>
      </c>
      <c r="AM58" s="8">
        <f t="shared" si="27"/>
        <v>0</v>
      </c>
      <c r="AN58" s="11">
        <f t="shared" si="23"/>
        <v>0</v>
      </c>
      <c r="AO58" s="2" t="str">
        <f t="shared" si="24"/>
        <v>SUPERVIA</v>
      </c>
      <c r="AP58" s="37">
        <f t="shared" si="25"/>
        <v>0</v>
      </c>
      <c r="AQ58" s="37">
        <f t="shared" si="25"/>
        <v>0</v>
      </c>
    </row>
    <row r="59" spans="2:43" x14ac:dyDescent="0.25">
      <c r="B59" s="2" t="s">
        <v>29</v>
      </c>
      <c r="C59" s="2">
        <v>2026</v>
      </c>
      <c r="D59" s="1"/>
      <c r="E59" s="11"/>
      <c r="F59" s="1"/>
      <c r="G59" s="11"/>
      <c r="H59" s="1"/>
      <c r="I59" s="11"/>
      <c r="J59" s="1"/>
      <c r="K59" s="11"/>
      <c r="L59" s="8"/>
      <c r="M59" s="11"/>
      <c r="N59" s="8"/>
      <c r="O59" s="11"/>
      <c r="P59" s="8"/>
      <c r="Q59" s="11"/>
      <c r="R59" s="8"/>
      <c r="S59" s="11"/>
      <c r="T59" s="53">
        <f>N59+L59+J59+H59+D59+P59+F59+R59</f>
        <v>0</v>
      </c>
      <c r="U59" s="54">
        <f t="shared" si="20"/>
        <v>0</v>
      </c>
      <c r="V59" s="2" t="s">
        <v>58</v>
      </c>
      <c r="Y59" s="2" t="s">
        <v>29</v>
      </c>
      <c r="Z59" s="2">
        <v>2026</v>
      </c>
      <c r="AA59" s="1">
        <f t="shared" si="21"/>
        <v>0</v>
      </c>
      <c r="AB59" s="11">
        <f t="shared" si="21"/>
        <v>0</v>
      </c>
      <c r="AC59" s="1">
        <f t="shared" si="22"/>
        <v>0</v>
      </c>
      <c r="AD59" s="11">
        <f t="shared" si="22"/>
        <v>0</v>
      </c>
      <c r="AE59" s="8">
        <f t="shared" si="22"/>
        <v>0</v>
      </c>
      <c r="AF59" s="11">
        <f t="shared" si="22"/>
        <v>0</v>
      </c>
      <c r="AG59" s="8">
        <f t="shared" si="22"/>
        <v>0</v>
      </c>
      <c r="AH59" s="11">
        <f t="shared" si="22"/>
        <v>0</v>
      </c>
      <c r="AI59" s="8">
        <f t="shared" si="22"/>
        <v>0</v>
      </c>
      <c r="AJ59" s="11">
        <f t="shared" si="22"/>
        <v>0</v>
      </c>
      <c r="AK59" s="11">
        <f t="shared" si="22"/>
        <v>0</v>
      </c>
      <c r="AL59" s="11">
        <f t="shared" si="22"/>
        <v>0</v>
      </c>
      <c r="AM59" s="8">
        <f t="shared" si="27"/>
        <v>0</v>
      </c>
      <c r="AN59" s="11">
        <f t="shared" si="23"/>
        <v>0</v>
      </c>
      <c r="AO59" s="2" t="str">
        <f t="shared" si="24"/>
        <v>SUPERVIA</v>
      </c>
      <c r="AP59" s="37">
        <f t="shared" si="25"/>
        <v>0</v>
      </c>
      <c r="AQ59" s="37">
        <f t="shared" si="25"/>
        <v>0</v>
      </c>
    </row>
    <row r="60" spans="2:43" x14ac:dyDescent="0.25">
      <c r="B60" s="2" t="s">
        <v>30</v>
      </c>
      <c r="C60" s="2">
        <v>2026</v>
      </c>
      <c r="D60" s="1"/>
      <c r="E60" s="11"/>
      <c r="F60" s="1"/>
      <c r="G60" s="11"/>
      <c r="H60" s="1"/>
      <c r="I60" s="11"/>
      <c r="J60" s="1"/>
      <c r="K60" s="11"/>
      <c r="L60" s="8"/>
      <c r="M60" s="11"/>
      <c r="N60" s="8"/>
      <c r="O60" s="11"/>
      <c r="P60" s="8"/>
      <c r="Q60" s="11"/>
      <c r="R60" s="8"/>
      <c r="S60" s="11"/>
      <c r="T60" s="53">
        <f t="shared" si="26"/>
        <v>0</v>
      </c>
      <c r="U60" s="54">
        <f t="shared" si="20"/>
        <v>0</v>
      </c>
      <c r="V60" s="2" t="s">
        <v>58</v>
      </c>
      <c r="Y60" s="2" t="s">
        <v>30</v>
      </c>
      <c r="Z60" s="2">
        <v>2026</v>
      </c>
      <c r="AA60" s="1">
        <f t="shared" si="21"/>
        <v>0</v>
      </c>
      <c r="AB60" s="11">
        <f t="shared" si="21"/>
        <v>0</v>
      </c>
      <c r="AC60" s="1">
        <f t="shared" si="22"/>
        <v>0</v>
      </c>
      <c r="AD60" s="11">
        <f t="shared" si="22"/>
        <v>0</v>
      </c>
      <c r="AE60" s="8">
        <f t="shared" si="22"/>
        <v>0</v>
      </c>
      <c r="AF60" s="11">
        <f t="shared" si="22"/>
        <v>0</v>
      </c>
      <c r="AG60" s="8">
        <f t="shared" si="22"/>
        <v>0</v>
      </c>
      <c r="AH60" s="11">
        <f t="shared" si="22"/>
        <v>0</v>
      </c>
      <c r="AI60" s="8">
        <f t="shared" si="22"/>
        <v>0</v>
      </c>
      <c r="AJ60" s="11">
        <f t="shared" si="22"/>
        <v>0</v>
      </c>
      <c r="AK60" s="11">
        <f t="shared" si="22"/>
        <v>0</v>
      </c>
      <c r="AL60" s="11">
        <f t="shared" si="22"/>
        <v>0</v>
      </c>
      <c r="AM60" s="79">
        <f t="shared" si="27"/>
        <v>0</v>
      </c>
      <c r="AN60" s="80">
        <f t="shared" si="23"/>
        <v>0</v>
      </c>
      <c r="AO60" s="2" t="str">
        <f t="shared" si="24"/>
        <v>SUPERVIA</v>
      </c>
      <c r="AP60" s="37">
        <f t="shared" si="25"/>
        <v>0</v>
      </c>
      <c r="AQ60" s="37">
        <f t="shared" si="25"/>
        <v>0</v>
      </c>
    </row>
    <row r="61" spans="2:43" x14ac:dyDescent="0.25">
      <c r="B61" s="2" t="s">
        <v>31</v>
      </c>
      <c r="C61" s="2">
        <v>2026</v>
      </c>
      <c r="D61" s="1"/>
      <c r="E61" s="11"/>
      <c r="F61" s="1"/>
      <c r="G61" s="11"/>
      <c r="H61" s="1"/>
      <c r="I61" s="11"/>
      <c r="J61" s="1"/>
      <c r="K61" s="11"/>
      <c r="L61" s="8"/>
      <c r="M61" s="11"/>
      <c r="N61" s="8"/>
      <c r="O61" s="11"/>
      <c r="P61" s="8"/>
      <c r="Q61" s="11"/>
      <c r="R61" s="8"/>
      <c r="S61" s="11"/>
      <c r="T61" s="53">
        <f t="shared" si="26"/>
        <v>0</v>
      </c>
      <c r="U61" s="54">
        <f t="shared" si="20"/>
        <v>0</v>
      </c>
      <c r="V61" s="2" t="s">
        <v>58</v>
      </c>
      <c r="Y61" s="2" t="s">
        <v>31</v>
      </c>
      <c r="Z61" s="2">
        <v>2026</v>
      </c>
      <c r="AA61" s="1">
        <f t="shared" si="21"/>
        <v>0</v>
      </c>
      <c r="AB61" s="11">
        <f t="shared" si="21"/>
        <v>0</v>
      </c>
      <c r="AC61" s="1">
        <f t="shared" si="22"/>
        <v>0</v>
      </c>
      <c r="AD61" s="11">
        <f t="shared" si="22"/>
        <v>0</v>
      </c>
      <c r="AE61" s="8">
        <f t="shared" si="22"/>
        <v>0</v>
      </c>
      <c r="AF61" s="11">
        <f t="shared" si="22"/>
        <v>0</v>
      </c>
      <c r="AG61" s="8">
        <f t="shared" si="22"/>
        <v>0</v>
      </c>
      <c r="AH61" s="11">
        <f t="shared" si="22"/>
        <v>0</v>
      </c>
      <c r="AI61" s="8">
        <f t="shared" si="22"/>
        <v>0</v>
      </c>
      <c r="AJ61" s="11">
        <f t="shared" si="22"/>
        <v>0</v>
      </c>
      <c r="AK61" s="11">
        <f t="shared" si="22"/>
        <v>0</v>
      </c>
      <c r="AL61" s="11">
        <f t="shared" si="22"/>
        <v>0</v>
      </c>
      <c r="AM61" s="8">
        <f t="shared" si="27"/>
        <v>0</v>
      </c>
      <c r="AN61" s="11">
        <f t="shared" si="23"/>
        <v>0</v>
      </c>
      <c r="AO61" s="2" t="str">
        <f t="shared" si="24"/>
        <v>SUPERVIA</v>
      </c>
      <c r="AP61" s="37">
        <f t="shared" si="25"/>
        <v>0</v>
      </c>
      <c r="AQ61" s="37">
        <f t="shared" si="25"/>
        <v>0</v>
      </c>
    </row>
    <row r="62" spans="2:43" x14ac:dyDescent="0.25"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28">SUM(D50:D62)</f>
        <v>1497307</v>
      </c>
      <c r="E63" s="12">
        <f t="shared" si="28"/>
        <v>80138778</v>
      </c>
      <c r="F63" s="4">
        <f t="shared" si="28"/>
        <v>1245776</v>
      </c>
      <c r="G63" s="12">
        <f t="shared" si="28"/>
        <v>66985048</v>
      </c>
      <c r="H63" s="4">
        <f t="shared" si="28"/>
        <v>131703</v>
      </c>
      <c r="I63" s="12">
        <f t="shared" si="28"/>
        <v>7477077</v>
      </c>
      <c r="J63" s="4">
        <f t="shared" si="28"/>
        <v>12259815</v>
      </c>
      <c r="K63" s="12">
        <f t="shared" si="28"/>
        <v>647215835</v>
      </c>
      <c r="L63" s="4">
        <f t="shared" si="28"/>
        <v>49616</v>
      </c>
      <c r="M63" s="12">
        <f>SUM(M50:M62)</f>
        <v>2566133</v>
      </c>
      <c r="N63" s="4">
        <f t="shared" si="28"/>
        <v>196354</v>
      </c>
      <c r="O63" s="12">
        <f t="shared" si="28"/>
        <v>10271470</v>
      </c>
      <c r="P63" s="4">
        <f>SUM(P50:P62)</f>
        <v>94</v>
      </c>
      <c r="Q63" s="12">
        <f>SUM(Q50:Q62)</f>
        <v>4701</v>
      </c>
      <c r="R63" s="4">
        <f>SUM(R50:R62)</f>
        <v>161995</v>
      </c>
      <c r="S63" s="12">
        <f>SUM(S50:S62)</f>
        <v>8614232</v>
      </c>
      <c r="T63" s="4">
        <f t="shared" ref="T63:U63" si="29">SUM(T50:T62)</f>
        <v>15542660</v>
      </c>
      <c r="U63" s="12">
        <f t="shared" si="29"/>
        <v>823273274</v>
      </c>
      <c r="Y63" s="3" t="s">
        <v>12</v>
      </c>
      <c r="Z63" s="3"/>
      <c r="AA63" s="4">
        <f t="shared" ref="AA63:AN63" si="30">SUM(AA50:AA62)</f>
        <v>2874786</v>
      </c>
      <c r="AB63" s="12">
        <f t="shared" si="30"/>
        <v>154600903</v>
      </c>
      <c r="AC63" s="4">
        <f t="shared" si="30"/>
        <v>12259815</v>
      </c>
      <c r="AD63" s="12">
        <f t="shared" si="30"/>
        <v>647215835</v>
      </c>
      <c r="AE63" s="4">
        <f t="shared" si="30"/>
        <v>49616</v>
      </c>
      <c r="AF63" s="12">
        <f t="shared" si="30"/>
        <v>2566133</v>
      </c>
      <c r="AG63" s="4">
        <f t="shared" si="30"/>
        <v>196354</v>
      </c>
      <c r="AH63" s="12">
        <f t="shared" si="30"/>
        <v>10271470</v>
      </c>
      <c r="AI63" s="4">
        <f t="shared" si="30"/>
        <v>94</v>
      </c>
      <c r="AJ63" s="12">
        <f t="shared" si="30"/>
        <v>4701</v>
      </c>
      <c r="AK63" s="4">
        <f t="shared" si="30"/>
        <v>161995</v>
      </c>
      <c r="AL63" s="12">
        <f t="shared" si="30"/>
        <v>8614232</v>
      </c>
      <c r="AM63" s="4">
        <f t="shared" si="30"/>
        <v>15542660</v>
      </c>
      <c r="AN63" s="12">
        <f t="shared" si="30"/>
        <v>823273274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8203.5</v>
      </c>
      <c r="M64" s="60">
        <f>AVERAGE(M50:M51)</f>
        <v>418158.5</v>
      </c>
      <c r="T64" s="15">
        <f>AVERAGE(T50:T51)</f>
        <v>2502564</v>
      </c>
      <c r="U64" s="28">
        <f>AVERAGE(U50:U51)</f>
        <v>130229028.5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5.4261694359191447E-2</v>
      </c>
      <c r="M65" s="36">
        <f>+M64/$M$371</f>
        <v>1.5046149069824141E-2</v>
      </c>
      <c r="N65" s="18"/>
      <c r="O65" s="19"/>
      <c r="P65" s="19"/>
      <c r="Q65" s="19"/>
      <c r="R65" s="19"/>
      <c r="S65" s="19"/>
      <c r="T65" s="36">
        <f>+L64/T64</f>
        <v>3.2780380441818869E-3</v>
      </c>
      <c r="U65" s="62">
        <f>+M64/U64</f>
        <v>3.2109469356903018E-3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0"/>
      <c r="F68" s="89" t="s">
        <v>71</v>
      </c>
      <c r="G68" s="90"/>
      <c r="H68" s="89" t="s">
        <v>16</v>
      </c>
      <c r="I68" s="90"/>
      <c r="J68" s="89" t="s">
        <v>17</v>
      </c>
      <c r="K68" s="93"/>
      <c r="L68" s="89" t="s">
        <v>18</v>
      </c>
      <c r="M68" s="93"/>
      <c r="N68" s="89" t="s">
        <v>13</v>
      </c>
      <c r="O68" s="93"/>
      <c r="P68" s="89" t="s">
        <v>34</v>
      </c>
      <c r="Q68" s="93"/>
      <c r="R68" s="89" t="s">
        <v>87</v>
      </c>
      <c r="S68" s="93"/>
      <c r="T68" s="89" t="s">
        <v>12</v>
      </c>
      <c r="U68" s="93"/>
      <c r="AA68" s="89" t="s">
        <v>69</v>
      </c>
      <c r="AB68" s="90"/>
      <c r="AC68" s="89" t="s">
        <v>17</v>
      </c>
      <c r="AD68" s="93"/>
      <c r="AE68" s="89" t="s">
        <v>18</v>
      </c>
      <c r="AF68" s="93"/>
      <c r="AG68" s="89" t="s">
        <v>13</v>
      </c>
      <c r="AH68" s="93"/>
      <c r="AI68" s="89" t="s">
        <v>34</v>
      </c>
      <c r="AJ68" s="93"/>
      <c r="AK68" s="89" t="s">
        <v>87</v>
      </c>
      <c r="AL68" s="93"/>
      <c r="AM68" s="89" t="s">
        <v>12</v>
      </c>
      <c r="AN68" s="93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2026</v>
      </c>
      <c r="D71" s="1">
        <v>595908</v>
      </c>
      <c r="E71" s="11">
        <v>51240436</v>
      </c>
      <c r="F71" s="1">
        <v>318511</v>
      </c>
      <c r="G71" s="11">
        <v>28628372</v>
      </c>
      <c r="H71" s="1">
        <v>163593</v>
      </c>
      <c r="I71" s="11">
        <v>28608193</v>
      </c>
      <c r="J71" s="1">
        <v>3333929</v>
      </c>
      <c r="K71" s="11">
        <v>527371459</v>
      </c>
      <c r="L71" s="8">
        <v>70791</v>
      </c>
      <c r="M71" s="11">
        <v>14870796</v>
      </c>
      <c r="N71" s="8">
        <v>146699</v>
      </c>
      <c r="O71" s="11">
        <v>34242315</v>
      </c>
      <c r="P71" s="8">
        <v>384</v>
      </c>
      <c r="Q71" s="11">
        <v>131593</v>
      </c>
      <c r="R71" s="8">
        <v>59099</v>
      </c>
      <c r="S71" s="11">
        <v>7365304</v>
      </c>
      <c r="T71" s="53">
        <f>N71+L71+J71+H71+D71+P71+F71+R71</f>
        <v>4688914</v>
      </c>
      <c r="U71" s="54">
        <f t="shared" ref="U71:U82" si="31">O71+M71+K71+I71+E71+Q71+G71+S71</f>
        <v>692458468</v>
      </c>
      <c r="V71" s="2" t="s">
        <v>59</v>
      </c>
      <c r="Y71" s="2" t="s">
        <v>5</v>
      </c>
      <c r="Z71" s="2">
        <v>2026</v>
      </c>
      <c r="AA71" s="1">
        <f t="shared" ref="AA71:AB82" si="32">D71+H71+F71</f>
        <v>1078012</v>
      </c>
      <c r="AB71" s="11">
        <f t="shared" si="32"/>
        <v>108477001</v>
      </c>
      <c r="AC71" s="1">
        <f t="shared" ref="AC71:AL82" si="33">+J71</f>
        <v>3333929</v>
      </c>
      <c r="AD71" s="11">
        <f t="shared" si="33"/>
        <v>527371459</v>
      </c>
      <c r="AE71" s="8">
        <f t="shared" si="33"/>
        <v>70791</v>
      </c>
      <c r="AF71" s="11">
        <f t="shared" si="33"/>
        <v>14870796</v>
      </c>
      <c r="AG71" s="8">
        <f t="shared" si="33"/>
        <v>146699</v>
      </c>
      <c r="AH71" s="11">
        <f t="shared" si="33"/>
        <v>34242315</v>
      </c>
      <c r="AI71" s="8">
        <f t="shared" si="33"/>
        <v>384</v>
      </c>
      <c r="AJ71" s="11">
        <f t="shared" si="33"/>
        <v>131593</v>
      </c>
      <c r="AK71" s="11">
        <f t="shared" si="33"/>
        <v>59099</v>
      </c>
      <c r="AL71" s="11">
        <f t="shared" si="33"/>
        <v>7365304</v>
      </c>
      <c r="AM71" s="8">
        <f>AI71+AG71+AE71+AC71+AA71+AK71</f>
        <v>4688914</v>
      </c>
      <c r="AN71" s="11">
        <f t="shared" ref="AN71:AN82" si="34">AJ71+AH71+AF71+AD71+AB71+AL71</f>
        <v>692458468</v>
      </c>
      <c r="AO71" s="2" t="str">
        <f t="shared" ref="AO71:AO82" si="35">+V71</f>
        <v>CONMEX</v>
      </c>
      <c r="AP71" s="37">
        <f t="shared" ref="AP71:AQ82" si="36">+AM71-T71</f>
        <v>0</v>
      </c>
      <c r="AQ71" s="37">
        <f t="shared" si="36"/>
        <v>0</v>
      </c>
    </row>
    <row r="72" spans="1:43" x14ac:dyDescent="0.25">
      <c r="B72" s="2" t="s">
        <v>6</v>
      </c>
      <c r="C72" s="2">
        <v>2026</v>
      </c>
      <c r="D72" s="1">
        <v>528241</v>
      </c>
      <c r="E72" s="11">
        <v>46404084</v>
      </c>
      <c r="F72" s="1">
        <v>277393</v>
      </c>
      <c r="G72" s="11">
        <v>25238588</v>
      </c>
      <c r="H72" s="1">
        <v>149334</v>
      </c>
      <c r="I72" s="11">
        <v>25562431</v>
      </c>
      <c r="J72" s="1">
        <v>3086310</v>
      </c>
      <c r="K72" s="11">
        <v>496018054</v>
      </c>
      <c r="L72" s="8">
        <v>67559</v>
      </c>
      <c r="M72" s="11">
        <v>14400583</v>
      </c>
      <c r="N72" s="8">
        <v>138237</v>
      </c>
      <c r="O72" s="11">
        <v>32103742</v>
      </c>
      <c r="P72" s="8">
        <v>514</v>
      </c>
      <c r="Q72" s="11">
        <v>152398</v>
      </c>
      <c r="R72" s="8">
        <v>51331</v>
      </c>
      <c r="S72" s="11">
        <v>6733488</v>
      </c>
      <c r="T72" s="53">
        <f t="shared" ref="T72:T82" si="37">N72+L72+J72+H72+D72+P72+F72+R72</f>
        <v>4298919</v>
      </c>
      <c r="U72" s="54">
        <f t="shared" si="31"/>
        <v>646613368</v>
      </c>
      <c r="V72" s="2" t="s">
        <v>59</v>
      </c>
      <c r="Y72" s="2" t="s">
        <v>6</v>
      </c>
      <c r="Z72" s="2">
        <v>2026</v>
      </c>
      <c r="AA72" s="1">
        <f t="shared" si="32"/>
        <v>954968</v>
      </c>
      <c r="AB72" s="11">
        <f t="shared" si="32"/>
        <v>97205103</v>
      </c>
      <c r="AC72" s="1">
        <f t="shared" si="33"/>
        <v>3086310</v>
      </c>
      <c r="AD72" s="11">
        <f t="shared" si="33"/>
        <v>496018054</v>
      </c>
      <c r="AE72" s="8">
        <f t="shared" si="33"/>
        <v>67559</v>
      </c>
      <c r="AF72" s="11">
        <f t="shared" si="33"/>
        <v>14400583</v>
      </c>
      <c r="AG72" s="8">
        <f t="shared" si="33"/>
        <v>138237</v>
      </c>
      <c r="AH72" s="11">
        <f t="shared" si="33"/>
        <v>32103742</v>
      </c>
      <c r="AI72" s="8">
        <f t="shared" si="33"/>
        <v>514</v>
      </c>
      <c r="AJ72" s="11">
        <f t="shared" si="33"/>
        <v>152398</v>
      </c>
      <c r="AK72" s="11">
        <f t="shared" si="33"/>
        <v>51331</v>
      </c>
      <c r="AL72" s="11">
        <f t="shared" si="33"/>
        <v>6733488</v>
      </c>
      <c r="AM72" s="8">
        <f t="shared" ref="AM72:AM82" si="38">AI72+AG72+AE72+AC72+AA72+AK72</f>
        <v>4298919</v>
      </c>
      <c r="AN72" s="11">
        <f t="shared" si="34"/>
        <v>646613368</v>
      </c>
      <c r="AO72" s="2" t="str">
        <f t="shared" si="35"/>
        <v>CONMEX</v>
      </c>
      <c r="AP72" s="37">
        <f t="shared" si="36"/>
        <v>0</v>
      </c>
      <c r="AQ72" s="37">
        <f t="shared" si="36"/>
        <v>0</v>
      </c>
    </row>
    <row r="73" spans="1:43" x14ac:dyDescent="0.25">
      <c r="B73" s="2" t="s">
        <v>7</v>
      </c>
      <c r="C73" s="2">
        <v>2026</v>
      </c>
      <c r="D73" s="1">
        <v>600590</v>
      </c>
      <c r="E73" s="11">
        <v>52602380</v>
      </c>
      <c r="F73" s="1">
        <v>318949</v>
      </c>
      <c r="G73" s="11">
        <v>28224583</v>
      </c>
      <c r="H73" s="1">
        <v>177422</v>
      </c>
      <c r="I73" s="11">
        <v>30393109</v>
      </c>
      <c r="J73" s="1">
        <v>3409058</v>
      </c>
      <c r="K73" s="11">
        <v>525357724</v>
      </c>
      <c r="L73" s="8">
        <v>74357</v>
      </c>
      <c r="M73" s="11">
        <v>15769240</v>
      </c>
      <c r="N73" s="8">
        <v>148168</v>
      </c>
      <c r="O73" s="11">
        <v>33648194</v>
      </c>
      <c r="P73" s="8">
        <v>548</v>
      </c>
      <c r="Q73" s="11">
        <v>157930</v>
      </c>
      <c r="R73" s="8">
        <v>54863</v>
      </c>
      <c r="S73" s="11">
        <v>6912856</v>
      </c>
      <c r="T73" s="53">
        <f t="shared" si="37"/>
        <v>4783955</v>
      </c>
      <c r="U73" s="54">
        <f t="shared" si="31"/>
        <v>693066016</v>
      </c>
      <c r="V73" s="2" t="s">
        <v>59</v>
      </c>
      <c r="X73" s="13"/>
      <c r="Y73" s="2" t="s">
        <v>7</v>
      </c>
      <c r="Z73" s="2">
        <v>2026</v>
      </c>
      <c r="AA73" s="1">
        <f t="shared" si="32"/>
        <v>1096961</v>
      </c>
      <c r="AB73" s="11">
        <f t="shared" si="32"/>
        <v>111220072</v>
      </c>
      <c r="AC73" s="1">
        <f t="shared" si="33"/>
        <v>3409058</v>
      </c>
      <c r="AD73" s="11">
        <f t="shared" si="33"/>
        <v>525357724</v>
      </c>
      <c r="AE73" s="8">
        <f t="shared" si="33"/>
        <v>74357</v>
      </c>
      <c r="AF73" s="11">
        <f t="shared" si="33"/>
        <v>15769240</v>
      </c>
      <c r="AG73" s="8">
        <f t="shared" si="33"/>
        <v>148168</v>
      </c>
      <c r="AH73" s="11">
        <f t="shared" si="33"/>
        <v>33648194</v>
      </c>
      <c r="AI73" s="8">
        <f t="shared" si="33"/>
        <v>548</v>
      </c>
      <c r="AJ73" s="11">
        <f t="shared" si="33"/>
        <v>157930</v>
      </c>
      <c r="AK73" s="11">
        <f t="shared" si="33"/>
        <v>54863</v>
      </c>
      <c r="AL73" s="11">
        <f t="shared" si="33"/>
        <v>6912856</v>
      </c>
      <c r="AM73" s="8">
        <f t="shared" si="38"/>
        <v>4783955</v>
      </c>
      <c r="AN73" s="11">
        <f t="shared" si="34"/>
        <v>693066016</v>
      </c>
      <c r="AO73" s="2" t="str">
        <f t="shared" si="35"/>
        <v>CONMEX</v>
      </c>
      <c r="AP73" s="37">
        <f t="shared" si="36"/>
        <v>0</v>
      </c>
      <c r="AQ73" s="37">
        <f t="shared" si="36"/>
        <v>0</v>
      </c>
    </row>
    <row r="74" spans="1:43" x14ac:dyDescent="0.25">
      <c r="B74" s="2" t="s">
        <v>8</v>
      </c>
      <c r="C74" s="2">
        <v>2026</v>
      </c>
      <c r="D74" s="1">
        <v>639415</v>
      </c>
      <c r="E74" s="11">
        <v>57985239</v>
      </c>
      <c r="F74" s="1">
        <v>294116</v>
      </c>
      <c r="G74" s="11">
        <v>26646258</v>
      </c>
      <c r="H74" s="1">
        <v>173904</v>
      </c>
      <c r="I74" s="11">
        <v>30509796</v>
      </c>
      <c r="J74" s="1">
        <v>3671903</v>
      </c>
      <c r="K74" s="11">
        <v>607963690</v>
      </c>
      <c r="L74" s="8">
        <v>81551</v>
      </c>
      <c r="M74" s="11">
        <v>18107693</v>
      </c>
      <c r="N74" s="8">
        <v>157647</v>
      </c>
      <c r="O74" s="11">
        <v>38092490</v>
      </c>
      <c r="P74" s="8">
        <v>587</v>
      </c>
      <c r="Q74" s="11">
        <v>167591</v>
      </c>
      <c r="R74" s="8">
        <v>63574</v>
      </c>
      <c r="S74" s="11">
        <v>8688659</v>
      </c>
      <c r="T74" s="53">
        <f t="shared" si="37"/>
        <v>5082697</v>
      </c>
      <c r="U74" s="54">
        <f t="shared" si="31"/>
        <v>788161416</v>
      </c>
      <c r="V74" s="2" t="s">
        <v>59</v>
      </c>
      <c r="X74" s="13"/>
      <c r="Y74" s="2" t="s">
        <v>8</v>
      </c>
      <c r="Z74" s="2">
        <v>2026</v>
      </c>
      <c r="AA74" s="1">
        <f t="shared" si="32"/>
        <v>1107435</v>
      </c>
      <c r="AB74" s="11">
        <f t="shared" si="32"/>
        <v>115141293</v>
      </c>
      <c r="AC74" s="1">
        <f t="shared" si="33"/>
        <v>3671903</v>
      </c>
      <c r="AD74" s="11">
        <f t="shared" si="33"/>
        <v>607963690</v>
      </c>
      <c r="AE74" s="8">
        <f t="shared" si="33"/>
        <v>81551</v>
      </c>
      <c r="AF74" s="11">
        <f t="shared" si="33"/>
        <v>18107693</v>
      </c>
      <c r="AG74" s="8">
        <f t="shared" si="33"/>
        <v>157647</v>
      </c>
      <c r="AH74" s="11">
        <f t="shared" si="33"/>
        <v>38092490</v>
      </c>
      <c r="AI74" s="8">
        <f t="shared" si="33"/>
        <v>587</v>
      </c>
      <c r="AJ74" s="11">
        <f t="shared" si="33"/>
        <v>167591</v>
      </c>
      <c r="AK74" s="11">
        <f t="shared" si="33"/>
        <v>63574</v>
      </c>
      <c r="AL74" s="11">
        <f t="shared" si="33"/>
        <v>8688659</v>
      </c>
      <c r="AM74" s="8">
        <f t="shared" si="38"/>
        <v>5082697</v>
      </c>
      <c r="AN74" s="11">
        <f t="shared" si="34"/>
        <v>788161416</v>
      </c>
      <c r="AO74" s="2" t="str">
        <f t="shared" si="35"/>
        <v>CONMEX</v>
      </c>
      <c r="AP74" s="37">
        <f t="shared" si="36"/>
        <v>0</v>
      </c>
      <c r="AQ74" s="37">
        <f t="shared" si="36"/>
        <v>0</v>
      </c>
    </row>
    <row r="75" spans="1:43" x14ac:dyDescent="0.25">
      <c r="B75" s="2" t="s">
        <v>9</v>
      </c>
      <c r="C75" s="2">
        <v>2026</v>
      </c>
      <c r="D75" s="1">
        <v>610096</v>
      </c>
      <c r="E75" s="11">
        <v>53928856</v>
      </c>
      <c r="F75" s="1">
        <v>314527</v>
      </c>
      <c r="G75" s="11">
        <v>27227588</v>
      </c>
      <c r="H75" s="1">
        <v>175326</v>
      </c>
      <c r="I75" s="11">
        <v>29393119</v>
      </c>
      <c r="J75" s="1">
        <v>3659213</v>
      </c>
      <c r="K75" s="11">
        <v>583680857</v>
      </c>
      <c r="L75" s="1">
        <v>75035</v>
      </c>
      <c r="M75" s="11">
        <v>16615086</v>
      </c>
      <c r="N75" s="1">
        <v>157465</v>
      </c>
      <c r="O75" s="11">
        <v>36834997</v>
      </c>
      <c r="P75" s="1">
        <v>1388</v>
      </c>
      <c r="Q75" s="11">
        <v>317142</v>
      </c>
      <c r="R75" s="1">
        <v>61015</v>
      </c>
      <c r="S75" s="11">
        <v>8161872</v>
      </c>
      <c r="T75" s="53">
        <f t="shared" si="37"/>
        <v>5054065</v>
      </c>
      <c r="U75" s="54">
        <f t="shared" si="31"/>
        <v>756159517</v>
      </c>
      <c r="V75" s="2" t="s">
        <v>59</v>
      </c>
      <c r="X75" s="13"/>
      <c r="Y75" s="2" t="s">
        <v>9</v>
      </c>
      <c r="Z75" s="2">
        <v>2026</v>
      </c>
      <c r="AA75" s="1">
        <f t="shared" si="32"/>
        <v>1099949</v>
      </c>
      <c r="AB75" s="11">
        <f t="shared" si="32"/>
        <v>110549563</v>
      </c>
      <c r="AC75" s="1">
        <f t="shared" si="33"/>
        <v>3659213</v>
      </c>
      <c r="AD75" s="11">
        <f t="shared" si="33"/>
        <v>583680857</v>
      </c>
      <c r="AE75" s="8">
        <f t="shared" si="33"/>
        <v>75035</v>
      </c>
      <c r="AF75" s="11">
        <f t="shared" si="33"/>
        <v>16615086</v>
      </c>
      <c r="AG75" s="8">
        <f t="shared" si="33"/>
        <v>157465</v>
      </c>
      <c r="AH75" s="11">
        <f t="shared" si="33"/>
        <v>36834997</v>
      </c>
      <c r="AI75" s="8">
        <f t="shared" si="33"/>
        <v>1388</v>
      </c>
      <c r="AJ75" s="11">
        <f t="shared" si="33"/>
        <v>317142</v>
      </c>
      <c r="AK75" s="11">
        <f t="shared" si="33"/>
        <v>61015</v>
      </c>
      <c r="AL75" s="11">
        <f t="shared" si="33"/>
        <v>8161872</v>
      </c>
      <c r="AM75" s="8">
        <f t="shared" si="38"/>
        <v>5054065</v>
      </c>
      <c r="AN75" s="11">
        <f t="shared" si="34"/>
        <v>756159517</v>
      </c>
      <c r="AO75" s="2" t="str">
        <f t="shared" si="35"/>
        <v>CONMEX</v>
      </c>
      <c r="AP75" s="37">
        <f t="shared" si="36"/>
        <v>0</v>
      </c>
      <c r="AQ75" s="37">
        <f t="shared" si="36"/>
        <v>0</v>
      </c>
    </row>
    <row r="76" spans="1:43" x14ac:dyDescent="0.25">
      <c r="B76" s="2" t="s">
        <v>10</v>
      </c>
      <c r="C76" s="2">
        <v>2026</v>
      </c>
      <c r="D76" s="1">
        <v>578360</v>
      </c>
      <c r="E76" s="11">
        <v>51432105</v>
      </c>
      <c r="F76" s="1">
        <v>268656</v>
      </c>
      <c r="G76" s="11">
        <v>23817317</v>
      </c>
      <c r="H76" s="1">
        <v>170653</v>
      </c>
      <c r="I76" s="11">
        <v>28531346</v>
      </c>
      <c r="J76" s="1">
        <v>3603193</v>
      </c>
      <c r="K76" s="11">
        <v>572649580</v>
      </c>
      <c r="L76" s="8">
        <v>78515</v>
      </c>
      <c r="M76" s="11">
        <v>17129910</v>
      </c>
      <c r="N76" s="8">
        <v>160989</v>
      </c>
      <c r="O76" s="11">
        <v>37171943</v>
      </c>
      <c r="P76" s="8">
        <v>2506</v>
      </c>
      <c r="Q76" s="11">
        <v>535016</v>
      </c>
      <c r="R76" s="8">
        <v>54547</v>
      </c>
      <c r="S76" s="11">
        <v>7109743</v>
      </c>
      <c r="T76" s="53">
        <f t="shared" si="37"/>
        <v>4917419</v>
      </c>
      <c r="U76" s="54">
        <f t="shared" si="31"/>
        <v>738376960</v>
      </c>
      <c r="V76" s="2" t="s">
        <v>59</v>
      </c>
      <c r="Y76" s="2" t="s">
        <v>10</v>
      </c>
      <c r="Z76" s="2">
        <v>2026</v>
      </c>
      <c r="AA76" s="1">
        <f t="shared" si="32"/>
        <v>1017669</v>
      </c>
      <c r="AB76" s="11">
        <f t="shared" si="32"/>
        <v>103780768</v>
      </c>
      <c r="AC76" s="1">
        <f t="shared" si="33"/>
        <v>3603193</v>
      </c>
      <c r="AD76" s="11">
        <f t="shared" si="33"/>
        <v>572649580</v>
      </c>
      <c r="AE76" s="8">
        <f t="shared" si="33"/>
        <v>78515</v>
      </c>
      <c r="AF76" s="11">
        <f t="shared" si="33"/>
        <v>17129910</v>
      </c>
      <c r="AG76" s="8">
        <f t="shared" si="33"/>
        <v>160989</v>
      </c>
      <c r="AH76" s="11">
        <f t="shared" si="33"/>
        <v>37171943</v>
      </c>
      <c r="AI76" s="8">
        <f t="shared" si="33"/>
        <v>2506</v>
      </c>
      <c r="AJ76" s="11">
        <f t="shared" si="33"/>
        <v>535016</v>
      </c>
      <c r="AK76" s="11">
        <f t="shared" si="33"/>
        <v>54547</v>
      </c>
      <c r="AL76" s="11">
        <f t="shared" si="33"/>
        <v>7109743</v>
      </c>
      <c r="AM76" s="8">
        <f t="shared" si="38"/>
        <v>4917419</v>
      </c>
      <c r="AN76" s="11">
        <f t="shared" si="34"/>
        <v>738376960</v>
      </c>
      <c r="AO76" s="2" t="str">
        <f t="shared" si="35"/>
        <v>CONMEX</v>
      </c>
      <c r="AP76" s="37">
        <f t="shared" si="36"/>
        <v>0</v>
      </c>
      <c r="AQ76" s="37">
        <f t="shared" si="36"/>
        <v>0</v>
      </c>
    </row>
    <row r="77" spans="1:43" x14ac:dyDescent="0.25">
      <c r="B77" s="2" t="s">
        <v>11</v>
      </c>
      <c r="C77" s="2">
        <v>2026</v>
      </c>
      <c r="D77" s="1"/>
      <c r="E77" s="11"/>
      <c r="F77" s="1"/>
      <c r="G77" s="11"/>
      <c r="H77" s="1"/>
      <c r="I77" s="11"/>
      <c r="J77" s="1"/>
      <c r="K77" s="11"/>
      <c r="L77" s="8"/>
      <c r="M77" s="11"/>
      <c r="N77" s="8"/>
      <c r="O77" s="11"/>
      <c r="P77" s="8"/>
      <c r="Q77" s="11"/>
      <c r="R77" s="8"/>
      <c r="S77" s="11"/>
      <c r="T77" s="53">
        <f t="shared" si="37"/>
        <v>0</v>
      </c>
      <c r="U77" s="54">
        <f t="shared" si="31"/>
        <v>0</v>
      </c>
      <c r="V77" s="2" t="s">
        <v>59</v>
      </c>
      <c r="Y77" s="2" t="s">
        <v>11</v>
      </c>
      <c r="Z77" s="2">
        <v>2026</v>
      </c>
      <c r="AA77" s="1">
        <f t="shared" si="32"/>
        <v>0</v>
      </c>
      <c r="AB77" s="11">
        <f t="shared" si="32"/>
        <v>0</v>
      </c>
      <c r="AC77" s="1">
        <f t="shared" si="33"/>
        <v>0</v>
      </c>
      <c r="AD77" s="11">
        <f t="shared" si="33"/>
        <v>0</v>
      </c>
      <c r="AE77" s="8">
        <f t="shared" si="33"/>
        <v>0</v>
      </c>
      <c r="AF77" s="11">
        <f t="shared" si="33"/>
        <v>0</v>
      </c>
      <c r="AG77" s="8">
        <f t="shared" si="33"/>
        <v>0</v>
      </c>
      <c r="AH77" s="11">
        <f t="shared" si="33"/>
        <v>0</v>
      </c>
      <c r="AI77" s="8">
        <f t="shared" si="33"/>
        <v>0</v>
      </c>
      <c r="AJ77" s="11">
        <f t="shared" si="33"/>
        <v>0</v>
      </c>
      <c r="AK77" s="11">
        <f t="shared" si="33"/>
        <v>0</v>
      </c>
      <c r="AL77" s="11">
        <f t="shared" si="33"/>
        <v>0</v>
      </c>
      <c r="AM77" s="8">
        <f t="shared" si="38"/>
        <v>0</v>
      </c>
      <c r="AN77" s="11">
        <f t="shared" si="34"/>
        <v>0</v>
      </c>
      <c r="AO77" s="2" t="str">
        <f t="shared" si="35"/>
        <v>CONMEX</v>
      </c>
      <c r="AP77" s="37">
        <f t="shared" si="36"/>
        <v>0</v>
      </c>
      <c r="AQ77" s="37">
        <f t="shared" si="36"/>
        <v>0</v>
      </c>
    </row>
    <row r="78" spans="1:43" x14ac:dyDescent="0.25">
      <c r="B78" s="2" t="s">
        <v>4</v>
      </c>
      <c r="C78" s="2">
        <v>2026</v>
      </c>
      <c r="D78" s="1"/>
      <c r="E78" s="11"/>
      <c r="F78" s="1"/>
      <c r="G78" s="11"/>
      <c r="H78" s="1"/>
      <c r="I78" s="11"/>
      <c r="J78" s="1"/>
      <c r="K78" s="11"/>
      <c r="L78" s="8"/>
      <c r="M78" s="11"/>
      <c r="N78" s="8"/>
      <c r="O78" s="11"/>
      <c r="P78" s="8"/>
      <c r="Q78" s="11"/>
      <c r="R78" s="8"/>
      <c r="S78" s="11"/>
      <c r="T78" s="53">
        <f t="shared" si="37"/>
        <v>0</v>
      </c>
      <c r="U78" s="54">
        <f t="shared" si="31"/>
        <v>0</v>
      </c>
      <c r="V78" s="2" t="s">
        <v>59</v>
      </c>
      <c r="Y78" s="2" t="s">
        <v>4</v>
      </c>
      <c r="Z78" s="2">
        <v>2026</v>
      </c>
      <c r="AA78" s="1">
        <f t="shared" si="32"/>
        <v>0</v>
      </c>
      <c r="AB78" s="11">
        <f t="shared" si="32"/>
        <v>0</v>
      </c>
      <c r="AC78" s="1">
        <f t="shared" si="33"/>
        <v>0</v>
      </c>
      <c r="AD78" s="11">
        <f t="shared" si="33"/>
        <v>0</v>
      </c>
      <c r="AE78" s="8">
        <f t="shared" si="33"/>
        <v>0</v>
      </c>
      <c r="AF78" s="11">
        <f t="shared" si="33"/>
        <v>0</v>
      </c>
      <c r="AG78" s="8">
        <f t="shared" si="33"/>
        <v>0</v>
      </c>
      <c r="AH78" s="11">
        <f t="shared" si="33"/>
        <v>0</v>
      </c>
      <c r="AI78" s="8">
        <f t="shared" si="33"/>
        <v>0</v>
      </c>
      <c r="AJ78" s="11">
        <f t="shared" si="33"/>
        <v>0</v>
      </c>
      <c r="AK78" s="11">
        <f t="shared" si="33"/>
        <v>0</v>
      </c>
      <c r="AL78" s="11">
        <f t="shared" si="33"/>
        <v>0</v>
      </c>
      <c r="AM78" s="27">
        <f t="shared" si="38"/>
        <v>0</v>
      </c>
      <c r="AN78" s="14">
        <f t="shared" si="34"/>
        <v>0</v>
      </c>
      <c r="AO78" s="2" t="str">
        <f t="shared" si="35"/>
        <v>CONMEX</v>
      </c>
      <c r="AP78" s="37">
        <f t="shared" si="36"/>
        <v>0</v>
      </c>
      <c r="AQ78" s="37">
        <f t="shared" si="36"/>
        <v>0</v>
      </c>
    </row>
    <row r="79" spans="1:43" x14ac:dyDescent="0.25">
      <c r="B79" s="2" t="s">
        <v>28</v>
      </c>
      <c r="C79" s="2">
        <v>2026</v>
      </c>
      <c r="D79" s="1"/>
      <c r="E79" s="11"/>
      <c r="F79" s="1"/>
      <c r="G79" s="11"/>
      <c r="H79" s="1"/>
      <c r="I79" s="11"/>
      <c r="J79" s="1"/>
      <c r="K79" s="11"/>
      <c r="L79" s="8"/>
      <c r="M79" s="11"/>
      <c r="N79" s="8"/>
      <c r="O79" s="11"/>
      <c r="P79" s="8"/>
      <c r="Q79" s="11"/>
      <c r="R79" s="8"/>
      <c r="S79" s="11"/>
      <c r="T79" s="53">
        <f t="shared" si="37"/>
        <v>0</v>
      </c>
      <c r="U79" s="54">
        <f t="shared" si="31"/>
        <v>0</v>
      </c>
      <c r="V79" s="2" t="s">
        <v>59</v>
      </c>
      <c r="Y79" s="2" t="s">
        <v>28</v>
      </c>
      <c r="Z79" s="2">
        <v>2026</v>
      </c>
      <c r="AA79" s="1">
        <f t="shared" si="32"/>
        <v>0</v>
      </c>
      <c r="AB79" s="11">
        <f t="shared" si="32"/>
        <v>0</v>
      </c>
      <c r="AC79" s="1">
        <f t="shared" si="33"/>
        <v>0</v>
      </c>
      <c r="AD79" s="11">
        <f t="shared" si="33"/>
        <v>0</v>
      </c>
      <c r="AE79" s="8">
        <f t="shared" si="33"/>
        <v>0</v>
      </c>
      <c r="AF79" s="11">
        <f t="shared" si="33"/>
        <v>0</v>
      </c>
      <c r="AG79" s="8">
        <f t="shared" si="33"/>
        <v>0</v>
      </c>
      <c r="AH79" s="11">
        <f t="shared" si="33"/>
        <v>0</v>
      </c>
      <c r="AI79" s="8">
        <f t="shared" si="33"/>
        <v>0</v>
      </c>
      <c r="AJ79" s="11">
        <f t="shared" si="33"/>
        <v>0</v>
      </c>
      <c r="AK79" s="11">
        <f t="shared" si="33"/>
        <v>0</v>
      </c>
      <c r="AL79" s="11">
        <f t="shared" si="33"/>
        <v>0</v>
      </c>
      <c r="AM79" s="8">
        <f t="shared" si="38"/>
        <v>0</v>
      </c>
      <c r="AN79" s="11">
        <f t="shared" si="34"/>
        <v>0</v>
      </c>
      <c r="AO79" s="2" t="str">
        <f t="shared" si="35"/>
        <v>CONMEX</v>
      </c>
      <c r="AP79" s="37">
        <f t="shared" si="36"/>
        <v>0</v>
      </c>
      <c r="AQ79" s="37">
        <f t="shared" si="36"/>
        <v>0</v>
      </c>
    </row>
    <row r="80" spans="1:43" x14ac:dyDescent="0.25">
      <c r="B80" s="2" t="s">
        <v>29</v>
      </c>
      <c r="C80" s="2">
        <v>2026</v>
      </c>
      <c r="D80" s="1"/>
      <c r="E80" s="11"/>
      <c r="F80" s="1"/>
      <c r="G80" s="11"/>
      <c r="H80" s="1"/>
      <c r="I80" s="11"/>
      <c r="J80" s="1"/>
      <c r="K80" s="11"/>
      <c r="L80" s="8"/>
      <c r="M80" s="11"/>
      <c r="N80" s="8"/>
      <c r="O80" s="11"/>
      <c r="P80" s="8"/>
      <c r="Q80" s="11"/>
      <c r="R80" s="8"/>
      <c r="S80" s="11"/>
      <c r="T80" s="53">
        <f>N80+L80+J80+H80+D80+P80+F80+R80</f>
        <v>0</v>
      </c>
      <c r="U80" s="54">
        <f t="shared" si="31"/>
        <v>0</v>
      </c>
      <c r="V80" s="2" t="s">
        <v>59</v>
      </c>
      <c r="Y80" s="2" t="s">
        <v>29</v>
      </c>
      <c r="Z80" s="2">
        <v>2026</v>
      </c>
      <c r="AA80" s="1">
        <f t="shared" si="32"/>
        <v>0</v>
      </c>
      <c r="AB80" s="11">
        <f t="shared" si="32"/>
        <v>0</v>
      </c>
      <c r="AC80" s="1">
        <f t="shared" si="33"/>
        <v>0</v>
      </c>
      <c r="AD80" s="11">
        <f t="shared" si="33"/>
        <v>0</v>
      </c>
      <c r="AE80" s="8">
        <f t="shared" si="33"/>
        <v>0</v>
      </c>
      <c r="AF80" s="11">
        <f t="shared" si="33"/>
        <v>0</v>
      </c>
      <c r="AG80" s="8">
        <f t="shared" si="33"/>
        <v>0</v>
      </c>
      <c r="AH80" s="11">
        <f t="shared" si="33"/>
        <v>0</v>
      </c>
      <c r="AI80" s="8">
        <f t="shared" si="33"/>
        <v>0</v>
      </c>
      <c r="AJ80" s="11">
        <f t="shared" si="33"/>
        <v>0</v>
      </c>
      <c r="AK80" s="11">
        <f t="shared" si="33"/>
        <v>0</v>
      </c>
      <c r="AL80" s="11">
        <f t="shared" si="33"/>
        <v>0</v>
      </c>
      <c r="AM80" s="8">
        <f t="shared" si="38"/>
        <v>0</v>
      </c>
      <c r="AN80" s="11">
        <f t="shared" si="34"/>
        <v>0</v>
      </c>
      <c r="AO80" s="2" t="str">
        <f t="shared" si="35"/>
        <v>CONMEX</v>
      </c>
      <c r="AP80" s="37">
        <f t="shared" si="36"/>
        <v>0</v>
      </c>
      <c r="AQ80" s="37">
        <f t="shared" si="36"/>
        <v>0</v>
      </c>
    </row>
    <row r="81" spans="1:43" x14ac:dyDescent="0.25">
      <c r="B81" s="2" t="s">
        <v>30</v>
      </c>
      <c r="C81" s="2">
        <v>2026</v>
      </c>
      <c r="D81" s="1"/>
      <c r="E81" s="11"/>
      <c r="F81" s="1"/>
      <c r="G81" s="11"/>
      <c r="H81" s="1"/>
      <c r="I81" s="11"/>
      <c r="J81" s="1"/>
      <c r="K81" s="11"/>
      <c r="L81" s="8"/>
      <c r="M81" s="11"/>
      <c r="N81" s="8"/>
      <c r="O81" s="11"/>
      <c r="P81" s="8"/>
      <c r="Q81" s="11"/>
      <c r="R81" s="8"/>
      <c r="S81" s="11"/>
      <c r="T81" s="53">
        <f t="shared" si="37"/>
        <v>0</v>
      </c>
      <c r="U81" s="54">
        <f t="shared" si="31"/>
        <v>0</v>
      </c>
      <c r="V81" s="2" t="s">
        <v>59</v>
      </c>
      <c r="Y81" s="2" t="s">
        <v>30</v>
      </c>
      <c r="Z81" s="2">
        <v>2026</v>
      </c>
      <c r="AA81" s="1">
        <f t="shared" si="32"/>
        <v>0</v>
      </c>
      <c r="AB81" s="11">
        <f t="shared" si="32"/>
        <v>0</v>
      </c>
      <c r="AC81" s="1">
        <f t="shared" si="33"/>
        <v>0</v>
      </c>
      <c r="AD81" s="11">
        <f t="shared" si="33"/>
        <v>0</v>
      </c>
      <c r="AE81" s="8">
        <f t="shared" si="33"/>
        <v>0</v>
      </c>
      <c r="AF81" s="11">
        <f t="shared" si="33"/>
        <v>0</v>
      </c>
      <c r="AG81" s="8">
        <f t="shared" si="33"/>
        <v>0</v>
      </c>
      <c r="AH81" s="11">
        <f t="shared" si="33"/>
        <v>0</v>
      </c>
      <c r="AI81" s="8">
        <f t="shared" si="33"/>
        <v>0</v>
      </c>
      <c r="AJ81" s="11">
        <f t="shared" si="33"/>
        <v>0</v>
      </c>
      <c r="AK81" s="11">
        <f t="shared" si="33"/>
        <v>0</v>
      </c>
      <c r="AL81" s="11">
        <f t="shared" si="33"/>
        <v>0</v>
      </c>
      <c r="AM81" s="79">
        <f t="shared" si="38"/>
        <v>0</v>
      </c>
      <c r="AN81" s="80">
        <f t="shared" si="34"/>
        <v>0</v>
      </c>
      <c r="AO81" s="2" t="str">
        <f t="shared" si="35"/>
        <v>CONMEX</v>
      </c>
      <c r="AP81" s="37">
        <f t="shared" si="36"/>
        <v>0</v>
      </c>
      <c r="AQ81" s="37">
        <f t="shared" si="36"/>
        <v>0</v>
      </c>
    </row>
    <row r="82" spans="1:43" x14ac:dyDescent="0.25">
      <c r="B82" s="2" t="s">
        <v>31</v>
      </c>
      <c r="C82" s="2">
        <v>2026</v>
      </c>
      <c r="D82" s="1"/>
      <c r="E82" s="11"/>
      <c r="F82" s="1"/>
      <c r="G82" s="11"/>
      <c r="H82" s="1"/>
      <c r="I82" s="11"/>
      <c r="J82" s="1"/>
      <c r="K82" s="11"/>
      <c r="L82" s="8"/>
      <c r="M82" s="11"/>
      <c r="N82" s="8"/>
      <c r="O82" s="11"/>
      <c r="P82" s="8"/>
      <c r="Q82" s="11"/>
      <c r="R82" s="11"/>
      <c r="S82" s="11"/>
      <c r="T82" s="53">
        <f t="shared" si="37"/>
        <v>0</v>
      </c>
      <c r="U82" s="54">
        <f t="shared" si="31"/>
        <v>0</v>
      </c>
      <c r="V82" s="2" t="s">
        <v>59</v>
      </c>
      <c r="W82" s="13"/>
      <c r="Y82" s="2" t="s">
        <v>31</v>
      </c>
      <c r="Z82" s="2">
        <v>2026</v>
      </c>
      <c r="AA82" s="1">
        <f t="shared" si="32"/>
        <v>0</v>
      </c>
      <c r="AB82" s="11">
        <f t="shared" si="32"/>
        <v>0</v>
      </c>
      <c r="AC82" s="1">
        <f t="shared" si="33"/>
        <v>0</v>
      </c>
      <c r="AD82" s="11">
        <f t="shared" si="33"/>
        <v>0</v>
      </c>
      <c r="AE82" s="8">
        <f t="shared" si="33"/>
        <v>0</v>
      </c>
      <c r="AF82" s="11">
        <f t="shared" si="33"/>
        <v>0</v>
      </c>
      <c r="AG82" s="8">
        <f t="shared" si="33"/>
        <v>0</v>
      </c>
      <c r="AH82" s="11">
        <f t="shared" si="33"/>
        <v>0</v>
      </c>
      <c r="AI82" s="8">
        <f t="shared" si="33"/>
        <v>0</v>
      </c>
      <c r="AJ82" s="11">
        <f t="shared" si="33"/>
        <v>0</v>
      </c>
      <c r="AK82" s="11">
        <f t="shared" si="33"/>
        <v>0</v>
      </c>
      <c r="AL82" s="11">
        <f t="shared" si="33"/>
        <v>0</v>
      </c>
      <c r="AM82" s="8">
        <f t="shared" si="38"/>
        <v>0</v>
      </c>
      <c r="AN82" s="11">
        <f t="shared" si="34"/>
        <v>0</v>
      </c>
      <c r="AO82" s="2" t="str">
        <f t="shared" si="35"/>
        <v>CONMEX</v>
      </c>
      <c r="AP82" s="37">
        <f t="shared" si="36"/>
        <v>0</v>
      </c>
      <c r="AQ82" s="37">
        <f t="shared" si="36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39">SUM(D71:D83)</f>
        <v>3552610</v>
      </c>
      <c r="E84" s="12">
        <f t="shared" si="39"/>
        <v>313593100</v>
      </c>
      <c r="F84" s="4">
        <f t="shared" si="39"/>
        <v>1792152</v>
      </c>
      <c r="G84" s="12">
        <f t="shared" si="39"/>
        <v>159782706</v>
      </c>
      <c r="H84" s="4">
        <f t="shared" si="39"/>
        <v>1010232</v>
      </c>
      <c r="I84" s="12">
        <f t="shared" si="39"/>
        <v>172997994</v>
      </c>
      <c r="J84" s="4">
        <f t="shared" si="39"/>
        <v>20763606</v>
      </c>
      <c r="K84" s="12">
        <f t="shared" si="39"/>
        <v>3313041364</v>
      </c>
      <c r="L84" s="4">
        <f t="shared" si="39"/>
        <v>447808</v>
      </c>
      <c r="M84" s="12">
        <f t="shared" si="39"/>
        <v>96893308</v>
      </c>
      <c r="N84" s="4">
        <f t="shared" si="39"/>
        <v>909205</v>
      </c>
      <c r="O84" s="12">
        <f t="shared" si="39"/>
        <v>212093681</v>
      </c>
      <c r="P84" s="4">
        <f>SUM(P71:P83)</f>
        <v>5927</v>
      </c>
      <c r="Q84" s="12">
        <f>SUM(Q71:Q83)</f>
        <v>1461670</v>
      </c>
      <c r="R84" s="4">
        <f>SUM(R71:R83)</f>
        <v>344429</v>
      </c>
      <c r="S84" s="12">
        <f>SUM(S71:S83)</f>
        <v>44971922</v>
      </c>
      <c r="T84" s="4">
        <f t="shared" ref="T84:U84" si="40">SUM(T71:T83)</f>
        <v>28825969</v>
      </c>
      <c r="U84" s="12">
        <f t="shared" si="40"/>
        <v>4314835745</v>
      </c>
      <c r="Y84" s="3" t="s">
        <v>12</v>
      </c>
      <c r="Z84" s="3"/>
      <c r="AA84" s="4">
        <f t="shared" ref="AA84:AN84" si="41">SUM(AA71:AA83)</f>
        <v>6354994</v>
      </c>
      <c r="AB84" s="12">
        <f t="shared" si="41"/>
        <v>646373800</v>
      </c>
      <c r="AC84" s="4">
        <f t="shared" si="41"/>
        <v>20763606</v>
      </c>
      <c r="AD84" s="12">
        <f t="shared" si="41"/>
        <v>3313041364</v>
      </c>
      <c r="AE84" s="4">
        <f t="shared" si="41"/>
        <v>447808</v>
      </c>
      <c r="AF84" s="12">
        <f t="shared" si="41"/>
        <v>96893308</v>
      </c>
      <c r="AG84" s="4">
        <f t="shared" si="41"/>
        <v>909205</v>
      </c>
      <c r="AH84" s="12">
        <f t="shared" si="41"/>
        <v>212093681</v>
      </c>
      <c r="AI84" s="4">
        <f t="shared" si="41"/>
        <v>5927</v>
      </c>
      <c r="AJ84" s="12">
        <f t="shared" si="41"/>
        <v>1461670</v>
      </c>
      <c r="AK84" s="4">
        <f t="shared" si="41"/>
        <v>344429</v>
      </c>
      <c r="AL84" s="12">
        <f t="shared" si="41"/>
        <v>44971922</v>
      </c>
      <c r="AM84" s="4">
        <f t="shared" si="41"/>
        <v>28825969</v>
      </c>
      <c r="AN84" s="12">
        <f t="shared" si="41"/>
        <v>4314835745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69175</v>
      </c>
      <c r="M85" s="60">
        <f>AVERAGE(M71:M72)</f>
        <v>14635689.5</v>
      </c>
      <c r="T85" s="15">
        <f>AVERAGE(T71:T72)</f>
        <v>4493916.5</v>
      </c>
      <c r="U85" s="28">
        <f>AVERAGE(U71:U72)</f>
        <v>669535918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0.45755503227854799</v>
      </c>
      <c r="M86" s="36">
        <f>+M85/$M$371</f>
        <v>0.52662032687763127</v>
      </c>
      <c r="N86" s="18"/>
      <c r="O86" s="19"/>
      <c r="P86" s="19"/>
      <c r="Q86" s="19"/>
      <c r="R86" s="19"/>
      <c r="S86" s="19"/>
      <c r="T86" s="36">
        <f>+L85/T85</f>
        <v>1.539303189100198E-2</v>
      </c>
      <c r="U86" s="62">
        <f>+M85/U85</f>
        <v>2.1859453849345241E-2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0"/>
      <c r="F89" s="89" t="s">
        <v>71</v>
      </c>
      <c r="G89" s="90"/>
      <c r="H89" s="89" t="s">
        <v>16</v>
      </c>
      <c r="I89" s="90"/>
      <c r="J89" s="89" t="s">
        <v>17</v>
      </c>
      <c r="K89" s="93"/>
      <c r="L89" s="89" t="s">
        <v>18</v>
      </c>
      <c r="M89" s="93"/>
      <c r="N89" s="89" t="s">
        <v>13</v>
      </c>
      <c r="O89" s="93"/>
      <c r="P89" s="89" t="s">
        <v>34</v>
      </c>
      <c r="Q89" s="93"/>
      <c r="R89" s="89" t="s">
        <v>87</v>
      </c>
      <c r="S89" s="93"/>
      <c r="T89" s="89" t="s">
        <v>12</v>
      </c>
      <c r="U89" s="93"/>
      <c r="AA89" s="89" t="s">
        <v>69</v>
      </c>
      <c r="AB89" s="90"/>
      <c r="AC89" s="89" t="s">
        <v>17</v>
      </c>
      <c r="AD89" s="93"/>
      <c r="AE89" s="89" t="s">
        <v>18</v>
      </c>
      <c r="AF89" s="93"/>
      <c r="AG89" s="89" t="s">
        <v>13</v>
      </c>
      <c r="AH89" s="93"/>
      <c r="AI89" s="89" t="s">
        <v>34</v>
      </c>
      <c r="AJ89" s="93"/>
      <c r="AK89" s="89" t="s">
        <v>87</v>
      </c>
      <c r="AL89" s="93"/>
      <c r="AM89" s="89" t="s">
        <v>12</v>
      </c>
      <c r="AN89" s="93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2026</v>
      </c>
      <c r="D92" s="1">
        <v>49629</v>
      </c>
      <c r="E92" s="11">
        <v>1754255</v>
      </c>
      <c r="F92" s="1">
        <v>36065</v>
      </c>
      <c r="G92" s="11">
        <v>1359805</v>
      </c>
      <c r="H92" s="1">
        <v>7608</v>
      </c>
      <c r="I92" s="11">
        <v>418491</v>
      </c>
      <c r="J92" s="1">
        <v>372107</v>
      </c>
      <c r="K92" s="11">
        <v>18076215</v>
      </c>
      <c r="L92" s="1">
        <v>5382</v>
      </c>
      <c r="M92" s="11">
        <v>352756</v>
      </c>
      <c r="N92" s="1">
        <v>15189</v>
      </c>
      <c r="O92" s="11">
        <v>1001336</v>
      </c>
      <c r="P92" s="1">
        <v>38</v>
      </c>
      <c r="Q92" s="11">
        <v>3352</v>
      </c>
      <c r="R92" s="1">
        <v>1261</v>
      </c>
      <c r="S92" s="11">
        <v>43187</v>
      </c>
      <c r="T92" s="53">
        <f>N92+L92+J92+H92+D92+P92+F92+R92</f>
        <v>487279</v>
      </c>
      <c r="U92" s="54">
        <f t="shared" ref="U92" si="42">O92+M92+K92+I92+E92+Q92+G92+S92</f>
        <v>23009397</v>
      </c>
      <c r="V92" s="2" t="s">
        <v>93</v>
      </c>
      <c r="W92" s="13"/>
      <c r="X92" t="str">
        <f t="shared" ref="X92:Y115" si="43">+A92</f>
        <v>Estimado</v>
      </c>
      <c r="Y92" s="2" t="str">
        <f t="shared" si="43"/>
        <v>ENERO</v>
      </c>
      <c r="Z92" s="2">
        <v>2026</v>
      </c>
      <c r="AA92" s="1">
        <f t="shared" ref="AA92:AB115" si="44">D92+H92+F92</f>
        <v>93302</v>
      </c>
      <c r="AB92" s="11">
        <f t="shared" si="44"/>
        <v>3532551</v>
      </c>
      <c r="AC92" s="1">
        <f t="shared" ref="AC92:AL115" si="45">+J92</f>
        <v>372107</v>
      </c>
      <c r="AD92" s="11">
        <f t="shared" si="45"/>
        <v>18076215</v>
      </c>
      <c r="AE92" s="8">
        <f t="shared" si="45"/>
        <v>5382</v>
      </c>
      <c r="AF92" s="11">
        <f t="shared" si="45"/>
        <v>352756</v>
      </c>
      <c r="AG92" s="8">
        <f t="shared" si="45"/>
        <v>15189</v>
      </c>
      <c r="AH92" s="11">
        <f t="shared" si="45"/>
        <v>1001336</v>
      </c>
      <c r="AI92" s="8">
        <f t="shared" si="45"/>
        <v>38</v>
      </c>
      <c r="AJ92" s="11">
        <f t="shared" si="45"/>
        <v>3352</v>
      </c>
      <c r="AK92" s="11">
        <f t="shared" si="45"/>
        <v>1261</v>
      </c>
      <c r="AL92" s="11">
        <f t="shared" si="45"/>
        <v>43187</v>
      </c>
      <c r="AM92" s="8">
        <f>AI92+AG92+AE92+AC92+AA92+AK92</f>
        <v>487279</v>
      </c>
      <c r="AN92" s="11">
        <f t="shared" ref="AN92:AN115" si="46">AJ92+AH92+AF92+AD92+AB92+AL92</f>
        <v>23009397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2026</v>
      </c>
      <c r="D93" s="87"/>
      <c r="E93" s="87"/>
      <c r="F93" s="87"/>
      <c r="G93" s="87"/>
      <c r="H93" s="87"/>
      <c r="I93" s="87"/>
      <c r="J93" s="1"/>
      <c r="K93" s="11"/>
      <c r="L93" s="1"/>
      <c r="M93" s="11"/>
      <c r="N93" s="1"/>
      <c r="O93" s="11"/>
      <c r="P93" s="1"/>
      <c r="Q93" s="11"/>
      <c r="R93" s="1"/>
      <c r="S93" s="11"/>
      <c r="T93" s="53">
        <f t="shared" ref="T93:T99" si="47">N93+L93+J93+H93+D93+P93+F93+R93</f>
        <v>0</v>
      </c>
      <c r="U93" s="54">
        <f t="shared" ref="U93:U99" si="48">O93+M93+K93+I93+E93+Q93+G93+S93</f>
        <v>0</v>
      </c>
      <c r="V93" s="2" t="s">
        <v>93</v>
      </c>
      <c r="X93" t="str">
        <f t="shared" si="43"/>
        <v>Real</v>
      </c>
      <c r="Y93" s="2" t="str">
        <f t="shared" si="43"/>
        <v>ENERO</v>
      </c>
      <c r="Z93" s="2">
        <v>2026</v>
      </c>
      <c r="AA93" s="1">
        <f>D96+H93+F93</f>
        <v>49629</v>
      </c>
      <c r="AB93" s="11">
        <f>E96+I93+G93</f>
        <v>1754255</v>
      </c>
      <c r="AC93" s="1">
        <f t="shared" si="45"/>
        <v>0</v>
      </c>
      <c r="AD93" s="11">
        <f t="shared" si="45"/>
        <v>0</v>
      </c>
      <c r="AE93" s="8">
        <f t="shared" si="45"/>
        <v>0</v>
      </c>
      <c r="AF93" s="11">
        <f t="shared" si="45"/>
        <v>0</v>
      </c>
      <c r="AG93" s="8">
        <f t="shared" si="45"/>
        <v>0</v>
      </c>
      <c r="AH93" s="11">
        <f t="shared" si="45"/>
        <v>0</v>
      </c>
      <c r="AI93" s="8">
        <f t="shared" si="45"/>
        <v>0</v>
      </c>
      <c r="AJ93" s="11">
        <f t="shared" si="45"/>
        <v>0</v>
      </c>
      <c r="AK93" s="11">
        <f t="shared" si="45"/>
        <v>0</v>
      </c>
      <c r="AL93" s="11">
        <f t="shared" si="45"/>
        <v>0</v>
      </c>
      <c r="AM93" s="8">
        <f t="shared" ref="AM93:AM115" si="49">AI93+AG93+AE93+AC93+AA93+AK93</f>
        <v>49629</v>
      </c>
      <c r="AN93" s="11">
        <f t="shared" si="46"/>
        <v>1754255</v>
      </c>
      <c r="AO93" s="2" t="str">
        <f t="shared" ref="AO93:AO115" si="50">+$V$92</f>
        <v>CONMEX T6</v>
      </c>
    </row>
    <row r="94" spans="1:43" x14ac:dyDescent="0.25">
      <c r="A94" t="s">
        <v>101</v>
      </c>
      <c r="B94" s="2" t="s">
        <v>6</v>
      </c>
      <c r="C94" s="2">
        <v>2026</v>
      </c>
      <c r="D94" s="1">
        <v>44826</v>
      </c>
      <c r="E94" s="11">
        <v>1584488</v>
      </c>
      <c r="F94" s="1">
        <v>32575</v>
      </c>
      <c r="G94" s="11">
        <v>1228211</v>
      </c>
      <c r="H94" s="1">
        <v>6872</v>
      </c>
      <c r="I94" s="11">
        <v>377992</v>
      </c>
      <c r="J94" s="1">
        <v>336097</v>
      </c>
      <c r="K94" s="11">
        <v>16326904</v>
      </c>
      <c r="L94" s="1">
        <v>4861</v>
      </c>
      <c r="M94" s="11">
        <v>318618</v>
      </c>
      <c r="N94" s="1">
        <v>13719</v>
      </c>
      <c r="O94" s="11">
        <v>904433</v>
      </c>
      <c r="P94" s="1">
        <v>34</v>
      </c>
      <c r="Q94" s="11">
        <v>3028</v>
      </c>
      <c r="R94" s="1">
        <v>1139</v>
      </c>
      <c r="S94" s="11">
        <v>39008</v>
      </c>
      <c r="T94" s="53">
        <f t="shared" si="47"/>
        <v>440123</v>
      </c>
      <c r="U94" s="54">
        <f t="shared" si="48"/>
        <v>20782682</v>
      </c>
      <c r="V94" s="2" t="s">
        <v>93</v>
      </c>
      <c r="X94" t="str">
        <f t="shared" si="43"/>
        <v>Estimado</v>
      </c>
      <c r="Y94" s="2" t="str">
        <f t="shared" si="43"/>
        <v>FEBRERO</v>
      </c>
      <c r="Z94" s="2">
        <v>2026</v>
      </c>
      <c r="AA94" s="1">
        <f t="shared" si="44"/>
        <v>84273</v>
      </c>
      <c r="AB94" s="11">
        <f t="shared" si="44"/>
        <v>3190691</v>
      </c>
      <c r="AC94" s="1">
        <f t="shared" si="45"/>
        <v>336097</v>
      </c>
      <c r="AD94" s="11">
        <f t="shared" si="45"/>
        <v>16326904</v>
      </c>
      <c r="AE94" s="8">
        <f t="shared" si="45"/>
        <v>4861</v>
      </c>
      <c r="AF94" s="11">
        <f t="shared" si="45"/>
        <v>318618</v>
      </c>
      <c r="AG94" s="8">
        <f t="shared" si="45"/>
        <v>13719</v>
      </c>
      <c r="AH94" s="11">
        <f t="shared" si="45"/>
        <v>904433</v>
      </c>
      <c r="AI94" s="8">
        <f t="shared" si="45"/>
        <v>34</v>
      </c>
      <c r="AJ94" s="11">
        <f t="shared" si="45"/>
        <v>3028</v>
      </c>
      <c r="AK94" s="11">
        <f t="shared" si="45"/>
        <v>1139</v>
      </c>
      <c r="AL94" s="11">
        <f t="shared" si="45"/>
        <v>39008</v>
      </c>
      <c r="AM94" s="8">
        <f t="shared" si="49"/>
        <v>440123</v>
      </c>
      <c r="AN94" s="11">
        <f t="shared" si="46"/>
        <v>20782682</v>
      </c>
      <c r="AO94" s="2" t="str">
        <f t="shared" si="50"/>
        <v>CONMEX T6</v>
      </c>
    </row>
    <row r="95" spans="1:43" x14ac:dyDescent="0.25">
      <c r="A95" t="s">
        <v>102</v>
      </c>
      <c r="B95" s="2" t="s">
        <v>6</v>
      </c>
      <c r="C95" s="2">
        <v>2026</v>
      </c>
      <c r="D95" s="1"/>
      <c r="E95" s="11"/>
      <c r="F95" s="1"/>
      <c r="G95" s="11"/>
      <c r="H95" s="1"/>
      <c r="I95" s="11"/>
      <c r="J95" s="1"/>
      <c r="K95" s="11"/>
      <c r="L95" s="1"/>
      <c r="M95" s="11"/>
      <c r="N95" s="1"/>
      <c r="O95" s="11"/>
      <c r="P95" s="1"/>
      <c r="Q95" s="11"/>
      <c r="R95" s="1"/>
      <c r="S95" s="11"/>
      <c r="T95" s="53">
        <f t="shared" si="47"/>
        <v>0</v>
      </c>
      <c r="U95" s="54">
        <f t="shared" si="48"/>
        <v>0</v>
      </c>
      <c r="V95" s="2" t="s">
        <v>93</v>
      </c>
      <c r="X95" t="str">
        <f t="shared" si="43"/>
        <v>Real</v>
      </c>
      <c r="Y95" s="2" t="str">
        <f t="shared" si="43"/>
        <v>FEBRERO</v>
      </c>
      <c r="Z95" s="2">
        <v>2026</v>
      </c>
      <c r="AA95" s="1">
        <f t="shared" si="44"/>
        <v>0</v>
      </c>
      <c r="AB95" s="11">
        <f t="shared" si="44"/>
        <v>0</v>
      </c>
      <c r="AC95" s="1">
        <f t="shared" si="45"/>
        <v>0</v>
      </c>
      <c r="AD95" s="11">
        <f t="shared" si="45"/>
        <v>0</v>
      </c>
      <c r="AE95" s="8">
        <f t="shared" si="45"/>
        <v>0</v>
      </c>
      <c r="AF95" s="11">
        <f t="shared" si="45"/>
        <v>0</v>
      </c>
      <c r="AG95" s="8">
        <f t="shared" si="45"/>
        <v>0</v>
      </c>
      <c r="AH95" s="11">
        <f t="shared" si="45"/>
        <v>0</v>
      </c>
      <c r="AI95" s="8">
        <f t="shared" si="45"/>
        <v>0</v>
      </c>
      <c r="AJ95" s="11">
        <f t="shared" si="45"/>
        <v>0</v>
      </c>
      <c r="AK95" s="11">
        <f t="shared" si="45"/>
        <v>0</v>
      </c>
      <c r="AL95" s="11">
        <f t="shared" si="45"/>
        <v>0</v>
      </c>
      <c r="AM95" s="8">
        <f t="shared" si="49"/>
        <v>0</v>
      </c>
      <c r="AN95" s="11">
        <f t="shared" si="46"/>
        <v>0</v>
      </c>
      <c r="AO95" s="2" t="str">
        <f t="shared" si="50"/>
        <v>CONMEX T6</v>
      </c>
    </row>
    <row r="96" spans="1:43" x14ac:dyDescent="0.25">
      <c r="A96" t="s">
        <v>101</v>
      </c>
      <c r="B96" s="2" t="s">
        <v>7</v>
      </c>
      <c r="C96" s="2">
        <v>2026</v>
      </c>
      <c r="D96" s="1">
        <v>49629</v>
      </c>
      <c r="E96" s="11">
        <v>1754255</v>
      </c>
      <c r="F96" s="1">
        <v>36065</v>
      </c>
      <c r="G96" s="11">
        <v>1359805</v>
      </c>
      <c r="H96" s="1">
        <v>7608</v>
      </c>
      <c r="I96" s="11">
        <v>418491</v>
      </c>
      <c r="J96" s="1">
        <v>372107</v>
      </c>
      <c r="K96" s="11">
        <v>18076215</v>
      </c>
      <c r="L96" s="1">
        <v>5382</v>
      </c>
      <c r="M96" s="11">
        <v>352756</v>
      </c>
      <c r="N96" s="1">
        <v>15189</v>
      </c>
      <c r="O96" s="11">
        <v>1001337</v>
      </c>
      <c r="P96" s="1">
        <v>38</v>
      </c>
      <c r="Q96" s="11">
        <v>3352</v>
      </c>
      <c r="R96" s="1">
        <v>1261</v>
      </c>
      <c r="S96" s="11">
        <v>43187</v>
      </c>
      <c r="T96" s="53">
        <f t="shared" si="47"/>
        <v>487279</v>
      </c>
      <c r="U96" s="54">
        <f t="shared" si="48"/>
        <v>23009398</v>
      </c>
      <c r="V96" s="2" t="s">
        <v>93</v>
      </c>
      <c r="X96" t="str">
        <f t="shared" si="43"/>
        <v>Estimado</v>
      </c>
      <c r="Y96" s="2" t="str">
        <f t="shared" si="43"/>
        <v>MARZO</v>
      </c>
      <c r="Z96" s="2">
        <v>2026</v>
      </c>
      <c r="AA96" s="1">
        <f t="shared" si="44"/>
        <v>93302</v>
      </c>
      <c r="AB96" s="11">
        <f t="shared" si="44"/>
        <v>3532551</v>
      </c>
      <c r="AC96" s="1">
        <f t="shared" si="45"/>
        <v>372107</v>
      </c>
      <c r="AD96" s="11">
        <f t="shared" si="45"/>
        <v>18076215</v>
      </c>
      <c r="AE96" s="8">
        <f t="shared" si="45"/>
        <v>5382</v>
      </c>
      <c r="AF96" s="11">
        <f t="shared" si="45"/>
        <v>352756</v>
      </c>
      <c r="AG96" s="8">
        <f t="shared" si="45"/>
        <v>15189</v>
      </c>
      <c r="AH96" s="11">
        <f t="shared" si="45"/>
        <v>1001337</v>
      </c>
      <c r="AI96" s="8">
        <f t="shared" si="45"/>
        <v>38</v>
      </c>
      <c r="AJ96" s="11">
        <f t="shared" si="45"/>
        <v>3352</v>
      </c>
      <c r="AK96" s="11">
        <f t="shared" si="45"/>
        <v>1261</v>
      </c>
      <c r="AL96" s="11">
        <f t="shared" si="45"/>
        <v>43187</v>
      </c>
      <c r="AM96" s="8">
        <f t="shared" si="49"/>
        <v>487279</v>
      </c>
      <c r="AN96" s="11">
        <f t="shared" si="46"/>
        <v>23009398</v>
      </c>
      <c r="AO96" s="2" t="str">
        <f t="shared" si="50"/>
        <v>CONMEX T6</v>
      </c>
    </row>
    <row r="97" spans="1:43" x14ac:dyDescent="0.25">
      <c r="A97" t="s">
        <v>102</v>
      </c>
      <c r="B97" s="2" t="s">
        <v>7</v>
      </c>
      <c r="C97" s="2">
        <v>2026</v>
      </c>
      <c r="D97" s="1"/>
      <c r="E97" s="1"/>
      <c r="F97" s="1"/>
      <c r="G97" s="11"/>
      <c r="H97" s="1"/>
      <c r="I97" s="11"/>
      <c r="J97" s="1"/>
      <c r="K97" s="11"/>
      <c r="L97" s="1"/>
      <c r="M97" s="11"/>
      <c r="N97" s="1"/>
      <c r="O97" s="11"/>
      <c r="P97" s="1"/>
      <c r="Q97" s="11"/>
      <c r="R97" s="1"/>
      <c r="S97" s="11"/>
      <c r="T97" s="53">
        <f t="shared" si="47"/>
        <v>0</v>
      </c>
      <c r="U97" s="54">
        <f t="shared" si="48"/>
        <v>0</v>
      </c>
      <c r="V97" s="2" t="s">
        <v>93</v>
      </c>
      <c r="X97" t="str">
        <f t="shared" si="43"/>
        <v>Real</v>
      </c>
      <c r="Y97" s="2" t="str">
        <f t="shared" si="43"/>
        <v>MARZO</v>
      </c>
      <c r="Z97" s="2">
        <v>2026</v>
      </c>
      <c r="AA97" s="1">
        <f t="shared" si="44"/>
        <v>0</v>
      </c>
      <c r="AB97" s="11">
        <f t="shared" si="44"/>
        <v>0</v>
      </c>
      <c r="AC97" s="1">
        <f t="shared" si="45"/>
        <v>0</v>
      </c>
      <c r="AD97" s="11">
        <f t="shared" si="45"/>
        <v>0</v>
      </c>
      <c r="AE97" s="8">
        <f t="shared" si="45"/>
        <v>0</v>
      </c>
      <c r="AF97" s="11">
        <f t="shared" si="45"/>
        <v>0</v>
      </c>
      <c r="AG97" s="8">
        <f t="shared" si="45"/>
        <v>0</v>
      </c>
      <c r="AH97" s="11">
        <f t="shared" si="45"/>
        <v>0</v>
      </c>
      <c r="AI97" s="8">
        <f t="shared" si="45"/>
        <v>0</v>
      </c>
      <c r="AJ97" s="11">
        <f t="shared" si="45"/>
        <v>0</v>
      </c>
      <c r="AK97" s="11">
        <f t="shared" si="45"/>
        <v>0</v>
      </c>
      <c r="AL97" s="11">
        <f t="shared" si="45"/>
        <v>0</v>
      </c>
      <c r="AM97" s="8">
        <f t="shared" si="49"/>
        <v>0</v>
      </c>
      <c r="AN97" s="11">
        <f t="shared" si="46"/>
        <v>0</v>
      </c>
      <c r="AO97" s="2" t="str">
        <f t="shared" si="50"/>
        <v>CONMEX T6</v>
      </c>
    </row>
    <row r="98" spans="1:43" x14ac:dyDescent="0.25">
      <c r="A98" t="s">
        <v>101</v>
      </c>
      <c r="B98" s="2" t="s">
        <v>8</v>
      </c>
      <c r="C98" s="2">
        <v>2026</v>
      </c>
      <c r="D98" s="1">
        <v>48028</v>
      </c>
      <c r="E98" s="11">
        <v>1697666</v>
      </c>
      <c r="F98" s="1">
        <v>34902</v>
      </c>
      <c r="G98" s="11">
        <v>1315940</v>
      </c>
      <c r="H98" s="1">
        <v>7363</v>
      </c>
      <c r="I98" s="11">
        <v>404991</v>
      </c>
      <c r="J98" s="1">
        <v>360104</v>
      </c>
      <c r="K98" s="11">
        <v>17493111</v>
      </c>
      <c r="L98" s="1">
        <v>5208</v>
      </c>
      <c r="M98" s="11">
        <v>341377</v>
      </c>
      <c r="N98" s="1">
        <v>14699</v>
      </c>
      <c r="O98" s="11">
        <v>969036</v>
      </c>
      <c r="P98" s="1">
        <v>37</v>
      </c>
      <c r="Q98" s="11">
        <v>3244</v>
      </c>
      <c r="R98" s="1">
        <v>1220</v>
      </c>
      <c r="S98" s="11">
        <v>41794</v>
      </c>
      <c r="T98" s="53">
        <f t="shared" si="47"/>
        <v>471561</v>
      </c>
      <c r="U98" s="54">
        <f t="shared" si="48"/>
        <v>22267159</v>
      </c>
      <c r="V98" s="2" t="s">
        <v>93</v>
      </c>
      <c r="X98" t="str">
        <f t="shared" si="43"/>
        <v>Estimado</v>
      </c>
      <c r="Y98" s="2" t="str">
        <f t="shared" si="43"/>
        <v>ABRIL</v>
      </c>
      <c r="Z98" s="2">
        <v>2026</v>
      </c>
      <c r="AA98" s="1">
        <f t="shared" si="44"/>
        <v>90293</v>
      </c>
      <c r="AB98" s="11">
        <f t="shared" si="44"/>
        <v>3418597</v>
      </c>
      <c r="AC98" s="1">
        <f t="shared" si="45"/>
        <v>360104</v>
      </c>
      <c r="AD98" s="11">
        <f t="shared" si="45"/>
        <v>17493111</v>
      </c>
      <c r="AE98" s="8">
        <f t="shared" si="45"/>
        <v>5208</v>
      </c>
      <c r="AF98" s="11">
        <f t="shared" si="45"/>
        <v>341377</v>
      </c>
      <c r="AG98" s="8">
        <f t="shared" si="45"/>
        <v>14699</v>
      </c>
      <c r="AH98" s="11">
        <f t="shared" si="45"/>
        <v>969036</v>
      </c>
      <c r="AI98" s="8">
        <f t="shared" si="45"/>
        <v>37</v>
      </c>
      <c r="AJ98" s="11">
        <f t="shared" si="45"/>
        <v>3244</v>
      </c>
      <c r="AK98" s="11">
        <f t="shared" si="45"/>
        <v>1220</v>
      </c>
      <c r="AL98" s="11">
        <f t="shared" si="45"/>
        <v>41794</v>
      </c>
      <c r="AM98" s="8">
        <f t="shared" si="49"/>
        <v>471561</v>
      </c>
      <c r="AN98" s="11">
        <f t="shared" si="46"/>
        <v>22267159</v>
      </c>
      <c r="AO98" s="2" t="str">
        <f t="shared" si="50"/>
        <v>CONMEX T6</v>
      </c>
    </row>
    <row r="99" spans="1:43" x14ac:dyDescent="0.25">
      <c r="A99" t="s">
        <v>102</v>
      </c>
      <c r="B99" s="2" t="s">
        <v>8</v>
      </c>
      <c r="C99" s="2">
        <v>2026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3">
        <f t="shared" si="47"/>
        <v>0</v>
      </c>
      <c r="U99" s="54">
        <f t="shared" si="48"/>
        <v>0</v>
      </c>
      <c r="V99" s="2" t="s">
        <v>93</v>
      </c>
      <c r="X99" t="str">
        <f t="shared" si="43"/>
        <v>Real</v>
      </c>
      <c r="Y99" s="2" t="str">
        <f t="shared" si="43"/>
        <v>ABRIL</v>
      </c>
      <c r="Z99" s="2">
        <v>2026</v>
      </c>
      <c r="AA99" s="1">
        <f t="shared" si="44"/>
        <v>0</v>
      </c>
      <c r="AB99" s="11">
        <f t="shared" si="44"/>
        <v>0</v>
      </c>
      <c r="AC99" s="1">
        <f t="shared" si="45"/>
        <v>0</v>
      </c>
      <c r="AD99" s="11">
        <f t="shared" si="45"/>
        <v>0</v>
      </c>
      <c r="AE99" s="8">
        <f t="shared" si="45"/>
        <v>0</v>
      </c>
      <c r="AF99" s="11">
        <f t="shared" si="45"/>
        <v>0</v>
      </c>
      <c r="AG99" s="8">
        <f t="shared" si="45"/>
        <v>0</v>
      </c>
      <c r="AH99" s="11">
        <f t="shared" si="45"/>
        <v>0</v>
      </c>
      <c r="AI99" s="8">
        <f t="shared" si="45"/>
        <v>0</v>
      </c>
      <c r="AJ99" s="11">
        <f t="shared" si="45"/>
        <v>0</v>
      </c>
      <c r="AK99" s="11">
        <f t="shared" si="45"/>
        <v>0</v>
      </c>
      <c r="AL99" s="11">
        <f t="shared" si="45"/>
        <v>0</v>
      </c>
      <c r="AM99" s="8">
        <f t="shared" si="49"/>
        <v>0</v>
      </c>
      <c r="AN99" s="11">
        <f t="shared" si="46"/>
        <v>0</v>
      </c>
      <c r="AO99" s="2" t="str">
        <f t="shared" si="50"/>
        <v>CONMEX T6</v>
      </c>
    </row>
    <row r="100" spans="1:43" x14ac:dyDescent="0.25">
      <c r="A100" t="s">
        <v>101</v>
      </c>
      <c r="B100" s="2" t="s">
        <v>9</v>
      </c>
      <c r="C100" s="2">
        <v>2026</v>
      </c>
      <c r="D100" s="1">
        <v>49629</v>
      </c>
      <c r="E100" s="11">
        <v>1754255</v>
      </c>
      <c r="F100" s="1">
        <v>36065</v>
      </c>
      <c r="G100" s="11">
        <v>1359805</v>
      </c>
      <c r="H100" s="1">
        <v>7608</v>
      </c>
      <c r="I100" s="11">
        <v>418491</v>
      </c>
      <c r="J100" s="1">
        <v>372107</v>
      </c>
      <c r="K100" s="11">
        <v>18076215</v>
      </c>
      <c r="L100" s="1">
        <v>5382</v>
      </c>
      <c r="M100" s="11">
        <v>352756</v>
      </c>
      <c r="N100" s="1">
        <v>15189</v>
      </c>
      <c r="O100" s="11">
        <v>1001337</v>
      </c>
      <c r="P100" s="1">
        <v>38</v>
      </c>
      <c r="Q100" s="11">
        <v>3352</v>
      </c>
      <c r="R100" s="1">
        <v>1261</v>
      </c>
      <c r="S100" s="11">
        <v>43187</v>
      </c>
      <c r="T100" s="53">
        <f t="shared" ref="T100:U100" si="51">N100+L100+J100+H100+D103+P100+F100+R100</f>
        <v>437650</v>
      </c>
      <c r="U100" s="54">
        <f t="shared" si="51"/>
        <v>21255143</v>
      </c>
      <c r="V100" s="2" t="s">
        <v>93</v>
      </c>
      <c r="X100" t="str">
        <f t="shared" si="43"/>
        <v>Estimado</v>
      </c>
      <c r="Y100" s="2" t="str">
        <f t="shared" si="43"/>
        <v>MAYO</v>
      </c>
      <c r="Z100" s="2">
        <v>2026</v>
      </c>
      <c r="AA100" s="1">
        <f t="shared" si="44"/>
        <v>93302</v>
      </c>
      <c r="AB100" s="11">
        <f t="shared" si="44"/>
        <v>3532551</v>
      </c>
      <c r="AC100" s="1">
        <f t="shared" si="45"/>
        <v>372107</v>
      </c>
      <c r="AD100" s="11">
        <f t="shared" si="45"/>
        <v>18076215</v>
      </c>
      <c r="AE100" s="8">
        <f t="shared" si="45"/>
        <v>5382</v>
      </c>
      <c r="AF100" s="11">
        <f t="shared" si="45"/>
        <v>352756</v>
      </c>
      <c r="AG100" s="8">
        <f t="shared" si="45"/>
        <v>15189</v>
      </c>
      <c r="AH100" s="11">
        <f t="shared" si="45"/>
        <v>1001337</v>
      </c>
      <c r="AI100" s="8">
        <f t="shared" si="45"/>
        <v>38</v>
      </c>
      <c r="AJ100" s="11">
        <f t="shared" si="45"/>
        <v>3352</v>
      </c>
      <c r="AK100" s="11">
        <f t="shared" si="45"/>
        <v>1261</v>
      </c>
      <c r="AL100" s="11">
        <f t="shared" si="45"/>
        <v>43187</v>
      </c>
      <c r="AM100" s="8">
        <f t="shared" si="49"/>
        <v>487279</v>
      </c>
      <c r="AN100" s="11">
        <f t="shared" si="46"/>
        <v>23009398</v>
      </c>
      <c r="AO100" s="2" t="str">
        <f t="shared" si="50"/>
        <v>CONMEX T6</v>
      </c>
    </row>
    <row r="101" spans="1:43" x14ac:dyDescent="0.25">
      <c r="A101" t="s">
        <v>102</v>
      </c>
      <c r="B101" s="2" t="s">
        <v>9</v>
      </c>
      <c r="C101" s="2">
        <v>2026</v>
      </c>
      <c r="D101" s="1"/>
      <c r="E101" s="11"/>
      <c r="F101" s="1"/>
      <c r="G101" s="11"/>
      <c r="H101" s="1"/>
      <c r="I101" s="11"/>
      <c r="J101" s="1"/>
      <c r="K101" s="11"/>
      <c r="L101" s="1"/>
      <c r="M101" s="11"/>
      <c r="N101" s="1"/>
      <c r="O101" s="11"/>
      <c r="P101" s="1"/>
      <c r="Q101" s="11"/>
      <c r="R101" s="1"/>
      <c r="S101" s="11"/>
      <c r="T101" s="53">
        <f t="shared" ref="T101:T115" si="52">N101+L101+J101+H101+D101+P101+F101+R101</f>
        <v>0</v>
      </c>
      <c r="U101" s="54">
        <f t="shared" ref="U101:U115" si="53">O101+M101+K101+I101+E101+Q101+G101+S101</f>
        <v>0</v>
      </c>
      <c r="V101" s="2" t="s">
        <v>93</v>
      </c>
      <c r="X101" t="str">
        <f t="shared" si="43"/>
        <v>Real</v>
      </c>
      <c r="Y101" s="2" t="str">
        <f t="shared" si="43"/>
        <v>MAYO</v>
      </c>
      <c r="Z101" s="2">
        <v>2026</v>
      </c>
      <c r="AA101" s="1">
        <f t="shared" si="44"/>
        <v>0</v>
      </c>
      <c r="AB101" s="11">
        <f t="shared" si="44"/>
        <v>0</v>
      </c>
      <c r="AC101" s="1">
        <f t="shared" si="45"/>
        <v>0</v>
      </c>
      <c r="AD101" s="11">
        <f t="shared" si="45"/>
        <v>0</v>
      </c>
      <c r="AE101" s="8">
        <f t="shared" si="45"/>
        <v>0</v>
      </c>
      <c r="AF101" s="11">
        <f t="shared" si="45"/>
        <v>0</v>
      </c>
      <c r="AG101" s="8">
        <f t="shared" si="45"/>
        <v>0</v>
      </c>
      <c r="AH101" s="11">
        <f t="shared" si="45"/>
        <v>0</v>
      </c>
      <c r="AI101" s="8">
        <f t="shared" si="45"/>
        <v>0</v>
      </c>
      <c r="AJ101" s="11">
        <f t="shared" si="45"/>
        <v>0</v>
      </c>
      <c r="AK101" s="11">
        <f t="shared" si="45"/>
        <v>0</v>
      </c>
      <c r="AL101" s="11">
        <f t="shared" si="45"/>
        <v>0</v>
      </c>
      <c r="AM101" s="8">
        <f t="shared" si="49"/>
        <v>0</v>
      </c>
      <c r="AN101" s="11">
        <f t="shared" si="46"/>
        <v>0</v>
      </c>
      <c r="AO101" s="2" t="str">
        <f t="shared" si="50"/>
        <v>CONMEX T6</v>
      </c>
    </row>
    <row r="102" spans="1:43" x14ac:dyDescent="0.25">
      <c r="A102" t="s">
        <v>101</v>
      </c>
      <c r="B102" s="2" t="s">
        <v>10</v>
      </c>
      <c r="C102" s="2">
        <v>2026</v>
      </c>
      <c r="D102" s="1">
        <v>48028.06451612903</v>
      </c>
      <c r="E102" s="11">
        <v>1697666.1290322579</v>
      </c>
      <c r="F102" s="1">
        <v>34901.61290322581</v>
      </c>
      <c r="G102" s="11">
        <v>1315940.3225806453</v>
      </c>
      <c r="H102" s="1">
        <v>7362.5806451612898</v>
      </c>
      <c r="I102" s="11">
        <v>404991.29032258061</v>
      </c>
      <c r="J102" s="1">
        <v>360103.54838709679</v>
      </c>
      <c r="K102" s="11">
        <v>17493111.290322583</v>
      </c>
      <c r="L102" s="1">
        <v>5208.3870967741941</v>
      </c>
      <c r="M102" s="11">
        <v>341376.77419354842</v>
      </c>
      <c r="N102" s="1">
        <v>14699.032258064515</v>
      </c>
      <c r="O102" s="11">
        <v>969035.80645161297</v>
      </c>
      <c r="P102" s="1">
        <v>36.774193548387096</v>
      </c>
      <c r="Q102" s="11">
        <v>3243.8709677419356</v>
      </c>
      <c r="R102" s="1">
        <v>1220.3225806451615</v>
      </c>
      <c r="S102" s="11">
        <v>41793.870967741939</v>
      </c>
      <c r="T102" s="53">
        <f t="shared" si="52"/>
        <v>471560.32258064515</v>
      </c>
      <c r="U102" s="54">
        <f t="shared" si="53"/>
        <v>22267159.354838714</v>
      </c>
      <c r="V102" s="2" t="s">
        <v>93</v>
      </c>
      <c r="X102" t="str">
        <f t="shared" si="43"/>
        <v>Estimado</v>
      </c>
      <c r="Y102" s="2" t="str">
        <f t="shared" si="43"/>
        <v>JUNIO</v>
      </c>
      <c r="Z102" s="2">
        <v>2026</v>
      </c>
      <c r="AA102" s="1">
        <f t="shared" si="44"/>
        <v>90292.258064516122</v>
      </c>
      <c r="AB102" s="11">
        <f t="shared" si="44"/>
        <v>3418597.7419354836</v>
      </c>
      <c r="AC102" s="1">
        <f t="shared" si="45"/>
        <v>360103.54838709679</v>
      </c>
      <c r="AD102" s="11">
        <f t="shared" si="45"/>
        <v>17493111.290322583</v>
      </c>
      <c r="AE102" s="8">
        <f t="shared" si="45"/>
        <v>5208.3870967741941</v>
      </c>
      <c r="AF102" s="11">
        <f t="shared" si="45"/>
        <v>341376.77419354842</v>
      </c>
      <c r="AG102" s="8">
        <f t="shared" si="45"/>
        <v>14699.032258064515</v>
      </c>
      <c r="AH102" s="11">
        <f t="shared" si="45"/>
        <v>969035.80645161297</v>
      </c>
      <c r="AI102" s="8">
        <f t="shared" si="45"/>
        <v>36.774193548387096</v>
      </c>
      <c r="AJ102" s="11">
        <f t="shared" si="45"/>
        <v>3243.8709677419356</v>
      </c>
      <c r="AK102" s="11">
        <f t="shared" si="45"/>
        <v>1220.3225806451615</v>
      </c>
      <c r="AL102" s="11">
        <f t="shared" si="45"/>
        <v>41793.870967741939</v>
      </c>
      <c r="AM102" s="8">
        <f t="shared" si="49"/>
        <v>471560.32258064515</v>
      </c>
      <c r="AN102" s="11">
        <f t="shared" si="46"/>
        <v>22267159.354838714</v>
      </c>
      <c r="AO102" s="2" t="str">
        <f t="shared" si="50"/>
        <v>CONMEX T6</v>
      </c>
    </row>
    <row r="103" spans="1:43" x14ac:dyDescent="0.25">
      <c r="A103" t="s">
        <v>132</v>
      </c>
      <c r="B103" s="2" t="s">
        <v>10</v>
      </c>
      <c r="C103" s="2">
        <v>2026</v>
      </c>
      <c r="D103" s="1"/>
      <c r="E103" s="11"/>
      <c r="F103" s="1"/>
      <c r="G103" s="11"/>
      <c r="H103" s="1"/>
      <c r="I103" s="11"/>
      <c r="J103" s="1"/>
      <c r="K103" s="11"/>
      <c r="L103" s="1"/>
      <c r="M103" s="11"/>
      <c r="N103" s="1"/>
      <c r="O103" s="11"/>
      <c r="P103" s="1"/>
      <c r="Q103" s="11"/>
      <c r="R103" s="1"/>
      <c r="S103" s="11"/>
      <c r="T103" s="53">
        <f t="shared" si="52"/>
        <v>0</v>
      </c>
      <c r="U103" s="54">
        <f t="shared" si="53"/>
        <v>0</v>
      </c>
      <c r="V103" s="2" t="s">
        <v>93</v>
      </c>
      <c r="X103" t="str">
        <f t="shared" si="43"/>
        <v>Real S/Firmas</v>
      </c>
      <c r="Y103" s="2" t="str">
        <f t="shared" si="43"/>
        <v>JUNIO</v>
      </c>
      <c r="Z103" s="2">
        <v>2026</v>
      </c>
      <c r="AA103" s="1">
        <f t="shared" si="44"/>
        <v>0</v>
      </c>
      <c r="AB103" s="11">
        <f t="shared" si="44"/>
        <v>0</v>
      </c>
      <c r="AC103" s="1">
        <f t="shared" si="45"/>
        <v>0</v>
      </c>
      <c r="AD103" s="11">
        <f t="shared" si="45"/>
        <v>0</v>
      </c>
      <c r="AE103" s="8">
        <f t="shared" si="45"/>
        <v>0</v>
      </c>
      <c r="AF103" s="11">
        <f t="shared" si="45"/>
        <v>0</v>
      </c>
      <c r="AG103" s="8">
        <f t="shared" si="45"/>
        <v>0</v>
      </c>
      <c r="AH103" s="11">
        <f t="shared" si="45"/>
        <v>0</v>
      </c>
      <c r="AI103" s="8">
        <f t="shared" si="45"/>
        <v>0</v>
      </c>
      <c r="AJ103" s="11">
        <f t="shared" si="45"/>
        <v>0</v>
      </c>
      <c r="AK103" s="11">
        <f t="shared" si="45"/>
        <v>0</v>
      </c>
      <c r="AL103" s="11">
        <f t="shared" si="45"/>
        <v>0</v>
      </c>
      <c r="AM103" s="8">
        <f t="shared" si="49"/>
        <v>0</v>
      </c>
      <c r="AN103" s="11">
        <f t="shared" si="46"/>
        <v>0</v>
      </c>
      <c r="AO103" s="2" t="str">
        <f t="shared" si="50"/>
        <v>CONMEX T6</v>
      </c>
    </row>
    <row r="104" spans="1:43" x14ac:dyDescent="0.25">
      <c r="A104" t="s">
        <v>101</v>
      </c>
      <c r="B104" s="2" t="s">
        <v>11</v>
      </c>
      <c r="C104" s="2">
        <v>2026</v>
      </c>
      <c r="D104" s="1"/>
      <c r="E104" s="11"/>
      <c r="F104" s="1"/>
      <c r="G104" s="11"/>
      <c r="H104" s="1"/>
      <c r="I104" s="11"/>
      <c r="J104" s="1"/>
      <c r="K104" s="11"/>
      <c r="L104" s="1"/>
      <c r="M104" s="11"/>
      <c r="N104" s="1"/>
      <c r="O104" s="11"/>
      <c r="P104" s="1"/>
      <c r="Q104" s="11"/>
      <c r="R104" s="1"/>
      <c r="S104" s="11"/>
      <c r="T104" s="53">
        <f t="shared" si="52"/>
        <v>0</v>
      </c>
      <c r="U104" s="54">
        <f t="shared" si="53"/>
        <v>0</v>
      </c>
      <c r="V104" s="2" t="s">
        <v>93</v>
      </c>
      <c r="X104" t="str">
        <f t="shared" si="43"/>
        <v>Estimado</v>
      </c>
      <c r="Y104" s="2" t="str">
        <f t="shared" si="43"/>
        <v>JULIO</v>
      </c>
      <c r="Z104" s="2">
        <v>2026</v>
      </c>
      <c r="AA104" s="1">
        <f t="shared" si="44"/>
        <v>0</v>
      </c>
      <c r="AB104" s="11">
        <f t="shared" si="44"/>
        <v>0</v>
      </c>
      <c r="AC104" s="1">
        <f t="shared" si="45"/>
        <v>0</v>
      </c>
      <c r="AD104" s="11">
        <f t="shared" si="45"/>
        <v>0</v>
      </c>
      <c r="AE104" s="8">
        <f t="shared" si="45"/>
        <v>0</v>
      </c>
      <c r="AF104" s="11">
        <f t="shared" si="45"/>
        <v>0</v>
      </c>
      <c r="AG104" s="8">
        <f t="shared" si="45"/>
        <v>0</v>
      </c>
      <c r="AH104" s="11">
        <f t="shared" si="45"/>
        <v>0</v>
      </c>
      <c r="AI104" s="8">
        <f t="shared" si="45"/>
        <v>0</v>
      </c>
      <c r="AJ104" s="11">
        <f t="shared" si="45"/>
        <v>0</v>
      </c>
      <c r="AK104" s="11">
        <f t="shared" si="45"/>
        <v>0</v>
      </c>
      <c r="AL104" s="11">
        <f t="shared" si="45"/>
        <v>0</v>
      </c>
      <c r="AM104" s="8">
        <f t="shared" si="49"/>
        <v>0</v>
      </c>
      <c r="AN104" s="11">
        <f t="shared" si="46"/>
        <v>0</v>
      </c>
      <c r="AO104" s="2" t="str">
        <f t="shared" si="50"/>
        <v>CONMEX T6</v>
      </c>
    </row>
    <row r="105" spans="1:43" x14ac:dyDescent="0.25">
      <c r="A105" t="s">
        <v>102</v>
      </c>
      <c r="B105" s="2" t="s">
        <v>11</v>
      </c>
      <c r="C105" s="2">
        <v>2026</v>
      </c>
      <c r="D105" s="1"/>
      <c r="E105" s="11"/>
      <c r="F105" s="1"/>
      <c r="G105" s="11"/>
      <c r="H105" s="1"/>
      <c r="I105" s="11"/>
      <c r="J105" s="1"/>
      <c r="K105" s="11"/>
      <c r="L105" s="1"/>
      <c r="M105" s="11"/>
      <c r="N105" s="1"/>
      <c r="O105" s="11"/>
      <c r="P105" s="1"/>
      <c r="Q105" s="11"/>
      <c r="R105" s="1"/>
      <c r="S105" s="11"/>
      <c r="T105" s="53">
        <f t="shared" si="52"/>
        <v>0</v>
      </c>
      <c r="U105" s="54">
        <f t="shared" si="53"/>
        <v>0</v>
      </c>
      <c r="V105" s="2" t="s">
        <v>93</v>
      </c>
      <c r="X105" t="str">
        <f t="shared" si="43"/>
        <v>Real</v>
      </c>
      <c r="Y105" s="2" t="str">
        <f t="shared" si="43"/>
        <v>JULIO</v>
      </c>
      <c r="Z105" s="2">
        <v>2026</v>
      </c>
      <c r="AA105" s="1">
        <f t="shared" si="44"/>
        <v>0</v>
      </c>
      <c r="AB105" s="11">
        <f t="shared" si="44"/>
        <v>0</v>
      </c>
      <c r="AC105" s="1">
        <f t="shared" si="45"/>
        <v>0</v>
      </c>
      <c r="AD105" s="11">
        <f t="shared" si="45"/>
        <v>0</v>
      </c>
      <c r="AE105" s="8">
        <f t="shared" si="45"/>
        <v>0</v>
      </c>
      <c r="AF105" s="11">
        <f t="shared" si="45"/>
        <v>0</v>
      </c>
      <c r="AG105" s="8">
        <f t="shared" si="45"/>
        <v>0</v>
      </c>
      <c r="AH105" s="11">
        <f t="shared" si="45"/>
        <v>0</v>
      </c>
      <c r="AI105" s="8">
        <f t="shared" si="45"/>
        <v>0</v>
      </c>
      <c r="AJ105" s="11">
        <f t="shared" si="45"/>
        <v>0</v>
      </c>
      <c r="AK105" s="11">
        <f t="shared" si="45"/>
        <v>0</v>
      </c>
      <c r="AL105" s="11">
        <f t="shared" si="45"/>
        <v>0</v>
      </c>
      <c r="AM105" s="8">
        <f t="shared" si="49"/>
        <v>0</v>
      </c>
      <c r="AN105" s="11">
        <f t="shared" si="46"/>
        <v>0</v>
      </c>
      <c r="AO105" s="2" t="str">
        <f t="shared" si="50"/>
        <v>CONMEX T6</v>
      </c>
    </row>
    <row r="106" spans="1:43" x14ac:dyDescent="0.25">
      <c r="A106" t="s">
        <v>101</v>
      </c>
      <c r="B106" s="2" t="s">
        <v>4</v>
      </c>
      <c r="C106" s="2">
        <v>2026</v>
      </c>
      <c r="D106" s="1"/>
      <c r="E106" s="11"/>
      <c r="F106" s="1"/>
      <c r="G106" s="11"/>
      <c r="H106" s="1"/>
      <c r="I106" s="11"/>
      <c r="J106" s="1"/>
      <c r="K106" s="11"/>
      <c r="L106" s="1"/>
      <c r="M106" s="11"/>
      <c r="N106" s="1"/>
      <c r="O106" s="11"/>
      <c r="P106" s="1"/>
      <c r="Q106" s="11"/>
      <c r="R106" s="1"/>
      <c r="S106" s="11"/>
      <c r="T106" s="53">
        <f t="shared" si="52"/>
        <v>0</v>
      </c>
      <c r="U106" s="54">
        <f t="shared" si="53"/>
        <v>0</v>
      </c>
      <c r="V106" s="2" t="s">
        <v>93</v>
      </c>
      <c r="X106" t="str">
        <f t="shared" si="43"/>
        <v>Estimado</v>
      </c>
      <c r="Y106" s="2" t="str">
        <f t="shared" si="43"/>
        <v>AGOSTO</v>
      </c>
      <c r="Z106" s="2">
        <v>2026</v>
      </c>
      <c r="AA106" s="1">
        <f t="shared" si="44"/>
        <v>0</v>
      </c>
      <c r="AB106" s="11">
        <f t="shared" si="44"/>
        <v>0</v>
      </c>
      <c r="AC106" s="1">
        <f t="shared" si="45"/>
        <v>0</v>
      </c>
      <c r="AD106" s="11">
        <f t="shared" si="45"/>
        <v>0</v>
      </c>
      <c r="AE106" s="8">
        <f t="shared" si="45"/>
        <v>0</v>
      </c>
      <c r="AF106" s="11">
        <f t="shared" si="45"/>
        <v>0</v>
      </c>
      <c r="AG106" s="8">
        <f t="shared" si="45"/>
        <v>0</v>
      </c>
      <c r="AH106" s="11">
        <f t="shared" si="45"/>
        <v>0</v>
      </c>
      <c r="AI106" s="8">
        <f t="shared" si="45"/>
        <v>0</v>
      </c>
      <c r="AJ106" s="11">
        <f t="shared" si="45"/>
        <v>0</v>
      </c>
      <c r="AK106" s="11">
        <f t="shared" si="45"/>
        <v>0</v>
      </c>
      <c r="AL106" s="11">
        <f t="shared" si="45"/>
        <v>0</v>
      </c>
      <c r="AM106" s="27">
        <f t="shared" si="49"/>
        <v>0</v>
      </c>
      <c r="AN106" s="14">
        <f t="shared" si="46"/>
        <v>0</v>
      </c>
      <c r="AO106" s="2" t="str">
        <f t="shared" si="50"/>
        <v>CONMEX T6</v>
      </c>
    </row>
    <row r="107" spans="1:43" x14ac:dyDescent="0.25">
      <c r="A107" t="s">
        <v>102</v>
      </c>
      <c r="B107" s="2" t="s">
        <v>4</v>
      </c>
      <c r="C107" s="2">
        <v>2026</v>
      </c>
      <c r="D107" s="1"/>
      <c r="E107" s="11"/>
      <c r="F107" s="1"/>
      <c r="G107" s="11"/>
      <c r="H107" s="1"/>
      <c r="I107" s="11"/>
      <c r="J107" s="1"/>
      <c r="K107" s="11"/>
      <c r="L107" s="1"/>
      <c r="M107" s="11"/>
      <c r="N107" s="1"/>
      <c r="O107" s="11"/>
      <c r="P107" s="1"/>
      <c r="Q107" s="11"/>
      <c r="R107" s="1"/>
      <c r="S107" s="11"/>
      <c r="T107" s="53">
        <f t="shared" si="52"/>
        <v>0</v>
      </c>
      <c r="U107" s="54">
        <f t="shared" si="53"/>
        <v>0</v>
      </c>
      <c r="V107" s="2" t="s">
        <v>93</v>
      </c>
      <c r="X107" t="str">
        <f t="shared" si="43"/>
        <v>Real</v>
      </c>
      <c r="Y107" s="2" t="str">
        <f t="shared" si="43"/>
        <v>AGOSTO</v>
      </c>
      <c r="Z107" s="2">
        <v>2026</v>
      </c>
      <c r="AA107" s="1">
        <f t="shared" si="44"/>
        <v>0</v>
      </c>
      <c r="AB107" s="11">
        <f t="shared" si="44"/>
        <v>0</v>
      </c>
      <c r="AC107" s="1">
        <f t="shared" si="45"/>
        <v>0</v>
      </c>
      <c r="AD107" s="11">
        <f t="shared" si="45"/>
        <v>0</v>
      </c>
      <c r="AE107" s="8">
        <f t="shared" si="45"/>
        <v>0</v>
      </c>
      <c r="AF107" s="11">
        <f t="shared" si="45"/>
        <v>0</v>
      </c>
      <c r="AG107" s="8">
        <f t="shared" si="45"/>
        <v>0</v>
      </c>
      <c r="AH107" s="11">
        <f t="shared" si="45"/>
        <v>0</v>
      </c>
      <c r="AI107" s="8">
        <f t="shared" si="45"/>
        <v>0</v>
      </c>
      <c r="AJ107" s="11">
        <f t="shared" si="45"/>
        <v>0</v>
      </c>
      <c r="AK107" s="11">
        <f t="shared" si="45"/>
        <v>0</v>
      </c>
      <c r="AL107" s="11">
        <f t="shared" si="45"/>
        <v>0</v>
      </c>
      <c r="AM107" s="27">
        <f t="shared" si="49"/>
        <v>0</v>
      </c>
      <c r="AN107" s="14">
        <f t="shared" si="46"/>
        <v>0</v>
      </c>
      <c r="AO107" s="2" t="str">
        <f t="shared" si="50"/>
        <v>CONMEX T6</v>
      </c>
    </row>
    <row r="108" spans="1:43" x14ac:dyDescent="0.25">
      <c r="A108" t="s">
        <v>101</v>
      </c>
      <c r="B108" s="2" t="s">
        <v>28</v>
      </c>
      <c r="C108" s="2">
        <v>2026</v>
      </c>
      <c r="D108" s="1"/>
      <c r="E108" s="11"/>
      <c r="F108" s="1"/>
      <c r="G108" s="11"/>
      <c r="H108" s="1"/>
      <c r="I108" s="11"/>
      <c r="J108" s="1"/>
      <c r="K108" s="11"/>
      <c r="L108" s="1"/>
      <c r="M108" s="11"/>
      <c r="N108" s="1"/>
      <c r="O108" s="11"/>
      <c r="P108" s="1"/>
      <c r="Q108" s="11"/>
      <c r="R108" s="1"/>
      <c r="S108" s="11"/>
      <c r="T108" s="53">
        <f t="shared" si="52"/>
        <v>0</v>
      </c>
      <c r="U108" s="54">
        <f t="shared" si="53"/>
        <v>0</v>
      </c>
      <c r="V108" s="2" t="s">
        <v>93</v>
      </c>
      <c r="X108" t="str">
        <f t="shared" si="43"/>
        <v>Estimado</v>
      </c>
      <c r="Y108" s="2" t="str">
        <f t="shared" si="43"/>
        <v>SEPTIEMBRE</v>
      </c>
      <c r="Z108" s="2">
        <v>2026</v>
      </c>
      <c r="AA108" s="1">
        <f t="shared" si="44"/>
        <v>0</v>
      </c>
      <c r="AB108" s="11">
        <f t="shared" si="44"/>
        <v>0</v>
      </c>
      <c r="AC108" s="1">
        <f t="shared" si="45"/>
        <v>0</v>
      </c>
      <c r="AD108" s="11">
        <f t="shared" si="45"/>
        <v>0</v>
      </c>
      <c r="AE108" s="8">
        <f t="shared" si="45"/>
        <v>0</v>
      </c>
      <c r="AF108" s="11">
        <f t="shared" si="45"/>
        <v>0</v>
      </c>
      <c r="AG108" s="8">
        <f t="shared" si="45"/>
        <v>0</v>
      </c>
      <c r="AH108" s="11">
        <f t="shared" si="45"/>
        <v>0</v>
      </c>
      <c r="AI108" s="8">
        <f t="shared" si="45"/>
        <v>0</v>
      </c>
      <c r="AJ108" s="11">
        <f t="shared" si="45"/>
        <v>0</v>
      </c>
      <c r="AK108" s="11">
        <f t="shared" si="45"/>
        <v>0</v>
      </c>
      <c r="AL108" s="11">
        <f t="shared" si="45"/>
        <v>0</v>
      </c>
      <c r="AM108" s="8">
        <f t="shared" si="49"/>
        <v>0</v>
      </c>
      <c r="AN108" s="11">
        <f t="shared" si="46"/>
        <v>0</v>
      </c>
      <c r="AO108" s="2" t="str">
        <f t="shared" si="50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2026</v>
      </c>
      <c r="D109" s="1"/>
      <c r="E109" s="11"/>
      <c r="F109" s="1"/>
      <c r="G109" s="11"/>
      <c r="H109" s="1"/>
      <c r="I109" s="11"/>
      <c r="J109" s="1"/>
      <c r="K109" s="11"/>
      <c r="L109" s="1"/>
      <c r="M109" s="11"/>
      <c r="N109" s="1"/>
      <c r="O109" s="11"/>
      <c r="P109" s="1"/>
      <c r="Q109" s="11"/>
      <c r="R109" s="1"/>
      <c r="S109" s="11"/>
      <c r="T109" s="53">
        <f t="shared" si="52"/>
        <v>0</v>
      </c>
      <c r="U109" s="54">
        <f t="shared" si="53"/>
        <v>0</v>
      </c>
      <c r="V109" s="2" t="s">
        <v>93</v>
      </c>
      <c r="X109" t="str">
        <f t="shared" si="43"/>
        <v>Real</v>
      </c>
      <c r="Y109" s="2" t="str">
        <f t="shared" si="43"/>
        <v>SEPTIEMBRE</v>
      </c>
      <c r="Z109" s="2">
        <v>2026</v>
      </c>
      <c r="AA109" s="1">
        <f t="shared" si="44"/>
        <v>0</v>
      </c>
      <c r="AB109" s="11">
        <f t="shared" si="44"/>
        <v>0</v>
      </c>
      <c r="AC109" s="1">
        <f t="shared" si="45"/>
        <v>0</v>
      </c>
      <c r="AD109" s="11">
        <f t="shared" si="45"/>
        <v>0</v>
      </c>
      <c r="AE109" s="8">
        <f t="shared" si="45"/>
        <v>0</v>
      </c>
      <c r="AF109" s="11">
        <f t="shared" si="45"/>
        <v>0</v>
      </c>
      <c r="AG109" s="8">
        <f t="shared" si="45"/>
        <v>0</v>
      </c>
      <c r="AH109" s="11">
        <f t="shared" si="45"/>
        <v>0</v>
      </c>
      <c r="AI109" s="8">
        <f t="shared" si="45"/>
        <v>0</v>
      </c>
      <c r="AJ109" s="11">
        <f t="shared" si="45"/>
        <v>0</v>
      </c>
      <c r="AK109" s="11">
        <f t="shared" si="45"/>
        <v>0</v>
      </c>
      <c r="AL109" s="11">
        <f t="shared" si="45"/>
        <v>0</v>
      </c>
      <c r="AM109" s="8">
        <f t="shared" si="49"/>
        <v>0</v>
      </c>
      <c r="AN109" s="11">
        <f t="shared" si="46"/>
        <v>0</v>
      </c>
      <c r="AO109" s="2" t="str">
        <f t="shared" si="50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2026</v>
      </c>
      <c r="D110" s="1"/>
      <c r="E110" s="11"/>
      <c r="F110" s="1"/>
      <c r="G110" s="11"/>
      <c r="H110" s="1"/>
      <c r="I110" s="11"/>
      <c r="J110" s="1"/>
      <c r="K110" s="11"/>
      <c r="L110" s="1"/>
      <c r="M110" s="11"/>
      <c r="N110" s="1"/>
      <c r="O110" s="11"/>
      <c r="P110" s="1"/>
      <c r="Q110" s="11"/>
      <c r="R110" s="1"/>
      <c r="S110" s="11"/>
      <c r="T110" s="53">
        <f t="shared" si="52"/>
        <v>0</v>
      </c>
      <c r="U110" s="54">
        <f t="shared" si="53"/>
        <v>0</v>
      </c>
      <c r="V110" s="2" t="s">
        <v>93</v>
      </c>
      <c r="X110" t="str">
        <f t="shared" si="43"/>
        <v>Estimado</v>
      </c>
      <c r="Y110" s="2" t="str">
        <f t="shared" si="43"/>
        <v>OCTUBRE</v>
      </c>
      <c r="Z110" s="2">
        <v>2026</v>
      </c>
      <c r="AA110" s="1">
        <f t="shared" si="44"/>
        <v>0</v>
      </c>
      <c r="AB110" s="11">
        <f t="shared" si="44"/>
        <v>0</v>
      </c>
      <c r="AC110" s="1">
        <f t="shared" si="45"/>
        <v>0</v>
      </c>
      <c r="AD110" s="11">
        <f t="shared" si="45"/>
        <v>0</v>
      </c>
      <c r="AE110" s="8">
        <f t="shared" si="45"/>
        <v>0</v>
      </c>
      <c r="AF110" s="11">
        <f t="shared" si="45"/>
        <v>0</v>
      </c>
      <c r="AG110" s="8">
        <f t="shared" si="45"/>
        <v>0</v>
      </c>
      <c r="AH110" s="11">
        <f t="shared" si="45"/>
        <v>0</v>
      </c>
      <c r="AI110" s="8">
        <f t="shared" si="45"/>
        <v>0</v>
      </c>
      <c r="AJ110" s="11">
        <f t="shared" si="45"/>
        <v>0</v>
      </c>
      <c r="AK110" s="11">
        <f t="shared" si="45"/>
        <v>0</v>
      </c>
      <c r="AL110" s="11">
        <f t="shared" si="45"/>
        <v>0</v>
      </c>
      <c r="AM110" s="8">
        <f t="shared" si="49"/>
        <v>0</v>
      </c>
      <c r="AN110" s="11">
        <f t="shared" si="46"/>
        <v>0</v>
      </c>
      <c r="AO110" s="2" t="str">
        <f t="shared" si="50"/>
        <v>CONMEX T6</v>
      </c>
    </row>
    <row r="111" spans="1:43" x14ac:dyDescent="0.25">
      <c r="A111" t="s">
        <v>102</v>
      </c>
      <c r="B111" s="2" t="s">
        <v>29</v>
      </c>
      <c r="C111" s="2">
        <v>2026</v>
      </c>
      <c r="D111" s="1"/>
      <c r="E111" s="11"/>
      <c r="F111" s="1"/>
      <c r="G111" s="11"/>
      <c r="H111" s="1"/>
      <c r="I111" s="11"/>
      <c r="J111" s="1"/>
      <c r="K111" s="11"/>
      <c r="L111" s="1"/>
      <c r="M111" s="11"/>
      <c r="N111" s="1"/>
      <c r="O111" s="11"/>
      <c r="P111" s="1"/>
      <c r="Q111" s="11"/>
      <c r="R111" s="1"/>
      <c r="S111" s="11"/>
      <c r="T111" s="53">
        <f t="shared" si="52"/>
        <v>0</v>
      </c>
      <c r="U111" s="54">
        <f t="shared" si="53"/>
        <v>0</v>
      </c>
      <c r="V111" s="2" t="s">
        <v>93</v>
      </c>
      <c r="X111" t="str">
        <f t="shared" si="43"/>
        <v>Real</v>
      </c>
      <c r="Y111" s="2" t="str">
        <f t="shared" si="43"/>
        <v>OCTUBRE</v>
      </c>
      <c r="Z111" s="2">
        <v>2026</v>
      </c>
      <c r="AA111" s="1">
        <f t="shared" si="44"/>
        <v>0</v>
      </c>
      <c r="AB111" s="11">
        <f t="shared" si="44"/>
        <v>0</v>
      </c>
      <c r="AC111" s="1">
        <f t="shared" si="45"/>
        <v>0</v>
      </c>
      <c r="AD111" s="11">
        <f t="shared" si="45"/>
        <v>0</v>
      </c>
      <c r="AE111" s="8">
        <f t="shared" si="45"/>
        <v>0</v>
      </c>
      <c r="AF111" s="11">
        <f t="shared" si="45"/>
        <v>0</v>
      </c>
      <c r="AG111" s="8">
        <f t="shared" si="45"/>
        <v>0</v>
      </c>
      <c r="AH111" s="11">
        <f t="shared" si="45"/>
        <v>0</v>
      </c>
      <c r="AI111" s="8">
        <f t="shared" si="45"/>
        <v>0</v>
      </c>
      <c r="AJ111" s="11">
        <f t="shared" si="45"/>
        <v>0</v>
      </c>
      <c r="AK111" s="11">
        <f t="shared" si="45"/>
        <v>0</v>
      </c>
      <c r="AL111" s="11">
        <f t="shared" si="45"/>
        <v>0</v>
      </c>
      <c r="AM111" s="8">
        <f t="shared" si="49"/>
        <v>0</v>
      </c>
      <c r="AN111" s="11">
        <f t="shared" si="46"/>
        <v>0</v>
      </c>
      <c r="AO111" s="2" t="str">
        <f t="shared" si="50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2026</v>
      </c>
      <c r="D112" s="1"/>
      <c r="E112" s="11"/>
      <c r="F112" s="1"/>
      <c r="G112" s="11"/>
      <c r="H112" s="1"/>
      <c r="I112" s="11"/>
      <c r="J112" s="1"/>
      <c r="K112" s="11"/>
      <c r="L112" s="1"/>
      <c r="M112" s="11"/>
      <c r="N112" s="1"/>
      <c r="O112" s="11"/>
      <c r="P112" s="1"/>
      <c r="Q112" s="11"/>
      <c r="R112" s="1"/>
      <c r="S112" s="11"/>
      <c r="T112" s="53">
        <f t="shared" si="52"/>
        <v>0</v>
      </c>
      <c r="U112" s="54">
        <f t="shared" si="53"/>
        <v>0</v>
      </c>
      <c r="V112" s="2" t="s">
        <v>93</v>
      </c>
      <c r="X112" t="str">
        <f t="shared" si="43"/>
        <v>Estimado</v>
      </c>
      <c r="Y112" s="2" t="str">
        <f t="shared" si="43"/>
        <v>NOVIEMBRE</v>
      </c>
      <c r="Z112" s="2">
        <v>2026</v>
      </c>
      <c r="AA112" s="1">
        <f t="shared" si="44"/>
        <v>0</v>
      </c>
      <c r="AB112" s="11">
        <f t="shared" si="44"/>
        <v>0</v>
      </c>
      <c r="AC112" s="1">
        <f t="shared" si="45"/>
        <v>0</v>
      </c>
      <c r="AD112" s="11">
        <f t="shared" si="45"/>
        <v>0</v>
      </c>
      <c r="AE112" s="8">
        <f t="shared" si="45"/>
        <v>0</v>
      </c>
      <c r="AF112" s="11">
        <f t="shared" si="45"/>
        <v>0</v>
      </c>
      <c r="AG112" s="8">
        <f t="shared" si="45"/>
        <v>0</v>
      </c>
      <c r="AH112" s="11">
        <f t="shared" si="45"/>
        <v>0</v>
      </c>
      <c r="AI112" s="8">
        <f t="shared" si="45"/>
        <v>0</v>
      </c>
      <c r="AJ112" s="11">
        <f t="shared" si="45"/>
        <v>0</v>
      </c>
      <c r="AK112" s="11">
        <f t="shared" si="45"/>
        <v>0</v>
      </c>
      <c r="AL112" s="11">
        <f t="shared" si="45"/>
        <v>0</v>
      </c>
      <c r="AM112" s="79">
        <f t="shared" si="49"/>
        <v>0</v>
      </c>
      <c r="AN112" s="80">
        <f t="shared" si="46"/>
        <v>0</v>
      </c>
      <c r="AO112" s="2" t="str">
        <f t="shared" si="50"/>
        <v>CONMEX T6</v>
      </c>
    </row>
    <row r="113" spans="1:43" x14ac:dyDescent="0.25">
      <c r="A113" t="s">
        <v>102</v>
      </c>
      <c r="B113" s="2" t="s">
        <v>30</v>
      </c>
      <c r="C113" s="2">
        <v>2026</v>
      </c>
      <c r="D113" s="1"/>
      <c r="E113" s="11"/>
      <c r="F113" s="1"/>
      <c r="G113" s="11"/>
      <c r="H113" s="1"/>
      <c r="I113" s="11"/>
      <c r="J113" s="1"/>
      <c r="K113" s="11"/>
      <c r="L113" s="1"/>
      <c r="M113" s="11"/>
      <c r="N113" s="1"/>
      <c r="O113" s="11"/>
      <c r="P113" s="1"/>
      <c r="Q113" s="11"/>
      <c r="R113" s="1"/>
      <c r="S113" s="11"/>
      <c r="T113" s="53">
        <f t="shared" si="52"/>
        <v>0</v>
      </c>
      <c r="U113" s="54">
        <f t="shared" si="53"/>
        <v>0</v>
      </c>
      <c r="V113" s="2" t="s">
        <v>93</v>
      </c>
      <c r="X113" t="str">
        <f t="shared" si="43"/>
        <v>Real</v>
      </c>
      <c r="Y113" s="2" t="str">
        <f t="shared" si="43"/>
        <v>NOVIEMBRE</v>
      </c>
      <c r="Z113" s="2">
        <v>2026</v>
      </c>
      <c r="AA113" s="1">
        <f t="shared" si="44"/>
        <v>0</v>
      </c>
      <c r="AB113" s="11">
        <f t="shared" si="44"/>
        <v>0</v>
      </c>
      <c r="AC113" s="1">
        <f t="shared" si="45"/>
        <v>0</v>
      </c>
      <c r="AD113" s="11">
        <f t="shared" si="45"/>
        <v>0</v>
      </c>
      <c r="AE113" s="8">
        <f t="shared" si="45"/>
        <v>0</v>
      </c>
      <c r="AF113" s="11">
        <f t="shared" si="45"/>
        <v>0</v>
      </c>
      <c r="AG113" s="8">
        <f t="shared" si="45"/>
        <v>0</v>
      </c>
      <c r="AH113" s="11">
        <f t="shared" si="45"/>
        <v>0</v>
      </c>
      <c r="AI113" s="8">
        <f t="shared" si="45"/>
        <v>0</v>
      </c>
      <c r="AJ113" s="11">
        <f t="shared" si="45"/>
        <v>0</v>
      </c>
      <c r="AK113" s="11">
        <f t="shared" si="45"/>
        <v>0</v>
      </c>
      <c r="AL113" s="11">
        <f t="shared" si="45"/>
        <v>0</v>
      </c>
      <c r="AM113" s="79">
        <f t="shared" si="49"/>
        <v>0</v>
      </c>
      <c r="AN113" s="80">
        <f t="shared" si="46"/>
        <v>0</v>
      </c>
      <c r="AO113" s="2" t="str">
        <f t="shared" si="50"/>
        <v>CONMEX T6</v>
      </c>
    </row>
    <row r="114" spans="1:43" x14ac:dyDescent="0.25">
      <c r="A114" t="s">
        <v>101</v>
      </c>
      <c r="B114" s="2" t="s">
        <v>31</v>
      </c>
      <c r="C114" s="2">
        <v>2026</v>
      </c>
      <c r="D114" s="1"/>
      <c r="E114" s="11"/>
      <c r="F114" s="1"/>
      <c r="G114" s="11"/>
      <c r="H114" s="1"/>
      <c r="I114" s="11"/>
      <c r="J114" s="1"/>
      <c r="K114" s="11"/>
      <c r="L114" s="1"/>
      <c r="M114" s="11"/>
      <c r="N114" s="1"/>
      <c r="O114" s="11"/>
      <c r="P114" s="1"/>
      <c r="Q114" s="11"/>
      <c r="R114" s="1"/>
      <c r="S114" s="11"/>
      <c r="T114" s="53">
        <f t="shared" si="52"/>
        <v>0</v>
      </c>
      <c r="U114" s="54">
        <f t="shared" si="53"/>
        <v>0</v>
      </c>
      <c r="V114" s="2" t="s">
        <v>93</v>
      </c>
      <c r="X114" t="str">
        <f t="shared" si="43"/>
        <v>Estimado</v>
      </c>
      <c r="Y114" s="2" t="str">
        <f t="shared" si="43"/>
        <v>DICIEMBRE</v>
      </c>
      <c r="Z114" s="2">
        <v>2026</v>
      </c>
      <c r="AA114" s="1">
        <f t="shared" si="44"/>
        <v>0</v>
      </c>
      <c r="AB114" s="11">
        <f t="shared" si="44"/>
        <v>0</v>
      </c>
      <c r="AC114" s="1">
        <f t="shared" si="45"/>
        <v>0</v>
      </c>
      <c r="AD114" s="11">
        <f t="shared" si="45"/>
        <v>0</v>
      </c>
      <c r="AE114" s="8">
        <f t="shared" si="45"/>
        <v>0</v>
      </c>
      <c r="AF114" s="11">
        <f t="shared" si="45"/>
        <v>0</v>
      </c>
      <c r="AG114" s="8">
        <f t="shared" si="45"/>
        <v>0</v>
      </c>
      <c r="AH114" s="11">
        <f t="shared" si="45"/>
        <v>0</v>
      </c>
      <c r="AI114" s="8">
        <f t="shared" si="45"/>
        <v>0</v>
      </c>
      <c r="AJ114" s="11">
        <f t="shared" si="45"/>
        <v>0</v>
      </c>
      <c r="AK114" s="11">
        <f t="shared" si="45"/>
        <v>0</v>
      </c>
      <c r="AL114" s="11">
        <f t="shared" si="45"/>
        <v>0</v>
      </c>
      <c r="AM114" s="8">
        <f t="shared" si="49"/>
        <v>0</v>
      </c>
      <c r="AN114" s="11">
        <f t="shared" si="46"/>
        <v>0</v>
      </c>
      <c r="AO114" s="2" t="str">
        <f t="shared" si="50"/>
        <v>CONMEX T6</v>
      </c>
    </row>
    <row r="115" spans="1:43" x14ac:dyDescent="0.25">
      <c r="A115" t="s">
        <v>102</v>
      </c>
      <c r="B115" s="2" t="s">
        <v>31</v>
      </c>
      <c r="C115" s="2">
        <v>2026</v>
      </c>
      <c r="D115" s="1"/>
      <c r="E115" s="11"/>
      <c r="F115" s="1"/>
      <c r="G115" s="11"/>
      <c r="H115" s="1"/>
      <c r="I115" s="11"/>
      <c r="J115" s="1"/>
      <c r="K115" s="11"/>
      <c r="L115" s="1"/>
      <c r="M115" s="11"/>
      <c r="N115" s="1"/>
      <c r="O115" s="11"/>
      <c r="P115" s="1"/>
      <c r="Q115" s="11"/>
      <c r="R115" s="1"/>
      <c r="S115" s="11"/>
      <c r="T115" s="53">
        <f t="shared" si="52"/>
        <v>0</v>
      </c>
      <c r="U115" s="54">
        <f t="shared" si="53"/>
        <v>0</v>
      </c>
      <c r="V115" s="2" t="s">
        <v>93</v>
      </c>
      <c r="X115" t="str">
        <f t="shared" si="43"/>
        <v>Real</v>
      </c>
      <c r="Y115" s="2" t="str">
        <f t="shared" si="43"/>
        <v>DICIEMBRE</v>
      </c>
      <c r="Z115" s="2">
        <v>2026</v>
      </c>
      <c r="AA115" s="1">
        <f t="shared" si="44"/>
        <v>0</v>
      </c>
      <c r="AB115" s="11">
        <f t="shared" si="44"/>
        <v>0</v>
      </c>
      <c r="AC115" s="1">
        <f t="shared" si="45"/>
        <v>0</v>
      </c>
      <c r="AD115" s="11">
        <f t="shared" si="45"/>
        <v>0</v>
      </c>
      <c r="AE115" s="8">
        <f t="shared" si="45"/>
        <v>0</v>
      </c>
      <c r="AF115" s="11">
        <f t="shared" si="45"/>
        <v>0</v>
      </c>
      <c r="AG115" s="8">
        <f t="shared" si="45"/>
        <v>0</v>
      </c>
      <c r="AH115" s="11">
        <f t="shared" si="45"/>
        <v>0</v>
      </c>
      <c r="AI115" s="8">
        <f t="shared" si="45"/>
        <v>0</v>
      </c>
      <c r="AJ115" s="11">
        <f t="shared" si="45"/>
        <v>0</v>
      </c>
      <c r="AK115" s="11">
        <f t="shared" si="45"/>
        <v>0</v>
      </c>
      <c r="AL115" s="11">
        <f t="shared" si="45"/>
        <v>0</v>
      </c>
      <c r="AM115" s="8">
        <f t="shared" si="49"/>
        <v>0</v>
      </c>
      <c r="AN115" s="11">
        <f t="shared" si="46"/>
        <v>0</v>
      </c>
      <c r="AO115" s="2" t="str">
        <f t="shared" si="50"/>
        <v>CONMEX T6</v>
      </c>
    </row>
    <row r="117" spans="1:43" x14ac:dyDescent="0.25">
      <c r="B117" s="3" t="s">
        <v>12</v>
      </c>
      <c r="C117" s="3"/>
      <c r="D117" s="4">
        <f t="shared" ref="D117:U117" si="54">SUM(D92:D116)</f>
        <v>289769.06451612903</v>
      </c>
      <c r="E117" s="12">
        <f t="shared" si="54"/>
        <v>10242585.129032258</v>
      </c>
      <c r="F117" s="4">
        <f t="shared" si="54"/>
        <v>210573.61290322582</v>
      </c>
      <c r="G117" s="12">
        <f t="shared" si="54"/>
        <v>7939506.3225806449</v>
      </c>
      <c r="H117" s="4">
        <f t="shared" si="54"/>
        <v>44421.580645161288</v>
      </c>
      <c r="I117" s="12">
        <f t="shared" si="54"/>
        <v>2443447.2903225804</v>
      </c>
      <c r="J117" s="4">
        <f t="shared" si="54"/>
        <v>2172625.5483870967</v>
      </c>
      <c r="K117" s="12">
        <f t="shared" si="54"/>
        <v>105541771.29032259</v>
      </c>
      <c r="L117" s="4">
        <f t="shared" si="54"/>
        <v>31423.387096774193</v>
      </c>
      <c r="M117" s="12">
        <f t="shared" si="54"/>
        <v>2059639.7741935484</v>
      </c>
      <c r="N117" s="4">
        <f t="shared" si="54"/>
        <v>88684.032258064515</v>
      </c>
      <c r="O117" s="12">
        <f t="shared" si="54"/>
        <v>5846514.8064516131</v>
      </c>
      <c r="P117" s="4">
        <f t="shared" si="54"/>
        <v>221.7741935483871</v>
      </c>
      <c r="Q117" s="12">
        <f t="shared" si="54"/>
        <v>19571.870967741936</v>
      </c>
      <c r="R117" s="4">
        <f t="shared" si="54"/>
        <v>7362.322580645161</v>
      </c>
      <c r="S117" s="12">
        <f t="shared" si="54"/>
        <v>252156.87096774194</v>
      </c>
      <c r="T117" s="4">
        <f t="shared" si="54"/>
        <v>2795452.3225806453</v>
      </c>
      <c r="U117" s="12">
        <f t="shared" si="54"/>
        <v>132590938.35483871</v>
      </c>
      <c r="V117" s="38"/>
      <c r="Y117" s="3" t="s">
        <v>12</v>
      </c>
      <c r="Z117" s="3"/>
      <c r="AA117" s="4">
        <f t="shared" ref="AA117:AN117" si="55">SUM(AA92:AA115)</f>
        <v>594393.25806451612</v>
      </c>
      <c r="AB117" s="12">
        <f t="shared" si="55"/>
        <v>22379793.741935484</v>
      </c>
      <c r="AC117" s="4">
        <f t="shared" si="55"/>
        <v>2172625.5483870967</v>
      </c>
      <c r="AD117" s="12">
        <f t="shared" si="55"/>
        <v>105541771.29032259</v>
      </c>
      <c r="AE117" s="4">
        <f t="shared" si="55"/>
        <v>31423.387096774193</v>
      </c>
      <c r="AF117" s="12">
        <f t="shared" si="55"/>
        <v>2059639.7741935484</v>
      </c>
      <c r="AG117" s="4">
        <f t="shared" si="55"/>
        <v>88684.032258064515</v>
      </c>
      <c r="AH117" s="12">
        <f t="shared" si="55"/>
        <v>5846514.8064516131</v>
      </c>
      <c r="AI117" s="4">
        <f t="shared" si="55"/>
        <v>221.7741935483871</v>
      </c>
      <c r="AJ117" s="12">
        <f t="shared" si="55"/>
        <v>19571.870967741936</v>
      </c>
      <c r="AK117" s="4">
        <f t="shared" si="55"/>
        <v>7362.322580645161</v>
      </c>
      <c r="AL117" s="12">
        <f t="shared" si="55"/>
        <v>252156.87096774194</v>
      </c>
      <c r="AM117" s="4">
        <f t="shared" si="55"/>
        <v>2894710.3225806453</v>
      </c>
      <c r="AN117" s="12">
        <f t="shared" si="55"/>
        <v>136099448.35483873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4861</v>
      </c>
      <c r="M118" s="60">
        <f>AVERAGE(M93:M94)</f>
        <v>318618</v>
      </c>
      <c r="T118" s="15">
        <f>AVERAGE(T93:T94)</f>
        <v>220061.5</v>
      </c>
      <c r="U118" s="28">
        <f>AVERAGE(U93:U94)</f>
        <v>10391341</v>
      </c>
    </row>
    <row r="119" spans="1:43" x14ac:dyDescent="0.25">
      <c r="A119" s="67" t="s">
        <v>14</v>
      </c>
      <c r="D119" s="15">
        <v>487279</v>
      </c>
      <c r="E119" s="9">
        <v>23009396</v>
      </c>
      <c r="J119" s="46" t="str">
        <f>+$A$66</f>
        <v>Aforo e Ingreso - CONMEX</v>
      </c>
      <c r="K119" s="9" t="s">
        <v>85</v>
      </c>
      <c r="L119" s="26">
        <f>+L118/$L$371</f>
        <v>3.2152873319928034E-2</v>
      </c>
      <c r="M119" s="36">
        <f>+M118/$M$371</f>
        <v>1.1464489958542582E-2</v>
      </c>
      <c r="N119" s="18"/>
      <c r="O119" s="19"/>
      <c r="P119" s="19"/>
      <c r="Q119" s="19"/>
      <c r="R119" s="19"/>
      <c r="S119" s="19"/>
      <c r="T119" s="36">
        <f>+L118/T118</f>
        <v>2.2089279587751604E-2</v>
      </c>
      <c r="U119" s="62">
        <f>+M118/U118</f>
        <v>3.0661875113135062E-2</v>
      </c>
    </row>
    <row r="120" spans="1:43" x14ac:dyDescent="0.25">
      <c r="A120" s="67" t="s">
        <v>32</v>
      </c>
      <c r="D120" s="26">
        <f>D92/$T$92</f>
        <v>0.1018492485824343</v>
      </c>
      <c r="E120" s="26">
        <f>+E92/$U$92</f>
        <v>7.6240807179779629E-2</v>
      </c>
      <c r="F120" s="26">
        <f>F92/$T$92</f>
        <v>7.4013039757510585E-2</v>
      </c>
      <c r="G120" s="26">
        <f>+G92/$U$92</f>
        <v>5.909781121165409E-2</v>
      </c>
      <c r="H120" s="26">
        <f>H92/$T$92</f>
        <v>1.5613231844590061E-2</v>
      </c>
      <c r="I120" s="26">
        <f>+I92/$U$92</f>
        <v>1.8187829954865831E-2</v>
      </c>
      <c r="J120" s="26">
        <f>J92/$T$92</f>
        <v>0.76364259489943132</v>
      </c>
      <c r="K120" s="26">
        <f>+K92/$U$92</f>
        <v>0.78560142188863102</v>
      </c>
      <c r="L120" s="26">
        <f>L92/$T$92</f>
        <v>1.1045007069871675E-2</v>
      </c>
      <c r="M120" s="26">
        <f>+M92/$U$92</f>
        <v>1.5330953696874369E-2</v>
      </c>
      <c r="N120" s="26">
        <f>N92/$T$92</f>
        <v>3.117105395471588E-2</v>
      </c>
      <c r="O120" s="26">
        <f>+O92/$U$92</f>
        <v>4.351856765303324E-2</v>
      </c>
      <c r="P120" s="26">
        <f>P92/$T$92</f>
        <v>7.798407072744772E-5</v>
      </c>
      <c r="Q120" s="26">
        <f>+Q92/$U$92</f>
        <v>1.4567961081292136E-4</v>
      </c>
      <c r="R120" s="26">
        <f>R92/$T$92</f>
        <v>2.5878398207187258E-3</v>
      </c>
      <c r="S120" s="26">
        <f>+S92/$U$92</f>
        <v>1.8769288043489361E-3</v>
      </c>
      <c r="T120" s="26">
        <f>R120+P120+N120+L120+J120+H120+F120+D120</f>
        <v>1</v>
      </c>
      <c r="U120" s="26">
        <f>S120+Q120+O120+M120+K120+I120+G120+E120</f>
        <v>1</v>
      </c>
    </row>
    <row r="121" spans="1:43" x14ac:dyDescent="0.25">
      <c r="B121" s="5"/>
    </row>
    <row r="122" spans="1:43" x14ac:dyDescent="0.25">
      <c r="D122" s="89" t="s">
        <v>15</v>
      </c>
      <c r="E122" s="90"/>
      <c r="F122" s="89" t="s">
        <v>71</v>
      </c>
      <c r="G122" s="90"/>
      <c r="H122" s="89" t="s">
        <v>16</v>
      </c>
      <c r="I122" s="90"/>
      <c r="J122" s="89" t="s">
        <v>17</v>
      </c>
      <c r="K122" s="93"/>
      <c r="L122" s="89" t="s">
        <v>18</v>
      </c>
      <c r="M122" s="93"/>
      <c r="N122" s="89" t="s">
        <v>13</v>
      </c>
      <c r="O122" s="93"/>
      <c r="P122" s="89" t="s">
        <v>34</v>
      </c>
      <c r="Q122" s="93"/>
      <c r="R122" s="89" t="s">
        <v>87</v>
      </c>
      <c r="S122" s="93"/>
      <c r="T122" s="89" t="s">
        <v>12</v>
      </c>
      <c r="U122" s="93"/>
      <c r="AA122" s="89" t="s">
        <v>69</v>
      </c>
      <c r="AB122" s="90"/>
      <c r="AC122" s="89" t="s">
        <v>17</v>
      </c>
      <c r="AD122" s="93"/>
      <c r="AE122" s="89" t="s">
        <v>18</v>
      </c>
      <c r="AF122" s="93"/>
      <c r="AG122" s="89" t="s">
        <v>13</v>
      </c>
      <c r="AH122" s="93"/>
      <c r="AI122" s="89" t="s">
        <v>34</v>
      </c>
      <c r="AJ122" s="93"/>
      <c r="AK122" s="89" t="s">
        <v>87</v>
      </c>
      <c r="AL122" s="93"/>
      <c r="AM122" s="89" t="s">
        <v>12</v>
      </c>
      <c r="AN122" s="93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2026</v>
      </c>
      <c r="D125" s="1">
        <v>22290</v>
      </c>
      <c r="E125" s="11">
        <v>3105223</v>
      </c>
      <c r="F125" s="1">
        <v>7622</v>
      </c>
      <c r="G125" s="11">
        <v>1616163</v>
      </c>
      <c r="H125" s="1">
        <v>5029</v>
      </c>
      <c r="I125" s="11">
        <v>901240</v>
      </c>
      <c r="J125" s="1">
        <v>262870</v>
      </c>
      <c r="K125" s="11">
        <v>55449422</v>
      </c>
      <c r="L125" s="8">
        <v>8479</v>
      </c>
      <c r="M125" s="11">
        <v>2039964</v>
      </c>
      <c r="N125" s="8">
        <v>21075</v>
      </c>
      <c r="O125" s="11">
        <v>3778324</v>
      </c>
      <c r="P125" s="8">
        <v>80</v>
      </c>
      <c r="Q125" s="11">
        <v>23490</v>
      </c>
      <c r="R125" s="8">
        <v>3818</v>
      </c>
      <c r="S125" s="11">
        <v>697452</v>
      </c>
      <c r="T125" s="53">
        <f>N125+L125+J125+H125+D125+P125+F125+R125</f>
        <v>331263</v>
      </c>
      <c r="U125" s="54">
        <f t="shared" ref="U125:U136" si="56">O125+M125+K125+I125+E125+Q125+G125+S125</f>
        <v>67611278</v>
      </c>
      <c r="V125" s="2" t="s">
        <v>60</v>
      </c>
      <c r="X125" s="13"/>
      <c r="Y125" s="2" t="s">
        <v>5</v>
      </c>
      <c r="Z125" s="2">
        <v>2026</v>
      </c>
      <c r="AA125" s="1">
        <f t="shared" ref="AA125:AB136" si="57">D125+H125+F125</f>
        <v>34941</v>
      </c>
      <c r="AB125" s="11">
        <f t="shared" si="57"/>
        <v>5622626</v>
      </c>
      <c r="AC125" s="1">
        <f t="shared" ref="AC125:AL136" si="58">+J125</f>
        <v>262870</v>
      </c>
      <c r="AD125" s="11">
        <f t="shared" si="58"/>
        <v>55449422</v>
      </c>
      <c r="AE125" s="8">
        <f t="shared" si="58"/>
        <v>8479</v>
      </c>
      <c r="AF125" s="11">
        <f t="shared" si="58"/>
        <v>2039964</v>
      </c>
      <c r="AG125" s="8">
        <f t="shared" si="58"/>
        <v>21075</v>
      </c>
      <c r="AH125" s="11">
        <f t="shared" si="58"/>
        <v>3778324</v>
      </c>
      <c r="AI125" s="8">
        <f t="shared" si="58"/>
        <v>80</v>
      </c>
      <c r="AJ125" s="11">
        <f t="shared" si="58"/>
        <v>23490</v>
      </c>
      <c r="AK125" s="11">
        <f t="shared" si="58"/>
        <v>3818</v>
      </c>
      <c r="AL125" s="11">
        <f t="shared" si="58"/>
        <v>697452</v>
      </c>
      <c r="AM125" s="8">
        <f>AI125+AG125+AE125+AC125+AA125+AK125</f>
        <v>331263</v>
      </c>
      <c r="AN125" s="11">
        <f t="shared" ref="AN125:AN136" si="59">AJ125+AH125+AF125+AD125+AB125+AL125</f>
        <v>67611278</v>
      </c>
      <c r="AO125" s="2" t="str">
        <f t="shared" ref="AO125:AO136" si="60">+V125</f>
        <v>LEP</v>
      </c>
      <c r="AP125" s="37">
        <f t="shared" ref="AP125:AQ136" si="61">+AM125-T125</f>
        <v>0</v>
      </c>
      <c r="AQ125" s="37">
        <f t="shared" si="61"/>
        <v>0</v>
      </c>
    </row>
    <row r="126" spans="1:43" x14ac:dyDescent="0.25">
      <c r="B126" s="2" t="s">
        <v>6</v>
      </c>
      <c r="C126" s="2">
        <v>2026</v>
      </c>
      <c r="D126" s="1">
        <v>15937</v>
      </c>
      <c r="E126" s="11">
        <v>2469154</v>
      </c>
      <c r="F126" s="1">
        <v>6532</v>
      </c>
      <c r="G126" s="11">
        <v>1443113</v>
      </c>
      <c r="H126" s="1">
        <v>3619</v>
      </c>
      <c r="I126" s="11">
        <v>656366</v>
      </c>
      <c r="J126" s="1">
        <v>222024</v>
      </c>
      <c r="K126" s="11">
        <v>49855739</v>
      </c>
      <c r="L126" s="8">
        <v>7699</v>
      </c>
      <c r="M126" s="11">
        <v>1955431</v>
      </c>
      <c r="N126" s="8">
        <v>18156</v>
      </c>
      <c r="O126" s="11">
        <v>3541665</v>
      </c>
      <c r="P126" s="8">
        <v>64</v>
      </c>
      <c r="Q126" s="11">
        <v>18780</v>
      </c>
      <c r="R126" s="8">
        <v>3240</v>
      </c>
      <c r="S126" s="11">
        <v>658168</v>
      </c>
      <c r="T126" s="53">
        <f t="shared" ref="T126:T136" si="62">N126+L126+J126+H126+D126+P126+F126+R126</f>
        <v>277271</v>
      </c>
      <c r="U126" s="54">
        <f t="shared" si="56"/>
        <v>60598416</v>
      </c>
      <c r="V126" s="2" t="s">
        <v>60</v>
      </c>
      <c r="X126" s="13"/>
      <c r="Y126" s="2" t="s">
        <v>6</v>
      </c>
      <c r="Z126" s="2">
        <v>2026</v>
      </c>
      <c r="AA126" s="1">
        <f t="shared" si="57"/>
        <v>26088</v>
      </c>
      <c r="AB126" s="11">
        <f t="shared" si="57"/>
        <v>4568633</v>
      </c>
      <c r="AC126" s="1">
        <f t="shared" si="58"/>
        <v>222024</v>
      </c>
      <c r="AD126" s="11">
        <f t="shared" si="58"/>
        <v>49855739</v>
      </c>
      <c r="AE126" s="8">
        <f t="shared" si="58"/>
        <v>7699</v>
      </c>
      <c r="AF126" s="11">
        <f t="shared" si="58"/>
        <v>1955431</v>
      </c>
      <c r="AG126" s="8">
        <f t="shared" si="58"/>
        <v>18156</v>
      </c>
      <c r="AH126" s="11">
        <f t="shared" si="58"/>
        <v>3541665</v>
      </c>
      <c r="AI126" s="8">
        <f t="shared" si="58"/>
        <v>64</v>
      </c>
      <c r="AJ126" s="11">
        <f t="shared" si="58"/>
        <v>18780</v>
      </c>
      <c r="AK126" s="11">
        <f t="shared" si="58"/>
        <v>3240</v>
      </c>
      <c r="AL126" s="11">
        <f t="shared" si="58"/>
        <v>658168</v>
      </c>
      <c r="AM126" s="8">
        <f t="shared" ref="AM126:AM136" si="63">AI126+AG126+AE126+AC126+AA126+AK126</f>
        <v>277271</v>
      </c>
      <c r="AN126" s="11">
        <f t="shared" si="59"/>
        <v>60598416</v>
      </c>
      <c r="AO126" s="2" t="str">
        <f t="shared" si="60"/>
        <v>LEP</v>
      </c>
      <c r="AP126" s="37">
        <f t="shared" si="61"/>
        <v>0</v>
      </c>
      <c r="AQ126" s="37">
        <f t="shared" si="61"/>
        <v>0</v>
      </c>
    </row>
    <row r="127" spans="1:43" x14ac:dyDescent="0.25">
      <c r="B127" s="2" t="s">
        <v>7</v>
      </c>
      <c r="C127" s="2">
        <v>2026</v>
      </c>
      <c r="D127" s="1">
        <v>19883</v>
      </c>
      <c r="E127" s="11">
        <v>2979072</v>
      </c>
      <c r="F127" s="1">
        <v>7713</v>
      </c>
      <c r="G127" s="11">
        <v>1694297</v>
      </c>
      <c r="H127" s="1">
        <v>4882</v>
      </c>
      <c r="I127" s="11">
        <v>845102</v>
      </c>
      <c r="J127" s="1">
        <v>267268</v>
      </c>
      <c r="K127" s="11">
        <v>58313034</v>
      </c>
      <c r="L127" s="8">
        <v>9149</v>
      </c>
      <c r="M127" s="11">
        <v>2338199</v>
      </c>
      <c r="N127" s="8">
        <v>22713</v>
      </c>
      <c r="O127" s="11">
        <v>4404246</v>
      </c>
      <c r="P127" s="8">
        <v>79</v>
      </c>
      <c r="Q127" s="11">
        <v>22117</v>
      </c>
      <c r="R127" s="8">
        <v>3938</v>
      </c>
      <c r="S127" s="11">
        <v>742232</v>
      </c>
      <c r="T127" s="53">
        <f t="shared" si="62"/>
        <v>335625</v>
      </c>
      <c r="U127" s="54">
        <f t="shared" si="56"/>
        <v>71338299</v>
      </c>
      <c r="V127" s="2" t="s">
        <v>60</v>
      </c>
      <c r="X127" s="13"/>
      <c r="Y127" s="2" t="s">
        <v>7</v>
      </c>
      <c r="Z127" s="2">
        <v>2026</v>
      </c>
      <c r="AA127" s="1">
        <f t="shared" si="57"/>
        <v>32478</v>
      </c>
      <c r="AB127" s="11">
        <f t="shared" si="57"/>
        <v>5518471</v>
      </c>
      <c r="AC127" s="1">
        <f t="shared" si="58"/>
        <v>267268</v>
      </c>
      <c r="AD127" s="11">
        <f t="shared" si="58"/>
        <v>58313034</v>
      </c>
      <c r="AE127" s="8">
        <f t="shared" si="58"/>
        <v>9149</v>
      </c>
      <c r="AF127" s="11">
        <f t="shared" si="58"/>
        <v>2338199</v>
      </c>
      <c r="AG127" s="8">
        <f t="shared" si="58"/>
        <v>22713</v>
      </c>
      <c r="AH127" s="11">
        <f t="shared" si="58"/>
        <v>4404246</v>
      </c>
      <c r="AI127" s="8">
        <f t="shared" si="58"/>
        <v>79</v>
      </c>
      <c r="AJ127" s="11">
        <f t="shared" si="58"/>
        <v>22117</v>
      </c>
      <c r="AK127" s="11">
        <f t="shared" si="58"/>
        <v>3938</v>
      </c>
      <c r="AL127" s="11">
        <f t="shared" si="58"/>
        <v>742232</v>
      </c>
      <c r="AM127" s="8">
        <f t="shared" si="63"/>
        <v>335625</v>
      </c>
      <c r="AN127" s="11">
        <f t="shared" si="59"/>
        <v>71338299</v>
      </c>
      <c r="AO127" s="2" t="str">
        <f t="shared" si="60"/>
        <v>LEP</v>
      </c>
      <c r="AP127" s="37">
        <f t="shared" si="61"/>
        <v>0</v>
      </c>
      <c r="AQ127" s="37">
        <f t="shared" si="61"/>
        <v>0</v>
      </c>
    </row>
    <row r="128" spans="1:43" x14ac:dyDescent="0.25">
      <c r="B128" s="2" t="s">
        <v>8</v>
      </c>
      <c r="C128" s="2">
        <v>2026</v>
      </c>
      <c r="D128" s="1">
        <v>20709</v>
      </c>
      <c r="E128" s="11">
        <v>2943494</v>
      </c>
      <c r="F128" s="1">
        <v>6956</v>
      </c>
      <c r="G128" s="11">
        <v>1479432</v>
      </c>
      <c r="H128" s="1">
        <v>4281</v>
      </c>
      <c r="I128" s="11">
        <v>717446</v>
      </c>
      <c r="J128" s="1">
        <v>258762</v>
      </c>
      <c r="K128" s="11">
        <v>55176771</v>
      </c>
      <c r="L128" s="8">
        <v>8738</v>
      </c>
      <c r="M128" s="11">
        <v>2212604</v>
      </c>
      <c r="N128" s="8">
        <v>21734</v>
      </c>
      <c r="O128" s="11">
        <v>4233358</v>
      </c>
      <c r="P128" s="8">
        <v>93</v>
      </c>
      <c r="Q128" s="11">
        <v>26510</v>
      </c>
      <c r="R128" s="8">
        <v>4066</v>
      </c>
      <c r="S128" s="11">
        <v>767232</v>
      </c>
      <c r="T128" s="53">
        <f t="shared" si="62"/>
        <v>325339</v>
      </c>
      <c r="U128" s="54">
        <f t="shared" si="56"/>
        <v>67556847</v>
      </c>
      <c r="V128" s="2" t="s">
        <v>60</v>
      </c>
      <c r="X128" s="13"/>
      <c r="Y128" s="2" t="s">
        <v>8</v>
      </c>
      <c r="Z128" s="2">
        <v>2026</v>
      </c>
      <c r="AA128" s="1">
        <f t="shared" si="57"/>
        <v>31946</v>
      </c>
      <c r="AB128" s="11">
        <f t="shared" si="57"/>
        <v>5140372</v>
      </c>
      <c r="AC128" s="1">
        <f t="shared" si="58"/>
        <v>258762</v>
      </c>
      <c r="AD128" s="11">
        <f t="shared" si="58"/>
        <v>55176771</v>
      </c>
      <c r="AE128" s="8">
        <f t="shared" si="58"/>
        <v>8738</v>
      </c>
      <c r="AF128" s="11">
        <f t="shared" si="58"/>
        <v>2212604</v>
      </c>
      <c r="AG128" s="8">
        <f t="shared" si="58"/>
        <v>21734</v>
      </c>
      <c r="AH128" s="11">
        <f t="shared" si="58"/>
        <v>4233358</v>
      </c>
      <c r="AI128" s="8">
        <f t="shared" si="58"/>
        <v>93</v>
      </c>
      <c r="AJ128" s="11">
        <f t="shared" si="58"/>
        <v>26510</v>
      </c>
      <c r="AK128" s="11">
        <f t="shared" si="58"/>
        <v>4066</v>
      </c>
      <c r="AL128" s="11">
        <f t="shared" si="58"/>
        <v>767232</v>
      </c>
      <c r="AM128" s="8">
        <f t="shared" si="63"/>
        <v>325339</v>
      </c>
      <c r="AN128" s="11">
        <f t="shared" si="59"/>
        <v>67556847</v>
      </c>
      <c r="AO128" s="2" t="str">
        <f t="shared" si="60"/>
        <v>LEP</v>
      </c>
      <c r="AP128" s="37">
        <f t="shared" si="61"/>
        <v>0</v>
      </c>
      <c r="AQ128" s="37">
        <f t="shared" si="61"/>
        <v>0</v>
      </c>
    </row>
    <row r="129" spans="1:43" x14ac:dyDescent="0.25">
      <c r="B129" s="2" t="s">
        <v>9</v>
      </c>
      <c r="C129" s="2">
        <v>2026</v>
      </c>
      <c r="D129" s="1">
        <v>18768</v>
      </c>
      <c r="E129" s="11">
        <v>2754362</v>
      </c>
      <c r="F129" s="1">
        <v>6485</v>
      </c>
      <c r="G129" s="11">
        <v>1385092</v>
      </c>
      <c r="H129" s="1">
        <v>4494</v>
      </c>
      <c r="I129" s="11">
        <v>754721</v>
      </c>
      <c r="J129" s="1">
        <v>265075</v>
      </c>
      <c r="K129" s="11">
        <v>57542752</v>
      </c>
      <c r="L129" s="8">
        <v>9246</v>
      </c>
      <c r="M129" s="11">
        <v>2412884</v>
      </c>
      <c r="N129" s="8">
        <v>23147</v>
      </c>
      <c r="O129" s="11">
        <v>4606851</v>
      </c>
      <c r="P129" s="8">
        <v>110</v>
      </c>
      <c r="Q129" s="11">
        <v>28324</v>
      </c>
      <c r="R129" s="8">
        <v>4287</v>
      </c>
      <c r="S129" s="11">
        <v>864057</v>
      </c>
      <c r="T129" s="53">
        <f t="shared" si="62"/>
        <v>331612</v>
      </c>
      <c r="U129" s="54">
        <f t="shared" si="56"/>
        <v>70349043</v>
      </c>
      <c r="V129" s="2" t="s">
        <v>60</v>
      </c>
      <c r="X129" s="13"/>
      <c r="Y129" s="2" t="s">
        <v>9</v>
      </c>
      <c r="Z129" s="2">
        <v>2026</v>
      </c>
      <c r="AA129" s="1">
        <f t="shared" si="57"/>
        <v>29747</v>
      </c>
      <c r="AB129" s="11">
        <f t="shared" si="57"/>
        <v>4894175</v>
      </c>
      <c r="AC129" s="1">
        <f t="shared" si="58"/>
        <v>265075</v>
      </c>
      <c r="AD129" s="11">
        <f t="shared" si="58"/>
        <v>57542752</v>
      </c>
      <c r="AE129" s="8">
        <f t="shared" si="58"/>
        <v>9246</v>
      </c>
      <c r="AF129" s="11">
        <f t="shared" si="58"/>
        <v>2412884</v>
      </c>
      <c r="AG129" s="8">
        <f t="shared" si="58"/>
        <v>23147</v>
      </c>
      <c r="AH129" s="11">
        <f t="shared" si="58"/>
        <v>4606851</v>
      </c>
      <c r="AI129" s="8">
        <f t="shared" si="58"/>
        <v>110</v>
      </c>
      <c r="AJ129" s="11">
        <f t="shared" si="58"/>
        <v>28324</v>
      </c>
      <c r="AK129" s="11">
        <f t="shared" si="58"/>
        <v>4287</v>
      </c>
      <c r="AL129" s="11">
        <f t="shared" si="58"/>
        <v>864057</v>
      </c>
      <c r="AM129" s="8">
        <f t="shared" si="63"/>
        <v>331612</v>
      </c>
      <c r="AN129" s="11">
        <f t="shared" si="59"/>
        <v>70349043</v>
      </c>
      <c r="AO129" s="2" t="str">
        <f t="shared" si="60"/>
        <v>LEP</v>
      </c>
      <c r="AP129" s="37">
        <f t="shared" si="61"/>
        <v>0</v>
      </c>
      <c r="AQ129" s="37">
        <f t="shared" si="61"/>
        <v>0</v>
      </c>
    </row>
    <row r="130" spans="1:43" x14ac:dyDescent="0.25">
      <c r="B130" s="2" t="s">
        <v>10</v>
      </c>
      <c r="C130" s="2">
        <v>2026</v>
      </c>
      <c r="D130" s="1">
        <v>16597</v>
      </c>
      <c r="E130" s="11">
        <v>2529382</v>
      </c>
      <c r="F130" s="1">
        <v>5857</v>
      </c>
      <c r="G130" s="11">
        <v>1224307</v>
      </c>
      <c r="H130" s="1">
        <v>4372</v>
      </c>
      <c r="I130" s="11">
        <v>769800</v>
      </c>
      <c r="J130" s="1">
        <v>245136</v>
      </c>
      <c r="K130" s="11">
        <v>54230521</v>
      </c>
      <c r="L130" s="8">
        <v>8494</v>
      </c>
      <c r="M130" s="11">
        <v>2194629</v>
      </c>
      <c r="N130" s="8">
        <v>22303</v>
      </c>
      <c r="O130" s="11">
        <v>4466807</v>
      </c>
      <c r="P130" s="8">
        <v>112</v>
      </c>
      <c r="Q130" s="11">
        <v>29978</v>
      </c>
      <c r="R130" s="8">
        <v>3851</v>
      </c>
      <c r="S130" s="11">
        <v>757593</v>
      </c>
      <c r="T130" s="53">
        <f t="shared" si="62"/>
        <v>306722</v>
      </c>
      <c r="U130" s="54">
        <f t="shared" si="56"/>
        <v>66203017</v>
      </c>
      <c r="V130" s="2" t="s">
        <v>60</v>
      </c>
      <c r="X130" s="13"/>
      <c r="Y130" s="2" t="s">
        <v>10</v>
      </c>
      <c r="Z130" s="2">
        <v>2026</v>
      </c>
      <c r="AA130" s="1">
        <f t="shared" si="57"/>
        <v>26826</v>
      </c>
      <c r="AB130" s="11">
        <f t="shared" si="57"/>
        <v>4523489</v>
      </c>
      <c r="AC130" s="1">
        <f t="shared" si="58"/>
        <v>245136</v>
      </c>
      <c r="AD130" s="11">
        <f t="shared" si="58"/>
        <v>54230521</v>
      </c>
      <c r="AE130" s="8">
        <f t="shared" si="58"/>
        <v>8494</v>
      </c>
      <c r="AF130" s="11">
        <f t="shared" si="58"/>
        <v>2194629</v>
      </c>
      <c r="AG130" s="8">
        <f t="shared" si="58"/>
        <v>22303</v>
      </c>
      <c r="AH130" s="11">
        <f t="shared" si="58"/>
        <v>4466807</v>
      </c>
      <c r="AI130" s="8">
        <f t="shared" si="58"/>
        <v>112</v>
      </c>
      <c r="AJ130" s="11">
        <f t="shared" si="58"/>
        <v>29978</v>
      </c>
      <c r="AK130" s="11">
        <f t="shared" si="58"/>
        <v>3851</v>
      </c>
      <c r="AL130" s="11">
        <f t="shared" si="58"/>
        <v>757593</v>
      </c>
      <c r="AM130" s="8">
        <f t="shared" si="63"/>
        <v>306722</v>
      </c>
      <c r="AN130" s="11">
        <f t="shared" si="59"/>
        <v>66203017</v>
      </c>
      <c r="AO130" s="2" t="str">
        <f t="shared" si="60"/>
        <v>LEP</v>
      </c>
      <c r="AP130" s="37">
        <f t="shared" si="61"/>
        <v>0</v>
      </c>
      <c r="AQ130" s="37">
        <f t="shared" si="61"/>
        <v>0</v>
      </c>
    </row>
    <row r="131" spans="1:43" x14ac:dyDescent="0.25">
      <c r="B131" s="2" t="s">
        <v>11</v>
      </c>
      <c r="C131" s="2">
        <v>2026</v>
      </c>
      <c r="D131" s="1"/>
      <c r="E131" s="11"/>
      <c r="F131" s="1"/>
      <c r="G131" s="11"/>
      <c r="H131" s="1"/>
      <c r="I131" s="11"/>
      <c r="J131" s="1"/>
      <c r="K131" s="11"/>
      <c r="L131" s="8"/>
      <c r="M131" s="11"/>
      <c r="N131" s="8"/>
      <c r="O131" s="11"/>
      <c r="P131" s="8"/>
      <c r="Q131" s="11"/>
      <c r="R131" s="8"/>
      <c r="S131" s="11"/>
      <c r="T131" s="53">
        <f t="shared" si="62"/>
        <v>0</v>
      </c>
      <c r="U131" s="54">
        <f t="shared" si="56"/>
        <v>0</v>
      </c>
      <c r="V131" s="2" t="s">
        <v>60</v>
      </c>
      <c r="Y131" s="2" t="s">
        <v>11</v>
      </c>
      <c r="Z131" s="2">
        <v>2026</v>
      </c>
      <c r="AA131" s="1">
        <f t="shared" si="57"/>
        <v>0</v>
      </c>
      <c r="AB131" s="11">
        <f t="shared" si="57"/>
        <v>0</v>
      </c>
      <c r="AC131" s="1">
        <f t="shared" si="58"/>
        <v>0</v>
      </c>
      <c r="AD131" s="11">
        <f t="shared" si="58"/>
        <v>0</v>
      </c>
      <c r="AE131" s="8">
        <f t="shared" si="58"/>
        <v>0</v>
      </c>
      <c r="AF131" s="11">
        <f t="shared" si="58"/>
        <v>0</v>
      </c>
      <c r="AG131" s="8">
        <f t="shared" si="58"/>
        <v>0</v>
      </c>
      <c r="AH131" s="11">
        <f t="shared" si="58"/>
        <v>0</v>
      </c>
      <c r="AI131" s="8">
        <f t="shared" si="58"/>
        <v>0</v>
      </c>
      <c r="AJ131" s="11">
        <f t="shared" si="58"/>
        <v>0</v>
      </c>
      <c r="AK131" s="11">
        <f t="shared" si="58"/>
        <v>0</v>
      </c>
      <c r="AL131" s="11">
        <f t="shared" si="58"/>
        <v>0</v>
      </c>
      <c r="AM131" s="8">
        <f t="shared" si="63"/>
        <v>0</v>
      </c>
      <c r="AN131" s="11">
        <f t="shared" si="59"/>
        <v>0</v>
      </c>
      <c r="AO131" s="2" t="str">
        <f t="shared" si="60"/>
        <v>LEP</v>
      </c>
      <c r="AP131" s="37">
        <f t="shared" si="61"/>
        <v>0</v>
      </c>
      <c r="AQ131" s="37">
        <f t="shared" si="61"/>
        <v>0</v>
      </c>
    </row>
    <row r="132" spans="1:43" x14ac:dyDescent="0.25">
      <c r="B132" s="2" t="s">
        <v>4</v>
      </c>
      <c r="C132" s="2">
        <v>2026</v>
      </c>
      <c r="D132" s="1"/>
      <c r="E132" s="11"/>
      <c r="F132" s="1"/>
      <c r="G132" s="11"/>
      <c r="H132" s="1"/>
      <c r="I132" s="11"/>
      <c r="J132" s="1"/>
      <c r="K132" s="11"/>
      <c r="L132" s="8"/>
      <c r="M132" s="11"/>
      <c r="N132" s="8"/>
      <c r="O132" s="11"/>
      <c r="P132" s="8"/>
      <c r="Q132" s="11"/>
      <c r="R132" s="8"/>
      <c r="S132" s="11"/>
      <c r="T132" s="53">
        <f t="shared" si="62"/>
        <v>0</v>
      </c>
      <c r="U132" s="54">
        <f t="shared" si="56"/>
        <v>0</v>
      </c>
      <c r="V132" s="2" t="s">
        <v>60</v>
      </c>
      <c r="Y132" s="2" t="s">
        <v>4</v>
      </c>
      <c r="Z132" s="2">
        <v>2026</v>
      </c>
      <c r="AA132" s="1">
        <f t="shared" si="57"/>
        <v>0</v>
      </c>
      <c r="AB132" s="11">
        <f t="shared" si="57"/>
        <v>0</v>
      </c>
      <c r="AC132" s="1">
        <f t="shared" si="58"/>
        <v>0</v>
      </c>
      <c r="AD132" s="11">
        <f t="shared" si="58"/>
        <v>0</v>
      </c>
      <c r="AE132" s="8">
        <f t="shared" si="58"/>
        <v>0</v>
      </c>
      <c r="AF132" s="11">
        <f t="shared" si="58"/>
        <v>0</v>
      </c>
      <c r="AG132" s="8">
        <f t="shared" si="58"/>
        <v>0</v>
      </c>
      <c r="AH132" s="11">
        <f t="shared" si="58"/>
        <v>0</v>
      </c>
      <c r="AI132" s="8">
        <f t="shared" si="58"/>
        <v>0</v>
      </c>
      <c r="AJ132" s="11">
        <f t="shared" si="58"/>
        <v>0</v>
      </c>
      <c r="AK132" s="11">
        <f t="shared" si="58"/>
        <v>0</v>
      </c>
      <c r="AL132" s="11">
        <f t="shared" si="58"/>
        <v>0</v>
      </c>
      <c r="AM132" s="27">
        <f t="shared" si="63"/>
        <v>0</v>
      </c>
      <c r="AN132" s="14">
        <f t="shared" si="59"/>
        <v>0</v>
      </c>
      <c r="AO132" s="2" t="str">
        <f t="shared" si="60"/>
        <v>LEP</v>
      </c>
      <c r="AP132" s="37">
        <f t="shared" si="61"/>
        <v>0</v>
      </c>
      <c r="AQ132" s="37">
        <f t="shared" si="61"/>
        <v>0</v>
      </c>
    </row>
    <row r="133" spans="1:43" x14ac:dyDescent="0.25">
      <c r="B133" s="2" t="s">
        <v>28</v>
      </c>
      <c r="C133" s="2">
        <v>2026</v>
      </c>
      <c r="D133" s="1"/>
      <c r="E133" s="11"/>
      <c r="F133" s="1"/>
      <c r="G133" s="11"/>
      <c r="H133" s="1"/>
      <c r="I133" s="11"/>
      <c r="J133" s="1"/>
      <c r="K133" s="11"/>
      <c r="L133" s="8"/>
      <c r="M133" s="11"/>
      <c r="N133" s="8"/>
      <c r="O133" s="11"/>
      <c r="P133" s="8"/>
      <c r="Q133" s="11"/>
      <c r="R133" s="8"/>
      <c r="S133" s="11"/>
      <c r="T133" s="53">
        <f t="shared" si="62"/>
        <v>0</v>
      </c>
      <c r="U133" s="54">
        <f>O133+M133+K133+I133+E133+Q133+G133+S133</f>
        <v>0</v>
      </c>
      <c r="V133" s="2" t="s">
        <v>60</v>
      </c>
      <c r="Y133" s="2" t="s">
        <v>28</v>
      </c>
      <c r="Z133" s="2">
        <v>2026</v>
      </c>
      <c r="AA133" s="1">
        <f t="shared" si="57"/>
        <v>0</v>
      </c>
      <c r="AB133" s="11">
        <f t="shared" si="57"/>
        <v>0</v>
      </c>
      <c r="AC133" s="1">
        <f t="shared" si="58"/>
        <v>0</v>
      </c>
      <c r="AD133" s="11">
        <f t="shared" si="58"/>
        <v>0</v>
      </c>
      <c r="AE133" s="8">
        <f t="shared" si="58"/>
        <v>0</v>
      </c>
      <c r="AF133" s="11">
        <f t="shared" si="58"/>
        <v>0</v>
      </c>
      <c r="AG133" s="8">
        <f t="shared" si="58"/>
        <v>0</v>
      </c>
      <c r="AH133" s="11">
        <f t="shared" si="58"/>
        <v>0</v>
      </c>
      <c r="AI133" s="8">
        <f t="shared" si="58"/>
        <v>0</v>
      </c>
      <c r="AJ133" s="11">
        <f t="shared" si="58"/>
        <v>0</v>
      </c>
      <c r="AK133" s="11">
        <f t="shared" si="58"/>
        <v>0</v>
      </c>
      <c r="AL133" s="11">
        <f t="shared" si="58"/>
        <v>0</v>
      </c>
      <c r="AM133" s="8">
        <f t="shared" si="63"/>
        <v>0</v>
      </c>
      <c r="AN133" s="11">
        <f t="shared" si="59"/>
        <v>0</v>
      </c>
      <c r="AO133" s="2" t="str">
        <f t="shared" si="60"/>
        <v>LEP</v>
      </c>
      <c r="AP133" s="37">
        <f t="shared" si="61"/>
        <v>0</v>
      </c>
      <c r="AQ133" s="37">
        <f t="shared" si="61"/>
        <v>0</v>
      </c>
    </row>
    <row r="134" spans="1:43" x14ac:dyDescent="0.25">
      <c r="B134" s="2" t="s">
        <v>29</v>
      </c>
      <c r="C134" s="2">
        <v>2026</v>
      </c>
      <c r="D134" s="1"/>
      <c r="E134" s="11"/>
      <c r="F134" s="1"/>
      <c r="G134" s="11"/>
      <c r="H134" s="1"/>
      <c r="I134" s="11"/>
      <c r="J134" s="1"/>
      <c r="K134" s="11"/>
      <c r="L134" s="8"/>
      <c r="M134" s="11"/>
      <c r="N134" s="8"/>
      <c r="O134" s="11"/>
      <c r="P134" s="8"/>
      <c r="Q134" s="11"/>
      <c r="R134" s="8"/>
      <c r="S134" s="11"/>
      <c r="T134" s="53">
        <f>N134+L134+J134+H134+D134+P134+F134+R134</f>
        <v>0</v>
      </c>
      <c r="U134" s="54">
        <f t="shared" si="56"/>
        <v>0</v>
      </c>
      <c r="V134" s="2" t="s">
        <v>60</v>
      </c>
      <c r="Y134" s="77" t="s">
        <v>29</v>
      </c>
      <c r="Z134" s="2">
        <v>2026</v>
      </c>
      <c r="AA134" s="1">
        <f t="shared" si="57"/>
        <v>0</v>
      </c>
      <c r="AB134" s="11">
        <f t="shared" si="57"/>
        <v>0</v>
      </c>
      <c r="AC134" s="1">
        <f t="shared" si="58"/>
        <v>0</v>
      </c>
      <c r="AD134" s="11">
        <f t="shared" si="58"/>
        <v>0</v>
      </c>
      <c r="AE134" s="8">
        <f t="shared" si="58"/>
        <v>0</v>
      </c>
      <c r="AF134" s="11">
        <f t="shared" si="58"/>
        <v>0</v>
      </c>
      <c r="AG134" s="8">
        <f t="shared" si="58"/>
        <v>0</v>
      </c>
      <c r="AH134" s="11">
        <f t="shared" si="58"/>
        <v>0</v>
      </c>
      <c r="AI134" s="8">
        <f t="shared" si="58"/>
        <v>0</v>
      </c>
      <c r="AJ134" s="11">
        <f t="shared" si="58"/>
        <v>0</v>
      </c>
      <c r="AK134" s="11">
        <f t="shared" si="58"/>
        <v>0</v>
      </c>
      <c r="AL134" s="11">
        <f t="shared" si="58"/>
        <v>0</v>
      </c>
      <c r="AM134" s="8">
        <f t="shared" si="63"/>
        <v>0</v>
      </c>
      <c r="AN134" s="11">
        <f t="shared" si="59"/>
        <v>0</v>
      </c>
      <c r="AO134" s="2" t="str">
        <f t="shared" si="60"/>
        <v>LEP</v>
      </c>
      <c r="AP134" s="37">
        <f t="shared" si="61"/>
        <v>0</v>
      </c>
      <c r="AQ134" s="37">
        <f t="shared" si="61"/>
        <v>0</v>
      </c>
    </row>
    <row r="135" spans="1:43" x14ac:dyDescent="0.25">
      <c r="B135" s="2" t="s">
        <v>30</v>
      </c>
      <c r="C135" s="2">
        <v>2026</v>
      </c>
      <c r="D135" s="1"/>
      <c r="E135" s="11"/>
      <c r="F135" s="1"/>
      <c r="G135" s="11"/>
      <c r="H135" s="1"/>
      <c r="I135" s="11"/>
      <c r="J135" s="1"/>
      <c r="K135" s="11"/>
      <c r="L135" s="8"/>
      <c r="M135" s="11"/>
      <c r="N135" s="8"/>
      <c r="O135" s="11"/>
      <c r="P135" s="8"/>
      <c r="Q135" s="11"/>
      <c r="R135" s="8"/>
      <c r="S135" s="11"/>
      <c r="T135" s="53">
        <f t="shared" si="62"/>
        <v>0</v>
      </c>
      <c r="U135" s="54">
        <f t="shared" si="56"/>
        <v>0</v>
      </c>
      <c r="V135" s="2" t="s">
        <v>60</v>
      </c>
      <c r="Y135" s="2" t="s">
        <v>30</v>
      </c>
      <c r="Z135" s="2">
        <v>2026</v>
      </c>
      <c r="AA135" s="1">
        <f t="shared" si="57"/>
        <v>0</v>
      </c>
      <c r="AB135" s="11">
        <f t="shared" si="57"/>
        <v>0</v>
      </c>
      <c r="AC135" s="1">
        <f t="shared" si="58"/>
        <v>0</v>
      </c>
      <c r="AD135" s="11">
        <f t="shared" si="58"/>
        <v>0</v>
      </c>
      <c r="AE135" s="8">
        <f t="shared" si="58"/>
        <v>0</v>
      </c>
      <c r="AF135" s="11">
        <f t="shared" si="58"/>
        <v>0</v>
      </c>
      <c r="AG135" s="8">
        <f t="shared" si="58"/>
        <v>0</v>
      </c>
      <c r="AH135" s="11">
        <f t="shared" si="58"/>
        <v>0</v>
      </c>
      <c r="AI135" s="8">
        <f t="shared" si="58"/>
        <v>0</v>
      </c>
      <c r="AJ135" s="11">
        <f t="shared" si="58"/>
        <v>0</v>
      </c>
      <c r="AK135" s="11">
        <f t="shared" si="58"/>
        <v>0</v>
      </c>
      <c r="AL135" s="11">
        <f t="shared" si="58"/>
        <v>0</v>
      </c>
      <c r="AM135" s="79">
        <f t="shared" si="63"/>
        <v>0</v>
      </c>
      <c r="AN135" s="80">
        <f t="shared" si="59"/>
        <v>0</v>
      </c>
      <c r="AO135" s="2" t="str">
        <f t="shared" si="60"/>
        <v>LEP</v>
      </c>
      <c r="AP135" s="37">
        <f t="shared" si="61"/>
        <v>0</v>
      </c>
      <c r="AQ135" s="37">
        <f t="shared" si="61"/>
        <v>0</v>
      </c>
    </row>
    <row r="136" spans="1:43" x14ac:dyDescent="0.25">
      <c r="B136" s="2" t="s">
        <v>31</v>
      </c>
      <c r="C136" s="2">
        <v>2026</v>
      </c>
      <c r="D136" s="1"/>
      <c r="E136" s="11"/>
      <c r="F136" s="1"/>
      <c r="G136" s="11"/>
      <c r="H136" s="1"/>
      <c r="I136" s="11"/>
      <c r="J136" s="1"/>
      <c r="K136" s="11"/>
      <c r="L136" s="8"/>
      <c r="M136" s="11"/>
      <c r="N136" s="8"/>
      <c r="O136" s="11"/>
      <c r="P136" s="8"/>
      <c r="Q136" s="11"/>
      <c r="R136" s="8"/>
      <c r="S136" s="11"/>
      <c r="T136" s="53">
        <f t="shared" si="62"/>
        <v>0</v>
      </c>
      <c r="U136" s="54">
        <f t="shared" si="56"/>
        <v>0</v>
      </c>
      <c r="V136" s="2" t="s">
        <v>60</v>
      </c>
      <c r="W136" s="13"/>
      <c r="Y136" s="2" t="s">
        <v>31</v>
      </c>
      <c r="Z136" s="2">
        <v>2026</v>
      </c>
      <c r="AA136" s="1">
        <f t="shared" si="57"/>
        <v>0</v>
      </c>
      <c r="AB136" s="11">
        <f t="shared" si="57"/>
        <v>0</v>
      </c>
      <c r="AC136" s="1">
        <f t="shared" si="58"/>
        <v>0</v>
      </c>
      <c r="AD136" s="11">
        <f t="shared" si="58"/>
        <v>0</v>
      </c>
      <c r="AE136" s="8">
        <f t="shared" si="58"/>
        <v>0</v>
      </c>
      <c r="AF136" s="11">
        <f t="shared" si="58"/>
        <v>0</v>
      </c>
      <c r="AG136" s="8">
        <f t="shared" si="58"/>
        <v>0</v>
      </c>
      <c r="AH136" s="11">
        <f t="shared" si="58"/>
        <v>0</v>
      </c>
      <c r="AI136" s="8">
        <f t="shared" si="58"/>
        <v>0</v>
      </c>
      <c r="AJ136" s="11">
        <f t="shared" si="58"/>
        <v>0</v>
      </c>
      <c r="AK136" s="11">
        <f t="shared" si="58"/>
        <v>0</v>
      </c>
      <c r="AL136" s="11">
        <f t="shared" si="58"/>
        <v>0</v>
      </c>
      <c r="AM136" s="8">
        <f t="shared" si="63"/>
        <v>0</v>
      </c>
      <c r="AN136" s="11">
        <f t="shared" si="59"/>
        <v>0</v>
      </c>
      <c r="AO136" s="2" t="str">
        <f t="shared" si="60"/>
        <v>LEP</v>
      </c>
      <c r="AP136" s="37">
        <f t="shared" si="61"/>
        <v>0</v>
      </c>
      <c r="AQ136" s="37">
        <f t="shared" si="61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64">SUM(D125:D137)</f>
        <v>114184</v>
      </c>
      <c r="E138" s="12">
        <f t="shared" si="64"/>
        <v>16780687</v>
      </c>
      <c r="F138" s="4">
        <f t="shared" si="64"/>
        <v>41165</v>
      </c>
      <c r="G138" s="12">
        <f t="shared" si="64"/>
        <v>8842404</v>
      </c>
      <c r="H138" s="4">
        <f t="shared" si="64"/>
        <v>26677</v>
      </c>
      <c r="I138" s="12">
        <f t="shared" si="64"/>
        <v>4644675</v>
      </c>
      <c r="J138" s="4">
        <f t="shared" si="64"/>
        <v>1521135</v>
      </c>
      <c r="K138" s="12">
        <f t="shared" si="64"/>
        <v>330568239</v>
      </c>
      <c r="L138" s="4">
        <f t="shared" si="64"/>
        <v>51805</v>
      </c>
      <c r="M138" s="12">
        <f t="shared" si="64"/>
        <v>13153711</v>
      </c>
      <c r="N138" s="4">
        <f t="shared" si="64"/>
        <v>129128</v>
      </c>
      <c r="O138" s="12">
        <f t="shared" si="64"/>
        <v>25031251</v>
      </c>
      <c r="P138" s="4">
        <f>SUM(P125:P137)</f>
        <v>538</v>
      </c>
      <c r="Q138" s="12">
        <f>SUM(Q125:Q137)</f>
        <v>149199</v>
      </c>
      <c r="R138" s="4">
        <f>SUM(R125:R137)</f>
        <v>23200</v>
      </c>
      <c r="S138" s="12">
        <f>SUM(S125:S137)</f>
        <v>4486734</v>
      </c>
      <c r="T138" s="4">
        <f t="shared" si="64"/>
        <v>1907832</v>
      </c>
      <c r="U138" s="12">
        <f t="shared" si="64"/>
        <v>403656900</v>
      </c>
      <c r="Y138" s="3" t="s">
        <v>12</v>
      </c>
      <c r="Z138" s="3"/>
      <c r="AA138" s="4">
        <f t="shared" ref="AA138:AN138" si="65">SUM(AA125:AA137)</f>
        <v>182026</v>
      </c>
      <c r="AB138" s="12">
        <f t="shared" si="65"/>
        <v>30267766</v>
      </c>
      <c r="AC138" s="4">
        <f t="shared" si="65"/>
        <v>1521135</v>
      </c>
      <c r="AD138" s="12">
        <f t="shared" si="65"/>
        <v>330568239</v>
      </c>
      <c r="AE138" s="4">
        <f t="shared" si="65"/>
        <v>51805</v>
      </c>
      <c r="AF138" s="12">
        <f t="shared" si="65"/>
        <v>13153711</v>
      </c>
      <c r="AG138" s="4">
        <f t="shared" si="65"/>
        <v>129128</v>
      </c>
      <c r="AH138" s="12">
        <f t="shared" si="65"/>
        <v>25031251</v>
      </c>
      <c r="AI138" s="4">
        <f t="shared" si="65"/>
        <v>538</v>
      </c>
      <c r="AJ138" s="12">
        <f t="shared" si="65"/>
        <v>149199</v>
      </c>
      <c r="AK138" s="4">
        <f t="shared" si="65"/>
        <v>23200</v>
      </c>
      <c r="AL138" s="12">
        <f t="shared" si="65"/>
        <v>4486734</v>
      </c>
      <c r="AM138" s="4">
        <f t="shared" si="65"/>
        <v>1907832</v>
      </c>
      <c r="AN138" s="12">
        <f t="shared" si="65"/>
        <v>403656900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8089</v>
      </c>
      <c r="M139" s="60">
        <f>AVERAGE(M125:M126)</f>
        <v>1997697.5</v>
      </c>
      <c r="T139" s="15">
        <f t="shared" ref="T139:U139" si="66">AVERAGE(T125:T126)</f>
        <v>304267</v>
      </c>
      <c r="U139" s="28">
        <f t="shared" si="66"/>
        <v>64104847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5.3504339083500899E-2</v>
      </c>
      <c r="M140" s="36">
        <f>+M139/$M$371</f>
        <v>7.1881007755229209E-2</v>
      </c>
      <c r="N140" s="18"/>
      <c r="O140" s="19"/>
      <c r="P140" s="19"/>
      <c r="Q140" s="19"/>
      <c r="R140" s="19"/>
      <c r="S140" s="19"/>
      <c r="T140" s="36">
        <f>+L139/T139</f>
        <v>2.6585203127516294E-2</v>
      </c>
      <c r="U140" s="62">
        <f>+M139/U139</f>
        <v>3.1162971186874527E-2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0"/>
      <c r="F143" s="89" t="s">
        <v>71</v>
      </c>
      <c r="G143" s="90"/>
      <c r="H143" s="89" t="s">
        <v>16</v>
      </c>
      <c r="I143" s="90"/>
      <c r="J143" s="89" t="s">
        <v>17</v>
      </c>
      <c r="K143" s="93"/>
      <c r="L143" s="89" t="s">
        <v>18</v>
      </c>
      <c r="M143" s="93"/>
      <c r="N143" s="89" t="s">
        <v>13</v>
      </c>
      <c r="O143" s="93"/>
      <c r="P143" s="89" t="s">
        <v>34</v>
      </c>
      <c r="Q143" s="93"/>
      <c r="R143" s="89" t="s">
        <v>87</v>
      </c>
      <c r="S143" s="93"/>
      <c r="T143" s="89" t="s">
        <v>12</v>
      </c>
      <c r="U143" s="93"/>
      <c r="AA143" s="89" t="s">
        <v>69</v>
      </c>
      <c r="AB143" s="90"/>
      <c r="AC143" s="89" t="s">
        <v>17</v>
      </c>
      <c r="AD143" s="93"/>
      <c r="AE143" s="89" t="s">
        <v>18</v>
      </c>
      <c r="AF143" s="93"/>
      <c r="AG143" s="89" t="s">
        <v>13</v>
      </c>
      <c r="AH143" s="93"/>
      <c r="AI143" s="89" t="s">
        <v>34</v>
      </c>
      <c r="AJ143" s="93"/>
      <c r="AK143" s="89" t="s">
        <v>87</v>
      </c>
      <c r="AL143" s="93"/>
      <c r="AM143" s="89" t="s">
        <v>12</v>
      </c>
      <c r="AN143" s="93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2026</v>
      </c>
      <c r="D146" s="1">
        <v>34869</v>
      </c>
      <c r="E146" s="11">
        <v>5025679</v>
      </c>
      <c r="F146" s="1">
        <v>10461</v>
      </c>
      <c r="G146" s="11">
        <v>1847237</v>
      </c>
      <c r="H146" s="1">
        <v>49893</v>
      </c>
      <c r="I146" s="11">
        <v>7621435</v>
      </c>
      <c r="J146" s="1">
        <v>379472</v>
      </c>
      <c r="K146" s="11">
        <v>76409468</v>
      </c>
      <c r="L146" s="1">
        <v>17242</v>
      </c>
      <c r="M146" s="11">
        <v>3529824</v>
      </c>
      <c r="N146" s="1">
        <v>70133</v>
      </c>
      <c r="O146" s="11">
        <v>11107356</v>
      </c>
      <c r="P146" s="1">
        <v>1</v>
      </c>
      <c r="Q146" s="11">
        <v>298</v>
      </c>
      <c r="R146" s="1">
        <v>7270</v>
      </c>
      <c r="S146" s="11">
        <v>1233650</v>
      </c>
      <c r="T146" s="53">
        <f t="shared" ref="T146:U157" si="67">N146+L146+J146+H146+D146+P146+F146+R146</f>
        <v>569341</v>
      </c>
      <c r="U146" s="54">
        <f t="shared" si="67"/>
        <v>106774947</v>
      </c>
      <c r="V146" s="2" t="s">
        <v>61</v>
      </c>
      <c r="W146" s="66"/>
      <c r="Y146" s="2" t="s">
        <v>5</v>
      </c>
      <c r="Z146" s="2">
        <v>2026</v>
      </c>
      <c r="AA146" s="1">
        <f t="shared" ref="AA146:AB157" si="68">D146+H146+F146</f>
        <v>95223</v>
      </c>
      <c r="AB146" s="11">
        <f t="shared" si="68"/>
        <v>14494351</v>
      </c>
      <c r="AC146" s="1">
        <f t="shared" ref="AC146:AL157" si="69">+J146</f>
        <v>379472</v>
      </c>
      <c r="AD146" s="11">
        <f t="shared" si="69"/>
        <v>76409468</v>
      </c>
      <c r="AE146" s="8">
        <f t="shared" si="69"/>
        <v>17242</v>
      </c>
      <c r="AF146" s="11">
        <f t="shared" si="69"/>
        <v>3529824</v>
      </c>
      <c r="AG146" s="8">
        <f t="shared" si="69"/>
        <v>70133</v>
      </c>
      <c r="AH146" s="11">
        <f t="shared" si="69"/>
        <v>11107356</v>
      </c>
      <c r="AI146" s="8">
        <f t="shared" si="69"/>
        <v>1</v>
      </c>
      <c r="AJ146" s="11">
        <f t="shared" si="69"/>
        <v>298</v>
      </c>
      <c r="AK146" s="11">
        <f t="shared" si="69"/>
        <v>7270</v>
      </c>
      <c r="AL146" s="11">
        <f t="shared" si="69"/>
        <v>1233650</v>
      </c>
      <c r="AM146" s="8">
        <f>AI146+AG146+AE146+AC146+AA146+AK146</f>
        <v>569341</v>
      </c>
      <c r="AN146" s="11">
        <f t="shared" ref="AN146:AN157" si="70">AJ146+AH146+AF146+AD146+AB146+AL146</f>
        <v>106774947</v>
      </c>
      <c r="AO146" s="2" t="str">
        <f t="shared" ref="AO146:AO157" si="71">+V146</f>
        <v>GANA</v>
      </c>
      <c r="AP146" s="37">
        <f t="shared" ref="AP146:AQ157" si="72">+AM146-T146</f>
        <v>0</v>
      </c>
      <c r="AQ146" s="37">
        <f t="shared" si="72"/>
        <v>0</v>
      </c>
    </row>
    <row r="147" spans="2:44" x14ac:dyDescent="0.25">
      <c r="B147" s="2" t="s">
        <v>6</v>
      </c>
      <c r="C147" s="2">
        <v>2026</v>
      </c>
      <c r="D147" s="1">
        <v>28122</v>
      </c>
      <c r="E147" s="11">
        <v>4102051</v>
      </c>
      <c r="F147" s="1">
        <v>8501</v>
      </c>
      <c r="G147" s="11">
        <v>1513190</v>
      </c>
      <c r="H147" s="1">
        <v>45587</v>
      </c>
      <c r="I147" s="11">
        <v>6845862</v>
      </c>
      <c r="J147" s="1">
        <v>334269</v>
      </c>
      <c r="K147" s="11">
        <v>67632345</v>
      </c>
      <c r="L147" s="1">
        <v>15895</v>
      </c>
      <c r="M147" s="11">
        <v>3329343</v>
      </c>
      <c r="N147" s="1">
        <v>64929</v>
      </c>
      <c r="O147" s="11">
        <v>10473717</v>
      </c>
      <c r="P147" s="1">
        <v>26</v>
      </c>
      <c r="Q147" s="11">
        <v>3485</v>
      </c>
      <c r="R147" s="1">
        <v>6689</v>
      </c>
      <c r="S147" s="11">
        <v>1152333</v>
      </c>
      <c r="T147" s="53">
        <f t="shared" si="67"/>
        <v>504018</v>
      </c>
      <c r="U147" s="54">
        <f t="shared" si="67"/>
        <v>95052326</v>
      </c>
      <c r="V147" s="2" t="s">
        <v>61</v>
      </c>
      <c r="W147" s="66"/>
      <c r="Y147" s="2" t="s">
        <v>6</v>
      </c>
      <c r="Z147" s="2">
        <v>2026</v>
      </c>
      <c r="AA147" s="1">
        <f t="shared" si="68"/>
        <v>82210</v>
      </c>
      <c r="AB147" s="11">
        <f t="shared" si="68"/>
        <v>12461103</v>
      </c>
      <c r="AC147" s="1">
        <f t="shared" si="69"/>
        <v>334269</v>
      </c>
      <c r="AD147" s="11">
        <f t="shared" si="69"/>
        <v>67632345</v>
      </c>
      <c r="AE147" s="8">
        <f t="shared" si="69"/>
        <v>15895</v>
      </c>
      <c r="AF147" s="11">
        <f t="shared" si="69"/>
        <v>3329343</v>
      </c>
      <c r="AG147" s="8">
        <f t="shared" si="69"/>
        <v>64929</v>
      </c>
      <c r="AH147" s="11">
        <f t="shared" si="69"/>
        <v>10473717</v>
      </c>
      <c r="AI147" s="8">
        <f t="shared" si="69"/>
        <v>26</v>
      </c>
      <c r="AJ147" s="11">
        <f t="shared" si="69"/>
        <v>3485</v>
      </c>
      <c r="AK147" s="11">
        <f t="shared" si="69"/>
        <v>6689</v>
      </c>
      <c r="AL147" s="11">
        <f t="shared" si="69"/>
        <v>1152333</v>
      </c>
      <c r="AM147" s="8">
        <f t="shared" ref="AM147:AM157" si="73">AI147+AG147+AE147+AC147+AA147+AK147</f>
        <v>504018</v>
      </c>
      <c r="AN147" s="11">
        <f t="shared" si="70"/>
        <v>95052326</v>
      </c>
      <c r="AO147" s="2" t="str">
        <f t="shared" si="71"/>
        <v>GANA</v>
      </c>
      <c r="AP147" s="37">
        <f t="shared" si="72"/>
        <v>0</v>
      </c>
      <c r="AQ147" s="37">
        <f t="shared" si="72"/>
        <v>0</v>
      </c>
    </row>
    <row r="148" spans="2:44" x14ac:dyDescent="0.25">
      <c r="B148" s="2" t="s">
        <v>7</v>
      </c>
      <c r="C148" s="2">
        <v>2026</v>
      </c>
      <c r="D148" s="1">
        <v>33736</v>
      </c>
      <c r="E148" s="11">
        <v>5106623</v>
      </c>
      <c r="F148" s="1">
        <v>10805</v>
      </c>
      <c r="G148" s="11">
        <v>1972618</v>
      </c>
      <c r="H148" s="1">
        <v>50632</v>
      </c>
      <c r="I148" s="11">
        <v>7602635</v>
      </c>
      <c r="J148" s="1">
        <v>393838</v>
      </c>
      <c r="K148" s="11">
        <v>79065528</v>
      </c>
      <c r="L148" s="1">
        <v>19089</v>
      </c>
      <c r="M148" s="11">
        <v>4133453</v>
      </c>
      <c r="N148" s="1">
        <v>75252</v>
      </c>
      <c r="O148" s="11">
        <v>12347781</v>
      </c>
      <c r="P148" s="1">
        <v>39</v>
      </c>
      <c r="Q148" s="11">
        <v>9030</v>
      </c>
      <c r="R148" s="1">
        <v>7878</v>
      </c>
      <c r="S148" s="11">
        <v>1387161</v>
      </c>
      <c r="T148" s="53">
        <f t="shared" si="67"/>
        <v>591269</v>
      </c>
      <c r="U148" s="54">
        <f t="shared" si="67"/>
        <v>111624829</v>
      </c>
      <c r="V148" s="2" t="s">
        <v>61</v>
      </c>
      <c r="W148" s="66"/>
      <c r="X148" s="13"/>
      <c r="Y148" s="2" t="s">
        <v>7</v>
      </c>
      <c r="Z148" s="2">
        <v>2026</v>
      </c>
      <c r="AA148" s="1">
        <f t="shared" si="68"/>
        <v>95173</v>
      </c>
      <c r="AB148" s="11">
        <f t="shared" si="68"/>
        <v>14681876</v>
      </c>
      <c r="AC148" s="1">
        <f t="shared" si="69"/>
        <v>393838</v>
      </c>
      <c r="AD148" s="11">
        <f t="shared" si="69"/>
        <v>79065528</v>
      </c>
      <c r="AE148" s="8">
        <f t="shared" si="69"/>
        <v>19089</v>
      </c>
      <c r="AF148" s="11">
        <f t="shared" si="69"/>
        <v>4133453</v>
      </c>
      <c r="AG148" s="8">
        <f t="shared" si="69"/>
        <v>75252</v>
      </c>
      <c r="AH148" s="11">
        <f t="shared" si="69"/>
        <v>12347781</v>
      </c>
      <c r="AI148" s="8">
        <f t="shared" si="69"/>
        <v>39</v>
      </c>
      <c r="AJ148" s="11">
        <f t="shared" si="69"/>
        <v>9030</v>
      </c>
      <c r="AK148" s="11">
        <f t="shared" si="69"/>
        <v>7878</v>
      </c>
      <c r="AL148" s="11">
        <f t="shared" si="69"/>
        <v>1387161</v>
      </c>
      <c r="AM148" s="8">
        <f t="shared" si="73"/>
        <v>591269</v>
      </c>
      <c r="AN148" s="11">
        <f t="shared" si="70"/>
        <v>111624829</v>
      </c>
      <c r="AO148" s="2" t="str">
        <f t="shared" si="71"/>
        <v>GANA</v>
      </c>
      <c r="AP148" s="37">
        <f t="shared" si="72"/>
        <v>0</v>
      </c>
      <c r="AQ148" s="37">
        <f t="shared" si="72"/>
        <v>0</v>
      </c>
    </row>
    <row r="149" spans="2:44" x14ac:dyDescent="0.25">
      <c r="B149" s="2" t="s">
        <v>8</v>
      </c>
      <c r="C149" s="2">
        <v>2026</v>
      </c>
      <c r="D149" s="1">
        <v>33486</v>
      </c>
      <c r="E149" s="11">
        <v>5109877</v>
      </c>
      <c r="F149" s="1">
        <v>10384</v>
      </c>
      <c r="G149" s="11">
        <v>1973213</v>
      </c>
      <c r="H149" s="1">
        <v>51096</v>
      </c>
      <c r="I149" s="11">
        <v>7904455</v>
      </c>
      <c r="J149" s="1">
        <v>382901</v>
      </c>
      <c r="K149" s="11">
        <v>78167963</v>
      </c>
      <c r="L149" s="1">
        <v>18496</v>
      </c>
      <c r="M149" s="11">
        <v>4094403</v>
      </c>
      <c r="N149" s="1">
        <v>73774</v>
      </c>
      <c r="O149" s="11">
        <v>12403260</v>
      </c>
      <c r="P149" s="1">
        <v>34</v>
      </c>
      <c r="Q149" s="11">
        <v>7066</v>
      </c>
      <c r="R149" s="1">
        <v>6412</v>
      </c>
      <c r="S149" s="11">
        <v>1040212</v>
      </c>
      <c r="T149" s="53">
        <f t="shared" si="67"/>
        <v>576583</v>
      </c>
      <c r="U149" s="54">
        <f t="shared" si="67"/>
        <v>110700449</v>
      </c>
      <c r="V149" s="2" t="s">
        <v>61</v>
      </c>
      <c r="W149" s="66"/>
      <c r="X149" s="13"/>
      <c r="Y149" s="2" t="s">
        <v>8</v>
      </c>
      <c r="Z149" s="2">
        <v>2026</v>
      </c>
      <c r="AA149" s="1">
        <f t="shared" si="68"/>
        <v>94966</v>
      </c>
      <c r="AB149" s="11">
        <f t="shared" si="68"/>
        <v>14987545</v>
      </c>
      <c r="AC149" s="1">
        <f t="shared" si="69"/>
        <v>382901</v>
      </c>
      <c r="AD149" s="11">
        <f t="shared" si="69"/>
        <v>78167963</v>
      </c>
      <c r="AE149" s="8">
        <f t="shared" si="69"/>
        <v>18496</v>
      </c>
      <c r="AF149" s="11">
        <f t="shared" si="69"/>
        <v>4094403</v>
      </c>
      <c r="AG149" s="8">
        <f t="shared" si="69"/>
        <v>73774</v>
      </c>
      <c r="AH149" s="11">
        <f t="shared" si="69"/>
        <v>12403260</v>
      </c>
      <c r="AI149" s="8">
        <f t="shared" si="69"/>
        <v>34</v>
      </c>
      <c r="AJ149" s="11">
        <f t="shared" si="69"/>
        <v>7066</v>
      </c>
      <c r="AK149" s="11">
        <f t="shared" si="69"/>
        <v>6412</v>
      </c>
      <c r="AL149" s="11">
        <f t="shared" si="69"/>
        <v>1040212</v>
      </c>
      <c r="AM149" s="8">
        <f t="shared" si="73"/>
        <v>576583</v>
      </c>
      <c r="AN149" s="11">
        <f t="shared" si="70"/>
        <v>110700449</v>
      </c>
      <c r="AO149" s="2" t="str">
        <f t="shared" si="71"/>
        <v>GANA</v>
      </c>
      <c r="AP149" s="37">
        <f t="shared" si="72"/>
        <v>0</v>
      </c>
      <c r="AQ149" s="37">
        <f t="shared" si="72"/>
        <v>0</v>
      </c>
    </row>
    <row r="150" spans="2:44" x14ac:dyDescent="0.25">
      <c r="B150" s="2" t="s">
        <v>9</v>
      </c>
      <c r="C150" s="2">
        <v>2026</v>
      </c>
      <c r="D150" s="1">
        <v>29412</v>
      </c>
      <c r="E150" s="11">
        <v>4701839</v>
      </c>
      <c r="F150" s="1">
        <v>9956</v>
      </c>
      <c r="G150" s="11">
        <v>1933730</v>
      </c>
      <c r="H150" s="1">
        <v>49987</v>
      </c>
      <c r="I150" s="11">
        <v>7924218</v>
      </c>
      <c r="J150" s="1">
        <v>389414</v>
      </c>
      <c r="K150" s="11">
        <v>81561055</v>
      </c>
      <c r="L150" s="1">
        <v>18991</v>
      </c>
      <c r="M150" s="11">
        <v>4290533</v>
      </c>
      <c r="N150" s="1">
        <v>74979</v>
      </c>
      <c r="O150" s="11">
        <v>12908216</v>
      </c>
      <c r="P150" s="1">
        <v>18</v>
      </c>
      <c r="Q150" s="11">
        <v>3574</v>
      </c>
      <c r="R150" s="1">
        <v>6166</v>
      </c>
      <c r="S150" s="11">
        <v>950628</v>
      </c>
      <c r="T150" s="53">
        <f t="shared" si="67"/>
        <v>578923</v>
      </c>
      <c r="U150" s="54">
        <f t="shared" si="67"/>
        <v>114273793</v>
      </c>
      <c r="V150" s="2" t="s">
        <v>61</v>
      </c>
      <c r="W150" s="66"/>
      <c r="X150" s="13"/>
      <c r="Y150" s="2" t="s">
        <v>9</v>
      </c>
      <c r="Z150" s="2">
        <v>2026</v>
      </c>
      <c r="AA150" s="1">
        <f t="shared" si="68"/>
        <v>89355</v>
      </c>
      <c r="AB150" s="11">
        <f t="shared" si="68"/>
        <v>14559787</v>
      </c>
      <c r="AC150" s="1">
        <f t="shared" si="69"/>
        <v>389414</v>
      </c>
      <c r="AD150" s="11">
        <f t="shared" si="69"/>
        <v>81561055</v>
      </c>
      <c r="AE150" s="8">
        <f t="shared" si="69"/>
        <v>18991</v>
      </c>
      <c r="AF150" s="11">
        <f t="shared" si="69"/>
        <v>4290533</v>
      </c>
      <c r="AG150" s="8">
        <f t="shared" si="69"/>
        <v>74979</v>
      </c>
      <c r="AH150" s="11">
        <f t="shared" si="69"/>
        <v>12908216</v>
      </c>
      <c r="AI150" s="8">
        <f t="shared" si="69"/>
        <v>18</v>
      </c>
      <c r="AJ150" s="11">
        <f t="shared" si="69"/>
        <v>3574</v>
      </c>
      <c r="AK150" s="11">
        <f t="shared" si="69"/>
        <v>6166</v>
      </c>
      <c r="AL150" s="11">
        <f t="shared" si="69"/>
        <v>950628</v>
      </c>
      <c r="AM150" s="8">
        <f t="shared" si="73"/>
        <v>578923</v>
      </c>
      <c r="AN150" s="11">
        <f t="shared" si="70"/>
        <v>114273793</v>
      </c>
      <c r="AO150" s="2" t="str">
        <f t="shared" si="71"/>
        <v>GANA</v>
      </c>
      <c r="AP150" s="37">
        <f t="shared" si="72"/>
        <v>0</v>
      </c>
      <c r="AQ150" s="37">
        <f t="shared" si="72"/>
        <v>0</v>
      </c>
    </row>
    <row r="151" spans="2:44" x14ac:dyDescent="0.25">
      <c r="B151" s="2" t="s">
        <v>10</v>
      </c>
      <c r="C151" s="2">
        <v>2026</v>
      </c>
      <c r="D151" s="1">
        <v>28267</v>
      </c>
      <c r="E151" s="11">
        <v>4637744</v>
      </c>
      <c r="F151" s="1">
        <v>9706</v>
      </c>
      <c r="G151" s="11">
        <v>1878378</v>
      </c>
      <c r="H151" s="1">
        <v>44954</v>
      </c>
      <c r="I151" s="11">
        <v>7277825</v>
      </c>
      <c r="J151" s="1">
        <v>367541</v>
      </c>
      <c r="K151" s="11">
        <v>77622141</v>
      </c>
      <c r="L151" s="1">
        <v>19151</v>
      </c>
      <c r="M151" s="11">
        <v>4452020</v>
      </c>
      <c r="N151" s="1">
        <v>72364</v>
      </c>
      <c r="O151" s="11">
        <v>12735174</v>
      </c>
      <c r="P151" s="1">
        <v>96</v>
      </c>
      <c r="Q151" s="11">
        <v>24955</v>
      </c>
      <c r="R151" s="1">
        <v>5514</v>
      </c>
      <c r="S151" s="11">
        <v>811632</v>
      </c>
      <c r="T151" s="53">
        <f t="shared" si="67"/>
        <v>547593</v>
      </c>
      <c r="U151" s="54">
        <f t="shared" si="67"/>
        <v>109439869</v>
      </c>
      <c r="V151" s="2" t="s">
        <v>61</v>
      </c>
      <c r="W151" s="66"/>
      <c r="Y151" s="2" t="s">
        <v>10</v>
      </c>
      <c r="Z151" s="2">
        <v>2026</v>
      </c>
      <c r="AA151" s="1">
        <f t="shared" si="68"/>
        <v>82927</v>
      </c>
      <c r="AB151" s="11">
        <f t="shared" si="68"/>
        <v>13793947</v>
      </c>
      <c r="AC151" s="1">
        <f t="shared" si="69"/>
        <v>367541</v>
      </c>
      <c r="AD151" s="11">
        <f t="shared" si="69"/>
        <v>77622141</v>
      </c>
      <c r="AE151" s="8">
        <f t="shared" si="69"/>
        <v>19151</v>
      </c>
      <c r="AF151" s="11">
        <f t="shared" si="69"/>
        <v>4452020</v>
      </c>
      <c r="AG151" s="8">
        <f t="shared" si="69"/>
        <v>72364</v>
      </c>
      <c r="AH151" s="11">
        <f t="shared" si="69"/>
        <v>12735174</v>
      </c>
      <c r="AI151" s="8">
        <f t="shared" si="69"/>
        <v>96</v>
      </c>
      <c r="AJ151" s="11">
        <f t="shared" si="69"/>
        <v>24955</v>
      </c>
      <c r="AK151" s="11">
        <f t="shared" si="69"/>
        <v>5514</v>
      </c>
      <c r="AL151" s="11">
        <f t="shared" si="69"/>
        <v>811632</v>
      </c>
      <c r="AM151" s="8">
        <f t="shared" si="73"/>
        <v>547593</v>
      </c>
      <c r="AN151" s="11">
        <f t="shared" si="70"/>
        <v>109439869</v>
      </c>
      <c r="AO151" s="2" t="str">
        <f t="shared" si="71"/>
        <v>GANA</v>
      </c>
      <c r="AP151" s="37">
        <f t="shared" si="72"/>
        <v>0</v>
      </c>
      <c r="AQ151" s="37">
        <f t="shared" si="72"/>
        <v>0</v>
      </c>
    </row>
    <row r="152" spans="2:44" x14ac:dyDescent="0.25">
      <c r="B152" s="2" t="s">
        <v>11</v>
      </c>
      <c r="C152" s="2">
        <v>2026</v>
      </c>
      <c r="D152" s="1"/>
      <c r="E152" s="11"/>
      <c r="F152" s="1"/>
      <c r="G152" s="11"/>
      <c r="H152" s="1"/>
      <c r="I152" s="11"/>
      <c r="J152" s="1"/>
      <c r="K152" s="11"/>
      <c r="L152" s="1"/>
      <c r="M152" s="11"/>
      <c r="N152" s="1"/>
      <c r="O152" s="11"/>
      <c r="P152" s="1"/>
      <c r="Q152" s="11"/>
      <c r="R152" s="1"/>
      <c r="S152" s="11"/>
      <c r="T152" s="53">
        <f t="shared" si="67"/>
        <v>0</v>
      </c>
      <c r="U152" s="54">
        <f t="shared" si="67"/>
        <v>0</v>
      </c>
      <c r="V152" s="2" t="s">
        <v>61</v>
      </c>
      <c r="W152" s="66"/>
      <c r="Y152" s="2" t="s">
        <v>11</v>
      </c>
      <c r="Z152" s="2">
        <v>2026</v>
      </c>
      <c r="AA152" s="1">
        <f t="shared" si="68"/>
        <v>0</v>
      </c>
      <c r="AB152" s="11">
        <f t="shared" si="68"/>
        <v>0</v>
      </c>
      <c r="AC152" s="1">
        <f t="shared" si="69"/>
        <v>0</v>
      </c>
      <c r="AD152" s="11">
        <f t="shared" si="69"/>
        <v>0</v>
      </c>
      <c r="AE152" s="8">
        <f t="shared" si="69"/>
        <v>0</v>
      </c>
      <c r="AF152" s="11">
        <f t="shared" si="69"/>
        <v>0</v>
      </c>
      <c r="AG152" s="8">
        <f t="shared" si="69"/>
        <v>0</v>
      </c>
      <c r="AH152" s="11">
        <f t="shared" si="69"/>
        <v>0</v>
      </c>
      <c r="AI152" s="8">
        <f t="shared" si="69"/>
        <v>0</v>
      </c>
      <c r="AJ152" s="11">
        <f t="shared" si="69"/>
        <v>0</v>
      </c>
      <c r="AK152" s="11">
        <f t="shared" si="69"/>
        <v>0</v>
      </c>
      <c r="AL152" s="11">
        <f t="shared" si="69"/>
        <v>0</v>
      </c>
      <c r="AM152" s="8">
        <f t="shared" si="73"/>
        <v>0</v>
      </c>
      <c r="AN152" s="11">
        <f t="shared" si="70"/>
        <v>0</v>
      </c>
      <c r="AO152" s="2" t="str">
        <f t="shared" si="71"/>
        <v>GANA</v>
      </c>
      <c r="AP152" s="37">
        <f t="shared" si="72"/>
        <v>0</v>
      </c>
      <c r="AQ152" s="37">
        <f t="shared" si="72"/>
        <v>0</v>
      </c>
    </row>
    <row r="153" spans="2:44" x14ac:dyDescent="0.25">
      <c r="B153" s="2" t="s">
        <v>4</v>
      </c>
      <c r="C153" s="2">
        <v>2026</v>
      </c>
      <c r="D153" s="1"/>
      <c r="E153" s="11"/>
      <c r="F153" s="1"/>
      <c r="G153" s="11"/>
      <c r="H153" s="1"/>
      <c r="I153" s="11"/>
      <c r="J153" s="1"/>
      <c r="K153" s="11"/>
      <c r="L153" s="1"/>
      <c r="M153" s="11"/>
      <c r="N153" s="1"/>
      <c r="O153" s="11"/>
      <c r="P153" s="1"/>
      <c r="Q153" s="11"/>
      <c r="R153" s="1"/>
      <c r="S153" s="11"/>
      <c r="T153" s="53">
        <f t="shared" si="67"/>
        <v>0</v>
      </c>
      <c r="U153" s="54">
        <f t="shared" si="67"/>
        <v>0</v>
      </c>
      <c r="V153" s="2" t="s">
        <v>61</v>
      </c>
      <c r="W153" s="66"/>
      <c r="Y153" s="2" t="s">
        <v>4</v>
      </c>
      <c r="Z153" s="2">
        <v>2026</v>
      </c>
      <c r="AA153" s="1">
        <f t="shared" si="68"/>
        <v>0</v>
      </c>
      <c r="AB153" s="11">
        <f t="shared" si="68"/>
        <v>0</v>
      </c>
      <c r="AC153" s="1">
        <f t="shared" si="69"/>
        <v>0</v>
      </c>
      <c r="AD153" s="11">
        <f t="shared" si="69"/>
        <v>0</v>
      </c>
      <c r="AE153" s="8">
        <f t="shared" si="69"/>
        <v>0</v>
      </c>
      <c r="AF153" s="11">
        <f t="shared" si="69"/>
        <v>0</v>
      </c>
      <c r="AG153" s="8">
        <f t="shared" si="69"/>
        <v>0</v>
      </c>
      <c r="AH153" s="11">
        <f t="shared" si="69"/>
        <v>0</v>
      </c>
      <c r="AI153" s="8">
        <f t="shared" si="69"/>
        <v>0</v>
      </c>
      <c r="AJ153" s="11">
        <f t="shared" si="69"/>
        <v>0</v>
      </c>
      <c r="AK153" s="11">
        <f t="shared" si="69"/>
        <v>0</v>
      </c>
      <c r="AL153" s="11">
        <f t="shared" si="69"/>
        <v>0</v>
      </c>
      <c r="AM153" s="27">
        <f t="shared" si="73"/>
        <v>0</v>
      </c>
      <c r="AN153" s="14">
        <f t="shared" si="70"/>
        <v>0</v>
      </c>
      <c r="AO153" s="2" t="str">
        <f t="shared" si="71"/>
        <v>GANA</v>
      </c>
      <c r="AP153" s="37">
        <f t="shared" si="72"/>
        <v>0</v>
      </c>
      <c r="AQ153" s="37">
        <f t="shared" si="72"/>
        <v>0</v>
      </c>
      <c r="AR153" s="13"/>
    </row>
    <row r="154" spans="2:44" x14ac:dyDescent="0.25">
      <c r="B154" s="2" t="s">
        <v>28</v>
      </c>
      <c r="C154" s="2">
        <v>2026</v>
      </c>
      <c r="D154" s="1"/>
      <c r="E154" s="11"/>
      <c r="F154" s="1"/>
      <c r="G154" s="11"/>
      <c r="H154" s="1"/>
      <c r="I154" s="11"/>
      <c r="J154" s="1"/>
      <c r="K154" s="11"/>
      <c r="L154" s="1"/>
      <c r="M154" s="11"/>
      <c r="N154" s="1"/>
      <c r="O154" s="11"/>
      <c r="P154" s="1"/>
      <c r="Q154" s="11"/>
      <c r="R154" s="1"/>
      <c r="S154" s="11"/>
      <c r="T154" s="53">
        <f t="shared" si="67"/>
        <v>0</v>
      </c>
      <c r="U154" s="54">
        <f t="shared" si="67"/>
        <v>0</v>
      </c>
      <c r="V154" s="2" t="s">
        <v>61</v>
      </c>
      <c r="W154" s="66"/>
      <c r="Y154" s="2" t="s">
        <v>28</v>
      </c>
      <c r="Z154" s="2">
        <v>2026</v>
      </c>
      <c r="AA154" s="1">
        <f t="shared" si="68"/>
        <v>0</v>
      </c>
      <c r="AB154" s="11">
        <f t="shared" si="68"/>
        <v>0</v>
      </c>
      <c r="AC154" s="1">
        <f t="shared" si="69"/>
        <v>0</v>
      </c>
      <c r="AD154" s="11">
        <f t="shared" si="69"/>
        <v>0</v>
      </c>
      <c r="AE154" s="8">
        <f t="shared" si="69"/>
        <v>0</v>
      </c>
      <c r="AF154" s="11">
        <f t="shared" si="69"/>
        <v>0</v>
      </c>
      <c r="AG154" s="8">
        <f t="shared" si="69"/>
        <v>0</v>
      </c>
      <c r="AH154" s="11">
        <f t="shared" si="69"/>
        <v>0</v>
      </c>
      <c r="AI154" s="8">
        <f t="shared" si="69"/>
        <v>0</v>
      </c>
      <c r="AJ154" s="11">
        <f t="shared" si="69"/>
        <v>0</v>
      </c>
      <c r="AK154" s="11">
        <f t="shared" si="69"/>
        <v>0</v>
      </c>
      <c r="AL154" s="11">
        <f t="shared" si="69"/>
        <v>0</v>
      </c>
      <c r="AM154" s="8">
        <f t="shared" si="73"/>
        <v>0</v>
      </c>
      <c r="AN154" s="11">
        <f t="shared" si="70"/>
        <v>0</v>
      </c>
      <c r="AO154" s="2" t="str">
        <f t="shared" si="71"/>
        <v>GANA</v>
      </c>
      <c r="AP154" s="37">
        <f t="shared" si="72"/>
        <v>0</v>
      </c>
      <c r="AQ154" s="37">
        <f t="shared" si="72"/>
        <v>0</v>
      </c>
      <c r="AR154" s="13"/>
    </row>
    <row r="155" spans="2:44" x14ac:dyDescent="0.25">
      <c r="B155" s="2" t="s">
        <v>29</v>
      </c>
      <c r="C155" s="2">
        <v>2026</v>
      </c>
      <c r="D155" s="1"/>
      <c r="E155" s="11"/>
      <c r="F155" s="1"/>
      <c r="G155" s="11"/>
      <c r="H155" s="1"/>
      <c r="I155" s="11"/>
      <c r="J155" s="1"/>
      <c r="K155" s="11"/>
      <c r="L155" s="1"/>
      <c r="M155" s="11"/>
      <c r="N155" s="1"/>
      <c r="O155" s="11"/>
      <c r="P155" s="1"/>
      <c r="Q155" s="11"/>
      <c r="R155" s="1"/>
      <c r="S155" s="11"/>
      <c r="T155" s="53">
        <f t="shared" si="67"/>
        <v>0</v>
      </c>
      <c r="U155" s="54">
        <f t="shared" si="67"/>
        <v>0</v>
      </c>
      <c r="V155" s="2" t="s">
        <v>61</v>
      </c>
      <c r="W155" s="66"/>
      <c r="Y155" s="2" t="s">
        <v>29</v>
      </c>
      <c r="Z155" s="2">
        <v>2026</v>
      </c>
      <c r="AA155" s="1">
        <f t="shared" si="68"/>
        <v>0</v>
      </c>
      <c r="AB155" s="11">
        <f t="shared" si="68"/>
        <v>0</v>
      </c>
      <c r="AC155" s="1">
        <f t="shared" si="69"/>
        <v>0</v>
      </c>
      <c r="AD155" s="11">
        <f t="shared" si="69"/>
        <v>0</v>
      </c>
      <c r="AE155" s="8">
        <f t="shared" si="69"/>
        <v>0</v>
      </c>
      <c r="AF155" s="11">
        <f t="shared" si="69"/>
        <v>0</v>
      </c>
      <c r="AG155" s="8">
        <f t="shared" si="69"/>
        <v>0</v>
      </c>
      <c r="AH155" s="11">
        <f t="shared" si="69"/>
        <v>0</v>
      </c>
      <c r="AI155" s="8">
        <f t="shared" si="69"/>
        <v>0</v>
      </c>
      <c r="AJ155" s="11">
        <f t="shared" si="69"/>
        <v>0</v>
      </c>
      <c r="AK155" s="11">
        <f t="shared" si="69"/>
        <v>0</v>
      </c>
      <c r="AL155" s="11">
        <f t="shared" si="69"/>
        <v>0</v>
      </c>
      <c r="AM155" s="8">
        <f t="shared" si="73"/>
        <v>0</v>
      </c>
      <c r="AN155" s="11">
        <f t="shared" si="70"/>
        <v>0</v>
      </c>
      <c r="AO155" s="2" t="str">
        <f t="shared" si="71"/>
        <v>GANA</v>
      </c>
      <c r="AP155" s="37">
        <f t="shared" si="72"/>
        <v>0</v>
      </c>
      <c r="AQ155" s="37">
        <f t="shared" si="72"/>
        <v>0</v>
      </c>
      <c r="AR155" s="13"/>
    </row>
    <row r="156" spans="2:44" x14ac:dyDescent="0.25">
      <c r="B156" s="2" t="s">
        <v>30</v>
      </c>
      <c r="C156" s="2">
        <v>2026</v>
      </c>
      <c r="D156" s="1"/>
      <c r="E156" s="11"/>
      <c r="F156" s="1"/>
      <c r="G156" s="11"/>
      <c r="H156" s="1"/>
      <c r="I156" s="11"/>
      <c r="J156" s="1"/>
      <c r="K156" s="11"/>
      <c r="L156" s="1"/>
      <c r="M156" s="11"/>
      <c r="N156" s="1"/>
      <c r="O156" s="11"/>
      <c r="P156" s="1"/>
      <c r="Q156" s="11"/>
      <c r="R156" s="1"/>
      <c r="S156" s="11"/>
      <c r="T156" s="53">
        <f t="shared" si="67"/>
        <v>0</v>
      </c>
      <c r="U156" s="54">
        <f t="shared" si="67"/>
        <v>0</v>
      </c>
      <c r="V156" s="2" t="s">
        <v>61</v>
      </c>
      <c r="W156" s="66"/>
      <c r="Y156" s="2" t="s">
        <v>30</v>
      </c>
      <c r="Z156" s="2">
        <v>2026</v>
      </c>
      <c r="AA156" s="1">
        <f t="shared" si="68"/>
        <v>0</v>
      </c>
      <c r="AB156" s="11">
        <f t="shared" si="68"/>
        <v>0</v>
      </c>
      <c r="AC156" s="1">
        <f t="shared" si="69"/>
        <v>0</v>
      </c>
      <c r="AD156" s="11">
        <f t="shared" si="69"/>
        <v>0</v>
      </c>
      <c r="AE156" s="8">
        <f t="shared" si="69"/>
        <v>0</v>
      </c>
      <c r="AF156" s="11">
        <f t="shared" si="69"/>
        <v>0</v>
      </c>
      <c r="AG156" s="8">
        <f t="shared" si="69"/>
        <v>0</v>
      </c>
      <c r="AH156" s="11">
        <f t="shared" si="69"/>
        <v>0</v>
      </c>
      <c r="AI156" s="8">
        <f t="shared" si="69"/>
        <v>0</v>
      </c>
      <c r="AJ156" s="11">
        <f t="shared" si="69"/>
        <v>0</v>
      </c>
      <c r="AK156" s="11">
        <f t="shared" si="69"/>
        <v>0</v>
      </c>
      <c r="AL156" s="11">
        <f t="shared" si="69"/>
        <v>0</v>
      </c>
      <c r="AM156" s="79">
        <f t="shared" si="73"/>
        <v>0</v>
      </c>
      <c r="AN156" s="80">
        <f t="shared" si="70"/>
        <v>0</v>
      </c>
      <c r="AO156" s="2" t="str">
        <f t="shared" si="71"/>
        <v>GANA</v>
      </c>
      <c r="AP156" s="37">
        <f t="shared" si="72"/>
        <v>0</v>
      </c>
      <c r="AQ156" s="37">
        <f t="shared" si="72"/>
        <v>0</v>
      </c>
    </row>
    <row r="157" spans="2:44" x14ac:dyDescent="0.25">
      <c r="B157" s="2" t="s">
        <v>31</v>
      </c>
      <c r="C157" s="2">
        <v>2026</v>
      </c>
      <c r="D157" s="1"/>
      <c r="E157" s="11"/>
      <c r="F157" s="1"/>
      <c r="G157" s="11"/>
      <c r="H157" s="1"/>
      <c r="I157" s="11"/>
      <c r="J157" s="1"/>
      <c r="K157" s="11"/>
      <c r="L157" s="1"/>
      <c r="M157" s="11"/>
      <c r="N157" s="1"/>
      <c r="O157" s="11"/>
      <c r="P157" s="1"/>
      <c r="Q157" s="11"/>
      <c r="R157" s="1"/>
      <c r="S157" s="11"/>
      <c r="T157" s="53">
        <f t="shared" si="67"/>
        <v>0</v>
      </c>
      <c r="U157" s="54">
        <f t="shared" si="67"/>
        <v>0</v>
      </c>
      <c r="V157" s="2" t="s">
        <v>61</v>
      </c>
      <c r="W157" s="66"/>
      <c r="Y157" s="2" t="s">
        <v>31</v>
      </c>
      <c r="Z157" s="2">
        <v>2026</v>
      </c>
      <c r="AA157" s="1">
        <f t="shared" si="68"/>
        <v>0</v>
      </c>
      <c r="AB157" s="11">
        <f t="shared" si="68"/>
        <v>0</v>
      </c>
      <c r="AC157" s="1">
        <f t="shared" si="69"/>
        <v>0</v>
      </c>
      <c r="AD157" s="11">
        <f t="shared" si="69"/>
        <v>0</v>
      </c>
      <c r="AE157" s="8">
        <f t="shared" si="69"/>
        <v>0</v>
      </c>
      <c r="AF157" s="11">
        <f t="shared" si="69"/>
        <v>0</v>
      </c>
      <c r="AG157" s="8">
        <f t="shared" si="69"/>
        <v>0</v>
      </c>
      <c r="AH157" s="11">
        <f t="shared" si="69"/>
        <v>0</v>
      </c>
      <c r="AI157" s="8">
        <f t="shared" si="69"/>
        <v>0</v>
      </c>
      <c r="AJ157" s="11">
        <f t="shared" si="69"/>
        <v>0</v>
      </c>
      <c r="AK157" s="11">
        <f t="shared" si="69"/>
        <v>0</v>
      </c>
      <c r="AL157" s="11">
        <f t="shared" si="69"/>
        <v>0</v>
      </c>
      <c r="AM157" s="8">
        <f t="shared" si="73"/>
        <v>0</v>
      </c>
      <c r="AN157" s="11">
        <f t="shared" si="70"/>
        <v>0</v>
      </c>
      <c r="AO157" s="2" t="str">
        <f t="shared" si="71"/>
        <v>GANA</v>
      </c>
      <c r="AP157" s="37">
        <f t="shared" si="72"/>
        <v>0</v>
      </c>
      <c r="AQ157" s="37">
        <f t="shared" si="72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74">SUM(D146:D158)</f>
        <v>187892</v>
      </c>
      <c r="E159" s="12">
        <f t="shared" si="74"/>
        <v>28683813</v>
      </c>
      <c r="F159" s="4">
        <f t="shared" si="74"/>
        <v>59813</v>
      </c>
      <c r="G159" s="12">
        <f t="shared" si="74"/>
        <v>11118366</v>
      </c>
      <c r="H159" s="4">
        <f t="shared" si="74"/>
        <v>292149</v>
      </c>
      <c r="I159" s="12">
        <f t="shared" si="74"/>
        <v>45176430</v>
      </c>
      <c r="J159" s="4">
        <f t="shared" si="74"/>
        <v>2247435</v>
      </c>
      <c r="K159" s="12">
        <f t="shared" si="74"/>
        <v>460458500</v>
      </c>
      <c r="L159" s="4">
        <f t="shared" si="74"/>
        <v>108864</v>
      </c>
      <c r="M159" s="12">
        <f t="shared" si="74"/>
        <v>23829576</v>
      </c>
      <c r="N159" s="4">
        <f t="shared" si="74"/>
        <v>431431</v>
      </c>
      <c r="O159" s="12">
        <f t="shared" si="74"/>
        <v>71975504</v>
      </c>
      <c r="P159" s="4">
        <f t="shared" si="74"/>
        <v>214</v>
      </c>
      <c r="Q159" s="12">
        <f t="shared" si="74"/>
        <v>48408</v>
      </c>
      <c r="R159" s="4">
        <f t="shared" si="74"/>
        <v>39929</v>
      </c>
      <c r="S159" s="12">
        <f t="shared" si="74"/>
        <v>6575616</v>
      </c>
      <c r="T159" s="4">
        <f t="shared" si="74"/>
        <v>3367727</v>
      </c>
      <c r="U159" s="12">
        <f t="shared" si="74"/>
        <v>647866213</v>
      </c>
      <c r="Y159" s="3" t="s">
        <v>12</v>
      </c>
      <c r="Z159" s="3"/>
      <c r="AA159" s="4">
        <f t="shared" ref="AA159:AN159" si="75">SUM(AA146:AA158)</f>
        <v>539854</v>
      </c>
      <c r="AB159" s="12">
        <f t="shared" si="75"/>
        <v>84978609</v>
      </c>
      <c r="AC159" s="4">
        <f t="shared" si="75"/>
        <v>2247435</v>
      </c>
      <c r="AD159" s="12">
        <f t="shared" si="75"/>
        <v>460458500</v>
      </c>
      <c r="AE159" s="4">
        <f t="shared" si="75"/>
        <v>108864</v>
      </c>
      <c r="AF159" s="12">
        <f t="shared" si="75"/>
        <v>23829576</v>
      </c>
      <c r="AG159" s="4">
        <f t="shared" si="75"/>
        <v>431431</v>
      </c>
      <c r="AH159" s="12">
        <f t="shared" si="75"/>
        <v>71975504</v>
      </c>
      <c r="AI159" s="4">
        <f t="shared" si="75"/>
        <v>214</v>
      </c>
      <c r="AJ159" s="12">
        <f t="shared" si="75"/>
        <v>48408</v>
      </c>
      <c r="AK159" s="4">
        <f t="shared" si="75"/>
        <v>39929</v>
      </c>
      <c r="AL159" s="12">
        <f t="shared" si="75"/>
        <v>6575616</v>
      </c>
      <c r="AM159" s="4">
        <f t="shared" si="75"/>
        <v>3367727</v>
      </c>
      <c r="AN159" s="12">
        <f t="shared" si="75"/>
        <v>647866213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16568.5</v>
      </c>
      <c r="M160" s="60">
        <f>AVERAGE(M146:M147)</f>
        <v>3429583.5</v>
      </c>
      <c r="T160" s="15">
        <f t="shared" ref="T160:U160" si="76">AVERAGE(T146:T147)</f>
        <v>536679.5</v>
      </c>
      <c r="U160" s="28">
        <f t="shared" si="76"/>
        <v>100913636.5</v>
      </c>
    </row>
    <row r="161" spans="1:43" x14ac:dyDescent="0.25">
      <c r="A161" s="67" t="s">
        <v>14</v>
      </c>
      <c r="J161" s="46" t="str">
        <f>+$A$141</f>
        <v>Aforo e Ingreso - GANA</v>
      </c>
      <c r="K161" s="9" t="s">
        <v>85</v>
      </c>
      <c r="L161" s="26">
        <f>+L160/$L$371</f>
        <v>0.10959162345221717</v>
      </c>
      <c r="M161" s="36">
        <f>+M160/$M$371</f>
        <v>0.12340302681497381</v>
      </c>
      <c r="N161" s="26"/>
      <c r="O161" s="19"/>
      <c r="P161" s="19"/>
      <c r="Q161" s="19"/>
      <c r="R161" s="19"/>
      <c r="S161" s="19"/>
      <c r="T161" s="36">
        <f>+L160/T160</f>
        <v>3.0872243117167696E-2</v>
      </c>
      <c r="U161" s="62">
        <f>+M160/U160</f>
        <v>3.3985332596749698E-2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0"/>
      <c r="F164" s="89" t="s">
        <v>71</v>
      </c>
      <c r="G164" s="90"/>
      <c r="H164" s="89" t="s">
        <v>16</v>
      </c>
      <c r="I164" s="90"/>
      <c r="J164" s="89" t="s">
        <v>17</v>
      </c>
      <c r="K164" s="93"/>
      <c r="L164" s="89" t="s">
        <v>18</v>
      </c>
      <c r="M164" s="93"/>
      <c r="N164" s="89" t="s">
        <v>13</v>
      </c>
      <c r="O164" s="93"/>
      <c r="P164" s="89" t="s">
        <v>34</v>
      </c>
      <c r="Q164" s="93"/>
      <c r="R164" s="89" t="s">
        <v>87</v>
      </c>
      <c r="S164" s="93"/>
      <c r="T164" s="89" t="s">
        <v>12</v>
      </c>
      <c r="U164" s="93"/>
      <c r="AA164" s="89" t="s">
        <v>69</v>
      </c>
      <c r="AB164" s="90"/>
      <c r="AC164" s="89" t="s">
        <v>17</v>
      </c>
      <c r="AD164" s="93"/>
      <c r="AE164" s="89" t="s">
        <v>18</v>
      </c>
      <c r="AF164" s="93"/>
      <c r="AG164" s="89" t="s">
        <v>13</v>
      </c>
      <c r="AH164" s="93"/>
      <c r="AI164" s="89" t="s">
        <v>34</v>
      </c>
      <c r="AJ164" s="93"/>
      <c r="AK164" s="89" t="s">
        <v>87</v>
      </c>
      <c r="AL164" s="93"/>
      <c r="AM164" s="89" t="s">
        <v>12</v>
      </c>
      <c r="AN164" s="93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2026</v>
      </c>
      <c r="D167" s="1">
        <v>36623</v>
      </c>
      <c r="E167" s="11">
        <v>5406720</v>
      </c>
      <c r="F167" s="1">
        <v>12273</v>
      </c>
      <c r="G167" s="11">
        <v>2318333</v>
      </c>
      <c r="H167" s="1">
        <v>11179</v>
      </c>
      <c r="I167" s="11">
        <v>2056357</v>
      </c>
      <c r="J167" s="45">
        <v>0</v>
      </c>
      <c r="K167" s="11">
        <v>0</v>
      </c>
      <c r="L167" s="45">
        <v>0</v>
      </c>
      <c r="M167" s="11">
        <v>0</v>
      </c>
      <c r="N167" s="1">
        <v>16539</v>
      </c>
      <c r="O167" s="11">
        <v>3574655</v>
      </c>
      <c r="P167" s="1">
        <v>859</v>
      </c>
      <c r="Q167" s="11">
        <v>201412</v>
      </c>
      <c r="R167" s="1">
        <v>9517</v>
      </c>
      <c r="S167" s="11">
        <v>1181286</v>
      </c>
      <c r="T167" s="53">
        <f>N167+L167+J167+H167+D167+P167+F167+R167</f>
        <v>86990</v>
      </c>
      <c r="U167" s="54">
        <f t="shared" ref="U167:U178" si="77">O167+M167+K167+I167+E167+Q167+G167+S167</f>
        <v>14738763</v>
      </c>
      <c r="V167" s="2" t="s">
        <v>62</v>
      </c>
      <c r="Y167" s="2" t="s">
        <v>5</v>
      </c>
      <c r="Z167" s="2">
        <v>2026</v>
      </c>
      <c r="AA167" s="1">
        <f t="shared" ref="AA167:AB178" si="78">D167+H167+F167</f>
        <v>60075</v>
      </c>
      <c r="AB167" s="11">
        <f t="shared" si="78"/>
        <v>9781410</v>
      </c>
      <c r="AC167" s="1">
        <f t="shared" ref="AC167:AL178" si="79">+J167</f>
        <v>0</v>
      </c>
      <c r="AD167" s="11">
        <f t="shared" si="79"/>
        <v>0</v>
      </c>
      <c r="AE167" s="8">
        <f t="shared" si="79"/>
        <v>0</v>
      </c>
      <c r="AF167" s="11">
        <f t="shared" si="79"/>
        <v>0</v>
      </c>
      <c r="AG167" s="8">
        <f t="shared" si="79"/>
        <v>16539</v>
      </c>
      <c r="AH167" s="11">
        <f t="shared" si="79"/>
        <v>3574655</v>
      </c>
      <c r="AI167" s="8">
        <f t="shared" si="79"/>
        <v>859</v>
      </c>
      <c r="AJ167" s="11">
        <f t="shared" si="79"/>
        <v>201412</v>
      </c>
      <c r="AK167" s="11">
        <f t="shared" si="79"/>
        <v>9517</v>
      </c>
      <c r="AL167" s="11">
        <f t="shared" si="79"/>
        <v>1181286</v>
      </c>
      <c r="AM167" s="8">
        <f>AI167+AG167+AE167+AC167+AA167+AK167</f>
        <v>86990</v>
      </c>
      <c r="AN167" s="11">
        <f t="shared" ref="AN167:AN178" si="80">AJ167+AH167+AF167+AD167+AB167+AL167</f>
        <v>14738763</v>
      </c>
      <c r="AO167" s="2" t="str">
        <f t="shared" ref="AO167:AO178" si="81">+V167</f>
        <v>CAMS</v>
      </c>
      <c r="AP167" s="37">
        <f t="shared" ref="AP167:AQ178" si="82">+AM167-T167</f>
        <v>0</v>
      </c>
      <c r="AQ167" s="37">
        <f t="shared" si="82"/>
        <v>0</v>
      </c>
    </row>
    <row r="168" spans="1:43" x14ac:dyDescent="0.25">
      <c r="B168" s="2" t="s">
        <v>6</v>
      </c>
      <c r="C168" s="2">
        <v>2026</v>
      </c>
      <c r="D168" s="1">
        <v>33463</v>
      </c>
      <c r="E168" s="11">
        <v>5012388</v>
      </c>
      <c r="F168" s="1">
        <v>11210</v>
      </c>
      <c r="G168" s="11">
        <v>2053993</v>
      </c>
      <c r="H168" s="1">
        <v>11539</v>
      </c>
      <c r="I168" s="11">
        <v>2186967</v>
      </c>
      <c r="J168" s="45">
        <v>0</v>
      </c>
      <c r="K168" s="11">
        <v>0</v>
      </c>
      <c r="L168" s="45">
        <v>0</v>
      </c>
      <c r="M168" s="11">
        <v>0</v>
      </c>
      <c r="N168" s="1">
        <v>16240</v>
      </c>
      <c r="O168" s="11">
        <v>3538330</v>
      </c>
      <c r="P168" s="1">
        <v>815</v>
      </c>
      <c r="Q168" s="11">
        <v>190131</v>
      </c>
      <c r="R168" s="1">
        <v>8724</v>
      </c>
      <c r="S168" s="11">
        <v>1103063</v>
      </c>
      <c r="T168" s="53">
        <f t="shared" ref="T168:T178" si="83">N168+L168+J168+H168+D168+P168+F168+R168</f>
        <v>81991</v>
      </c>
      <c r="U168" s="54">
        <f t="shared" si="77"/>
        <v>14084872</v>
      </c>
      <c r="V168" s="2" t="s">
        <v>62</v>
      </c>
      <c r="Y168" s="2" t="s">
        <v>6</v>
      </c>
      <c r="Z168" s="2">
        <v>2026</v>
      </c>
      <c r="AA168" s="1">
        <f t="shared" si="78"/>
        <v>56212</v>
      </c>
      <c r="AB168" s="11">
        <f t="shared" si="78"/>
        <v>9253348</v>
      </c>
      <c r="AC168" s="1">
        <f t="shared" si="79"/>
        <v>0</v>
      </c>
      <c r="AD168" s="11">
        <f t="shared" si="79"/>
        <v>0</v>
      </c>
      <c r="AE168" s="8">
        <f t="shared" si="79"/>
        <v>0</v>
      </c>
      <c r="AF168" s="11">
        <f t="shared" si="79"/>
        <v>0</v>
      </c>
      <c r="AG168" s="8">
        <f t="shared" si="79"/>
        <v>16240</v>
      </c>
      <c r="AH168" s="11">
        <f t="shared" si="79"/>
        <v>3538330</v>
      </c>
      <c r="AI168" s="8">
        <f t="shared" si="79"/>
        <v>815</v>
      </c>
      <c r="AJ168" s="11">
        <f t="shared" si="79"/>
        <v>190131</v>
      </c>
      <c r="AK168" s="11">
        <f t="shared" si="79"/>
        <v>8724</v>
      </c>
      <c r="AL168" s="11">
        <f t="shared" si="79"/>
        <v>1103063</v>
      </c>
      <c r="AM168" s="8">
        <f t="shared" ref="AM168:AM178" si="84">AI168+AG168+AE168+AC168+AA168+AK168</f>
        <v>81991</v>
      </c>
      <c r="AN168" s="11">
        <f t="shared" si="80"/>
        <v>14084872</v>
      </c>
      <c r="AO168" s="2" t="str">
        <f t="shared" si="81"/>
        <v>CAMS</v>
      </c>
      <c r="AP168" s="37">
        <f t="shared" si="82"/>
        <v>0</v>
      </c>
      <c r="AQ168" s="37">
        <f t="shared" si="82"/>
        <v>0</v>
      </c>
    </row>
    <row r="169" spans="1:43" x14ac:dyDescent="0.25">
      <c r="B169" s="2" t="s">
        <v>7</v>
      </c>
      <c r="C169" s="2">
        <v>2026</v>
      </c>
      <c r="D169" s="1">
        <v>38817</v>
      </c>
      <c r="E169" s="11">
        <v>5808909</v>
      </c>
      <c r="F169" s="1">
        <v>12481</v>
      </c>
      <c r="G169" s="11">
        <v>2302666</v>
      </c>
      <c r="H169" s="1">
        <v>14883</v>
      </c>
      <c r="I169" s="11">
        <v>3027831</v>
      </c>
      <c r="J169" s="45">
        <v>0</v>
      </c>
      <c r="K169" s="11">
        <v>0</v>
      </c>
      <c r="L169" s="45">
        <v>0</v>
      </c>
      <c r="M169" s="11">
        <v>0</v>
      </c>
      <c r="N169" s="1">
        <v>18242</v>
      </c>
      <c r="O169" s="11">
        <v>3894752</v>
      </c>
      <c r="P169" s="1">
        <v>858</v>
      </c>
      <c r="Q169" s="11">
        <v>193095</v>
      </c>
      <c r="R169" s="1">
        <v>10362</v>
      </c>
      <c r="S169" s="11">
        <v>1325861</v>
      </c>
      <c r="T169" s="53">
        <f t="shared" si="83"/>
        <v>95643</v>
      </c>
      <c r="U169" s="54">
        <f t="shared" si="77"/>
        <v>16553114</v>
      </c>
      <c r="V169" s="2" t="s">
        <v>62</v>
      </c>
      <c r="Y169" s="2" t="s">
        <v>7</v>
      </c>
      <c r="Z169" s="2">
        <v>2026</v>
      </c>
      <c r="AA169" s="1">
        <f t="shared" si="78"/>
        <v>66181</v>
      </c>
      <c r="AB169" s="11">
        <f t="shared" si="78"/>
        <v>11139406</v>
      </c>
      <c r="AC169" s="1">
        <f t="shared" si="79"/>
        <v>0</v>
      </c>
      <c r="AD169" s="11">
        <f t="shared" si="79"/>
        <v>0</v>
      </c>
      <c r="AE169" s="8">
        <f t="shared" si="79"/>
        <v>0</v>
      </c>
      <c r="AF169" s="11">
        <f t="shared" si="79"/>
        <v>0</v>
      </c>
      <c r="AG169" s="8">
        <f t="shared" si="79"/>
        <v>18242</v>
      </c>
      <c r="AH169" s="11">
        <f t="shared" si="79"/>
        <v>3894752</v>
      </c>
      <c r="AI169" s="8">
        <f t="shared" si="79"/>
        <v>858</v>
      </c>
      <c r="AJ169" s="11">
        <f t="shared" si="79"/>
        <v>193095</v>
      </c>
      <c r="AK169" s="11">
        <f t="shared" si="79"/>
        <v>10362</v>
      </c>
      <c r="AL169" s="11">
        <f t="shared" si="79"/>
        <v>1325861</v>
      </c>
      <c r="AM169" s="8">
        <f t="shared" si="84"/>
        <v>95643</v>
      </c>
      <c r="AN169" s="11">
        <f t="shared" si="80"/>
        <v>16553114</v>
      </c>
      <c r="AO169" s="2" t="str">
        <f t="shared" si="81"/>
        <v>CAMS</v>
      </c>
      <c r="AP169" s="37">
        <f t="shared" si="82"/>
        <v>0</v>
      </c>
      <c r="AQ169" s="37">
        <f t="shared" si="82"/>
        <v>0</v>
      </c>
    </row>
    <row r="170" spans="1:43" x14ac:dyDescent="0.25">
      <c r="B170" s="2" t="s">
        <v>8</v>
      </c>
      <c r="C170" s="2">
        <v>2026</v>
      </c>
      <c r="D170" s="1">
        <v>38131</v>
      </c>
      <c r="E170" s="11">
        <v>5721533</v>
      </c>
      <c r="F170" s="1">
        <v>11410</v>
      </c>
      <c r="G170" s="11">
        <v>2121724</v>
      </c>
      <c r="H170" s="1">
        <v>14460</v>
      </c>
      <c r="I170" s="11">
        <v>2990235</v>
      </c>
      <c r="J170" s="45">
        <v>0</v>
      </c>
      <c r="K170" s="11">
        <v>0</v>
      </c>
      <c r="L170" s="45">
        <v>0</v>
      </c>
      <c r="M170" s="11">
        <v>0</v>
      </c>
      <c r="N170" s="1">
        <v>18442</v>
      </c>
      <c r="O170" s="11">
        <v>4158684</v>
      </c>
      <c r="P170" s="1">
        <v>914</v>
      </c>
      <c r="Q170" s="11">
        <v>181499</v>
      </c>
      <c r="R170" s="1">
        <v>11319</v>
      </c>
      <c r="S170" s="11">
        <v>1471353</v>
      </c>
      <c r="T170" s="53">
        <f t="shared" si="83"/>
        <v>94676</v>
      </c>
      <c r="U170" s="54">
        <f t="shared" si="77"/>
        <v>16645028</v>
      </c>
      <c r="V170" s="2" t="s">
        <v>62</v>
      </c>
      <c r="Y170" s="2" t="s">
        <v>8</v>
      </c>
      <c r="Z170" s="2">
        <v>2026</v>
      </c>
      <c r="AA170" s="1">
        <f t="shared" si="78"/>
        <v>64001</v>
      </c>
      <c r="AB170" s="11">
        <f t="shared" si="78"/>
        <v>10833492</v>
      </c>
      <c r="AC170" s="1">
        <f t="shared" si="79"/>
        <v>0</v>
      </c>
      <c r="AD170" s="11">
        <f t="shared" si="79"/>
        <v>0</v>
      </c>
      <c r="AE170" s="8">
        <f t="shared" si="79"/>
        <v>0</v>
      </c>
      <c r="AF170" s="11">
        <f t="shared" si="79"/>
        <v>0</v>
      </c>
      <c r="AG170" s="8">
        <f t="shared" si="79"/>
        <v>18442</v>
      </c>
      <c r="AH170" s="11">
        <f t="shared" si="79"/>
        <v>4158684</v>
      </c>
      <c r="AI170" s="8">
        <f t="shared" si="79"/>
        <v>914</v>
      </c>
      <c r="AJ170" s="11">
        <f t="shared" si="79"/>
        <v>181499</v>
      </c>
      <c r="AK170" s="11">
        <f t="shared" si="79"/>
        <v>11319</v>
      </c>
      <c r="AL170" s="11">
        <f t="shared" si="79"/>
        <v>1471353</v>
      </c>
      <c r="AM170" s="8">
        <f t="shared" si="84"/>
        <v>94676</v>
      </c>
      <c r="AN170" s="11">
        <f t="shared" si="80"/>
        <v>16645028</v>
      </c>
      <c r="AO170" s="2" t="str">
        <f t="shared" si="81"/>
        <v>CAMS</v>
      </c>
      <c r="AP170" s="37">
        <f t="shared" si="82"/>
        <v>0</v>
      </c>
      <c r="AQ170" s="37">
        <f t="shared" si="82"/>
        <v>0</v>
      </c>
    </row>
    <row r="171" spans="1:43" x14ac:dyDescent="0.25">
      <c r="B171" s="2" t="s">
        <v>9</v>
      </c>
      <c r="C171" s="2">
        <v>2026</v>
      </c>
      <c r="D171" s="1">
        <v>36144</v>
      </c>
      <c r="E171" s="11">
        <v>5693643</v>
      </c>
      <c r="F171" s="1">
        <v>11726</v>
      </c>
      <c r="G171" s="11">
        <v>2247892</v>
      </c>
      <c r="H171" s="1">
        <v>13283</v>
      </c>
      <c r="I171" s="11">
        <v>2725171</v>
      </c>
      <c r="J171" s="45">
        <v>0</v>
      </c>
      <c r="K171" s="11">
        <v>0</v>
      </c>
      <c r="L171" s="45">
        <v>0</v>
      </c>
      <c r="M171" s="11">
        <v>0</v>
      </c>
      <c r="N171" s="1">
        <v>19038</v>
      </c>
      <c r="O171" s="11">
        <v>4395056</v>
      </c>
      <c r="P171" s="1">
        <v>1020</v>
      </c>
      <c r="Q171" s="11">
        <v>227831</v>
      </c>
      <c r="R171" s="1">
        <v>11850</v>
      </c>
      <c r="S171" s="11">
        <v>1628950</v>
      </c>
      <c r="T171" s="53">
        <f t="shared" si="83"/>
        <v>93061</v>
      </c>
      <c r="U171" s="54">
        <f t="shared" si="77"/>
        <v>16918543</v>
      </c>
      <c r="V171" s="2" t="s">
        <v>62</v>
      </c>
      <c r="Y171" s="2" t="s">
        <v>9</v>
      </c>
      <c r="Z171" s="2">
        <v>2026</v>
      </c>
      <c r="AA171" s="1">
        <f t="shared" si="78"/>
        <v>61153</v>
      </c>
      <c r="AB171" s="11">
        <f t="shared" si="78"/>
        <v>10666706</v>
      </c>
      <c r="AC171" s="1">
        <f t="shared" si="79"/>
        <v>0</v>
      </c>
      <c r="AD171" s="11">
        <f t="shared" si="79"/>
        <v>0</v>
      </c>
      <c r="AE171" s="8">
        <f t="shared" si="79"/>
        <v>0</v>
      </c>
      <c r="AF171" s="11">
        <f t="shared" si="79"/>
        <v>0</v>
      </c>
      <c r="AG171" s="8">
        <f t="shared" si="79"/>
        <v>19038</v>
      </c>
      <c r="AH171" s="11">
        <f t="shared" si="79"/>
        <v>4395056</v>
      </c>
      <c r="AI171" s="8">
        <f t="shared" si="79"/>
        <v>1020</v>
      </c>
      <c r="AJ171" s="11">
        <f t="shared" si="79"/>
        <v>227831</v>
      </c>
      <c r="AK171" s="11">
        <f t="shared" si="79"/>
        <v>11850</v>
      </c>
      <c r="AL171" s="11">
        <f t="shared" si="79"/>
        <v>1628950</v>
      </c>
      <c r="AM171" s="8">
        <f t="shared" si="84"/>
        <v>93061</v>
      </c>
      <c r="AN171" s="11">
        <f t="shared" si="80"/>
        <v>16918543</v>
      </c>
      <c r="AO171" s="2" t="str">
        <f t="shared" si="81"/>
        <v>CAMS</v>
      </c>
      <c r="AP171" s="37">
        <f t="shared" si="82"/>
        <v>0</v>
      </c>
      <c r="AQ171" s="37">
        <f t="shared" si="82"/>
        <v>0</v>
      </c>
    </row>
    <row r="172" spans="1:43" x14ac:dyDescent="0.25">
      <c r="B172" s="2" t="s">
        <v>10</v>
      </c>
      <c r="C172" s="2">
        <v>2026</v>
      </c>
      <c r="D172" s="1">
        <v>34824</v>
      </c>
      <c r="E172" s="11">
        <v>5561984</v>
      </c>
      <c r="F172" s="1">
        <v>11572</v>
      </c>
      <c r="G172" s="11">
        <v>2285088</v>
      </c>
      <c r="H172" s="1">
        <v>13251</v>
      </c>
      <c r="I172" s="11">
        <v>2765627</v>
      </c>
      <c r="J172" s="45">
        <v>0</v>
      </c>
      <c r="K172" s="11">
        <v>0</v>
      </c>
      <c r="L172" s="45">
        <v>0</v>
      </c>
      <c r="M172" s="11">
        <v>0</v>
      </c>
      <c r="N172" s="1">
        <v>17851</v>
      </c>
      <c r="O172" s="11">
        <v>4063725</v>
      </c>
      <c r="P172" s="1">
        <v>986</v>
      </c>
      <c r="Q172" s="11">
        <v>217146</v>
      </c>
      <c r="R172" s="1">
        <v>11557</v>
      </c>
      <c r="S172" s="11">
        <v>1549288</v>
      </c>
      <c r="T172" s="53">
        <f t="shared" si="83"/>
        <v>90041</v>
      </c>
      <c r="U172" s="54">
        <f t="shared" si="77"/>
        <v>16442858</v>
      </c>
      <c r="V172" s="2" t="s">
        <v>62</v>
      </c>
      <c r="Y172" s="2" t="s">
        <v>10</v>
      </c>
      <c r="Z172" s="2">
        <v>2026</v>
      </c>
      <c r="AA172" s="1">
        <f t="shared" si="78"/>
        <v>59647</v>
      </c>
      <c r="AB172" s="11">
        <f t="shared" si="78"/>
        <v>10612699</v>
      </c>
      <c r="AC172" s="1">
        <f t="shared" si="79"/>
        <v>0</v>
      </c>
      <c r="AD172" s="11">
        <f t="shared" si="79"/>
        <v>0</v>
      </c>
      <c r="AE172" s="8">
        <f t="shared" si="79"/>
        <v>0</v>
      </c>
      <c r="AF172" s="11">
        <f t="shared" si="79"/>
        <v>0</v>
      </c>
      <c r="AG172" s="8">
        <f t="shared" si="79"/>
        <v>17851</v>
      </c>
      <c r="AH172" s="11">
        <f t="shared" si="79"/>
        <v>4063725</v>
      </c>
      <c r="AI172" s="8">
        <f t="shared" si="79"/>
        <v>986</v>
      </c>
      <c r="AJ172" s="11">
        <f t="shared" si="79"/>
        <v>217146</v>
      </c>
      <c r="AK172" s="11">
        <f t="shared" si="79"/>
        <v>11557</v>
      </c>
      <c r="AL172" s="11">
        <f t="shared" si="79"/>
        <v>1549288</v>
      </c>
      <c r="AM172" s="8">
        <f t="shared" si="84"/>
        <v>90041</v>
      </c>
      <c r="AN172" s="11">
        <f t="shared" si="80"/>
        <v>16442858</v>
      </c>
      <c r="AO172" s="2" t="str">
        <f t="shared" si="81"/>
        <v>CAMS</v>
      </c>
      <c r="AP172" s="37">
        <f t="shared" si="82"/>
        <v>0</v>
      </c>
      <c r="AQ172" s="37">
        <f t="shared" si="82"/>
        <v>0</v>
      </c>
    </row>
    <row r="173" spans="1:43" x14ac:dyDescent="0.25">
      <c r="B173" s="2" t="s">
        <v>11</v>
      </c>
      <c r="C173" s="2">
        <v>2026</v>
      </c>
      <c r="D173" s="1"/>
      <c r="E173" s="11"/>
      <c r="F173" s="1"/>
      <c r="G173" s="11"/>
      <c r="H173" s="1"/>
      <c r="I173" s="11"/>
      <c r="J173" s="45"/>
      <c r="K173" s="11"/>
      <c r="L173" s="45"/>
      <c r="M173" s="11"/>
      <c r="N173" s="1"/>
      <c r="O173" s="11"/>
      <c r="P173" s="1"/>
      <c r="Q173" s="11"/>
      <c r="R173" s="1"/>
      <c r="S173" s="11"/>
      <c r="T173" s="53">
        <f t="shared" si="83"/>
        <v>0</v>
      </c>
      <c r="U173" s="54">
        <f t="shared" si="77"/>
        <v>0</v>
      </c>
      <c r="V173" s="2" t="s">
        <v>62</v>
      </c>
      <c r="Y173" s="2" t="s">
        <v>11</v>
      </c>
      <c r="Z173" s="2">
        <v>2026</v>
      </c>
      <c r="AA173" s="1">
        <f t="shared" si="78"/>
        <v>0</v>
      </c>
      <c r="AB173" s="11">
        <f t="shared" si="78"/>
        <v>0</v>
      </c>
      <c r="AC173" s="1">
        <f t="shared" si="79"/>
        <v>0</v>
      </c>
      <c r="AD173" s="11">
        <f t="shared" si="79"/>
        <v>0</v>
      </c>
      <c r="AE173" s="8">
        <f t="shared" si="79"/>
        <v>0</v>
      </c>
      <c r="AF173" s="11">
        <f t="shared" si="79"/>
        <v>0</v>
      </c>
      <c r="AG173" s="8">
        <f t="shared" si="79"/>
        <v>0</v>
      </c>
      <c r="AH173" s="11">
        <f t="shared" si="79"/>
        <v>0</v>
      </c>
      <c r="AI173" s="8">
        <f t="shared" si="79"/>
        <v>0</v>
      </c>
      <c r="AJ173" s="11">
        <f t="shared" si="79"/>
        <v>0</v>
      </c>
      <c r="AK173" s="11">
        <f t="shared" si="79"/>
        <v>0</v>
      </c>
      <c r="AL173" s="11">
        <f t="shared" si="79"/>
        <v>0</v>
      </c>
      <c r="AM173" s="8">
        <f t="shared" si="84"/>
        <v>0</v>
      </c>
      <c r="AN173" s="11">
        <f t="shared" si="80"/>
        <v>0</v>
      </c>
      <c r="AO173" s="2" t="str">
        <f t="shared" si="81"/>
        <v>CAMS</v>
      </c>
      <c r="AP173" s="37">
        <f t="shared" si="82"/>
        <v>0</v>
      </c>
      <c r="AQ173" s="37">
        <f t="shared" si="82"/>
        <v>0</v>
      </c>
    </row>
    <row r="174" spans="1:43" x14ac:dyDescent="0.25">
      <c r="B174" s="2" t="s">
        <v>4</v>
      </c>
      <c r="C174" s="2">
        <v>2026</v>
      </c>
      <c r="D174" s="1"/>
      <c r="E174" s="11"/>
      <c r="F174" s="1"/>
      <c r="G174" s="11"/>
      <c r="H174" s="1"/>
      <c r="I174" s="11"/>
      <c r="J174" s="45"/>
      <c r="K174" s="11"/>
      <c r="L174" s="45"/>
      <c r="M174" s="11"/>
      <c r="N174" s="1"/>
      <c r="O174" s="11"/>
      <c r="P174" s="1"/>
      <c r="Q174" s="11"/>
      <c r="R174" s="1"/>
      <c r="S174" s="11"/>
      <c r="T174" s="53">
        <f t="shared" si="83"/>
        <v>0</v>
      </c>
      <c r="U174" s="54">
        <f t="shared" si="77"/>
        <v>0</v>
      </c>
      <c r="V174" s="2" t="s">
        <v>62</v>
      </c>
      <c r="Y174" s="2" t="s">
        <v>4</v>
      </c>
      <c r="Z174" s="2">
        <v>2026</v>
      </c>
      <c r="AA174" s="1">
        <f t="shared" si="78"/>
        <v>0</v>
      </c>
      <c r="AB174" s="11">
        <f t="shared" si="78"/>
        <v>0</v>
      </c>
      <c r="AC174" s="1">
        <f t="shared" si="79"/>
        <v>0</v>
      </c>
      <c r="AD174" s="11">
        <f t="shared" si="79"/>
        <v>0</v>
      </c>
      <c r="AE174" s="8">
        <f t="shared" si="79"/>
        <v>0</v>
      </c>
      <c r="AF174" s="11">
        <f t="shared" si="79"/>
        <v>0</v>
      </c>
      <c r="AG174" s="8">
        <f t="shared" si="79"/>
        <v>0</v>
      </c>
      <c r="AH174" s="11">
        <f t="shared" si="79"/>
        <v>0</v>
      </c>
      <c r="AI174" s="8">
        <f t="shared" si="79"/>
        <v>0</v>
      </c>
      <c r="AJ174" s="11">
        <f t="shared" si="79"/>
        <v>0</v>
      </c>
      <c r="AK174" s="11">
        <f t="shared" si="79"/>
        <v>0</v>
      </c>
      <c r="AL174" s="11">
        <f t="shared" si="79"/>
        <v>0</v>
      </c>
      <c r="AM174" s="27">
        <f t="shared" si="84"/>
        <v>0</v>
      </c>
      <c r="AN174" s="14">
        <f t="shared" si="80"/>
        <v>0</v>
      </c>
      <c r="AO174" s="2" t="str">
        <f t="shared" si="81"/>
        <v>CAMS</v>
      </c>
      <c r="AP174" s="37">
        <f t="shared" si="82"/>
        <v>0</v>
      </c>
      <c r="AQ174" s="37">
        <f t="shared" si="82"/>
        <v>0</v>
      </c>
    </row>
    <row r="175" spans="1:43" x14ac:dyDescent="0.25">
      <c r="B175" s="2" t="s">
        <v>28</v>
      </c>
      <c r="C175" s="2">
        <v>2026</v>
      </c>
      <c r="D175" s="1"/>
      <c r="E175" s="11"/>
      <c r="F175" s="1"/>
      <c r="G175" s="11"/>
      <c r="H175" s="1"/>
      <c r="I175" s="11"/>
      <c r="J175" s="45"/>
      <c r="K175" s="11"/>
      <c r="L175" s="45"/>
      <c r="M175" s="11"/>
      <c r="N175" s="1"/>
      <c r="O175" s="11"/>
      <c r="P175" s="1"/>
      <c r="Q175" s="11"/>
      <c r="R175" s="1"/>
      <c r="S175" s="11"/>
      <c r="T175" s="53">
        <f t="shared" si="83"/>
        <v>0</v>
      </c>
      <c r="U175" s="54">
        <f t="shared" si="77"/>
        <v>0</v>
      </c>
      <c r="V175" s="2" t="s">
        <v>62</v>
      </c>
      <c r="Y175" s="2" t="s">
        <v>28</v>
      </c>
      <c r="Z175" s="2">
        <v>2026</v>
      </c>
      <c r="AA175" s="1">
        <f t="shared" si="78"/>
        <v>0</v>
      </c>
      <c r="AB175" s="11">
        <f t="shared" si="78"/>
        <v>0</v>
      </c>
      <c r="AC175" s="1">
        <f t="shared" si="79"/>
        <v>0</v>
      </c>
      <c r="AD175" s="11">
        <f t="shared" si="79"/>
        <v>0</v>
      </c>
      <c r="AE175" s="8">
        <f t="shared" si="79"/>
        <v>0</v>
      </c>
      <c r="AF175" s="11">
        <f t="shared" si="79"/>
        <v>0</v>
      </c>
      <c r="AG175" s="8">
        <f t="shared" si="79"/>
        <v>0</v>
      </c>
      <c r="AH175" s="11">
        <f t="shared" si="79"/>
        <v>0</v>
      </c>
      <c r="AI175" s="8">
        <f t="shared" si="79"/>
        <v>0</v>
      </c>
      <c r="AJ175" s="11">
        <f t="shared" si="79"/>
        <v>0</v>
      </c>
      <c r="AK175" s="11">
        <f t="shared" si="79"/>
        <v>0</v>
      </c>
      <c r="AL175" s="11">
        <f t="shared" si="79"/>
        <v>0</v>
      </c>
      <c r="AM175" s="8">
        <f t="shared" si="84"/>
        <v>0</v>
      </c>
      <c r="AN175" s="11">
        <f t="shared" si="80"/>
        <v>0</v>
      </c>
      <c r="AO175" s="2" t="str">
        <f t="shared" si="81"/>
        <v>CAMS</v>
      </c>
      <c r="AP175" s="37">
        <f t="shared" si="82"/>
        <v>0</v>
      </c>
      <c r="AQ175" s="37">
        <f t="shared" si="82"/>
        <v>0</v>
      </c>
    </row>
    <row r="176" spans="1:43" x14ac:dyDescent="0.25">
      <c r="B176" s="2" t="s">
        <v>29</v>
      </c>
      <c r="C176" s="2">
        <v>2026</v>
      </c>
      <c r="D176" s="1"/>
      <c r="E176" s="11"/>
      <c r="F176" s="1"/>
      <c r="G176" s="11"/>
      <c r="H176" s="1"/>
      <c r="I176" s="11"/>
      <c r="J176" s="45"/>
      <c r="K176" s="11"/>
      <c r="L176" s="45"/>
      <c r="M176" s="11"/>
      <c r="N176" s="1"/>
      <c r="O176" s="11"/>
      <c r="P176" s="1"/>
      <c r="Q176" s="11"/>
      <c r="R176" s="1"/>
      <c r="S176" s="11"/>
      <c r="T176" s="53">
        <f>N176+L176+J176+H176+D176+P176+F176+R176</f>
        <v>0</v>
      </c>
      <c r="U176" s="54">
        <f>O176+M176+K176+I176+E176+Q176+G176+S176</f>
        <v>0</v>
      </c>
      <c r="V176" s="2" t="s">
        <v>62</v>
      </c>
      <c r="Y176" s="2" t="s">
        <v>29</v>
      </c>
      <c r="Z176" s="2">
        <v>2026</v>
      </c>
      <c r="AA176" s="1">
        <f t="shared" si="78"/>
        <v>0</v>
      </c>
      <c r="AB176" s="11">
        <f t="shared" si="78"/>
        <v>0</v>
      </c>
      <c r="AC176" s="1">
        <f t="shared" si="79"/>
        <v>0</v>
      </c>
      <c r="AD176" s="11">
        <f t="shared" si="79"/>
        <v>0</v>
      </c>
      <c r="AE176" s="8">
        <f t="shared" si="79"/>
        <v>0</v>
      </c>
      <c r="AF176" s="11">
        <f t="shared" si="79"/>
        <v>0</v>
      </c>
      <c r="AG176" s="8">
        <f t="shared" si="79"/>
        <v>0</v>
      </c>
      <c r="AH176" s="11">
        <f t="shared" si="79"/>
        <v>0</v>
      </c>
      <c r="AI176" s="8">
        <f t="shared" si="79"/>
        <v>0</v>
      </c>
      <c r="AJ176" s="11">
        <f t="shared" si="79"/>
        <v>0</v>
      </c>
      <c r="AK176" s="11">
        <f t="shared" si="79"/>
        <v>0</v>
      </c>
      <c r="AL176" s="11">
        <f t="shared" si="79"/>
        <v>0</v>
      </c>
      <c r="AM176" s="8">
        <f t="shared" si="84"/>
        <v>0</v>
      </c>
      <c r="AN176" s="11">
        <f t="shared" si="80"/>
        <v>0</v>
      </c>
      <c r="AO176" s="2" t="str">
        <f t="shared" si="81"/>
        <v>CAMS</v>
      </c>
      <c r="AP176" s="37">
        <f t="shared" si="82"/>
        <v>0</v>
      </c>
      <c r="AQ176" s="37">
        <f t="shared" si="82"/>
        <v>0</v>
      </c>
    </row>
    <row r="177" spans="1:43" x14ac:dyDescent="0.25">
      <c r="B177" s="2" t="s">
        <v>30</v>
      </c>
      <c r="C177" s="2">
        <v>2026</v>
      </c>
      <c r="D177" s="1"/>
      <c r="E177" s="11"/>
      <c r="F177" s="1"/>
      <c r="G177" s="11"/>
      <c r="H177" s="1"/>
      <c r="I177" s="11"/>
      <c r="J177" s="1"/>
      <c r="K177" s="11"/>
      <c r="L177" s="1"/>
      <c r="M177" s="11"/>
      <c r="N177" s="1"/>
      <c r="O177" s="11"/>
      <c r="P177" s="1"/>
      <c r="Q177" s="11"/>
      <c r="R177" s="1"/>
      <c r="S177" s="11"/>
      <c r="T177" s="53">
        <f t="shared" si="83"/>
        <v>0</v>
      </c>
      <c r="U177" s="54">
        <f t="shared" si="77"/>
        <v>0</v>
      </c>
      <c r="V177" s="2" t="s">
        <v>62</v>
      </c>
      <c r="Y177" s="2" t="s">
        <v>30</v>
      </c>
      <c r="Z177" s="2">
        <v>2026</v>
      </c>
      <c r="AA177" s="1">
        <f t="shared" si="78"/>
        <v>0</v>
      </c>
      <c r="AB177" s="11">
        <f t="shared" si="78"/>
        <v>0</v>
      </c>
      <c r="AC177" s="1">
        <f t="shared" si="79"/>
        <v>0</v>
      </c>
      <c r="AD177" s="11">
        <f t="shared" si="79"/>
        <v>0</v>
      </c>
      <c r="AE177" s="8">
        <f t="shared" si="79"/>
        <v>0</v>
      </c>
      <c r="AF177" s="11">
        <f t="shared" si="79"/>
        <v>0</v>
      </c>
      <c r="AG177" s="8">
        <f t="shared" si="79"/>
        <v>0</v>
      </c>
      <c r="AH177" s="11">
        <f t="shared" si="79"/>
        <v>0</v>
      </c>
      <c r="AI177" s="8">
        <f t="shared" si="79"/>
        <v>0</v>
      </c>
      <c r="AJ177" s="11">
        <f t="shared" si="79"/>
        <v>0</v>
      </c>
      <c r="AK177" s="11">
        <f t="shared" si="79"/>
        <v>0</v>
      </c>
      <c r="AL177" s="11">
        <f t="shared" si="79"/>
        <v>0</v>
      </c>
      <c r="AM177" s="79">
        <f t="shared" si="84"/>
        <v>0</v>
      </c>
      <c r="AN177" s="80">
        <f t="shared" si="80"/>
        <v>0</v>
      </c>
      <c r="AO177" s="2" t="str">
        <f t="shared" si="81"/>
        <v>CAMS</v>
      </c>
      <c r="AP177" s="37">
        <f t="shared" si="82"/>
        <v>0</v>
      </c>
      <c r="AQ177" s="37">
        <f t="shared" si="82"/>
        <v>0</v>
      </c>
    </row>
    <row r="178" spans="1:43" x14ac:dyDescent="0.25">
      <c r="B178" s="2" t="s">
        <v>31</v>
      </c>
      <c r="C178" s="2">
        <v>2026</v>
      </c>
      <c r="D178" s="1"/>
      <c r="E178" s="11"/>
      <c r="F178" s="1"/>
      <c r="G178" s="11"/>
      <c r="H178" s="1"/>
      <c r="I178" s="11"/>
      <c r="J178" s="1"/>
      <c r="K178" s="11"/>
      <c r="L178" s="1"/>
      <c r="M178" s="11"/>
      <c r="N178" s="1"/>
      <c r="O178" s="11"/>
      <c r="P178" s="1"/>
      <c r="Q178" s="11"/>
      <c r="R178" s="1"/>
      <c r="S178" s="11"/>
      <c r="T178" s="53">
        <f t="shared" si="83"/>
        <v>0</v>
      </c>
      <c r="U178" s="54">
        <f t="shared" si="77"/>
        <v>0</v>
      </c>
      <c r="V178" s="2" t="s">
        <v>62</v>
      </c>
      <c r="W178" s="13"/>
      <c r="Y178" s="2" t="s">
        <v>31</v>
      </c>
      <c r="Z178" s="2">
        <v>2026</v>
      </c>
      <c r="AA178" s="1">
        <f t="shared" si="78"/>
        <v>0</v>
      </c>
      <c r="AB178" s="11">
        <f t="shared" si="78"/>
        <v>0</v>
      </c>
      <c r="AC178" s="1">
        <f t="shared" si="79"/>
        <v>0</v>
      </c>
      <c r="AD178" s="11">
        <f t="shared" si="79"/>
        <v>0</v>
      </c>
      <c r="AE178" s="8">
        <f t="shared" si="79"/>
        <v>0</v>
      </c>
      <c r="AF178" s="11">
        <f t="shared" si="79"/>
        <v>0</v>
      </c>
      <c r="AG178" s="8">
        <f t="shared" si="79"/>
        <v>0</v>
      </c>
      <c r="AH178" s="11">
        <f t="shared" si="79"/>
        <v>0</v>
      </c>
      <c r="AI178" s="8">
        <f t="shared" si="79"/>
        <v>0</v>
      </c>
      <c r="AJ178" s="11">
        <f t="shared" si="79"/>
        <v>0</v>
      </c>
      <c r="AK178" s="11">
        <f t="shared" si="79"/>
        <v>0</v>
      </c>
      <c r="AL178" s="11">
        <f t="shared" si="79"/>
        <v>0</v>
      </c>
      <c r="AM178" s="8">
        <f t="shared" si="84"/>
        <v>0</v>
      </c>
      <c r="AN178" s="11">
        <f t="shared" si="80"/>
        <v>0</v>
      </c>
      <c r="AO178" s="2" t="str">
        <f t="shared" si="81"/>
        <v>CAMS</v>
      </c>
      <c r="AP178" s="37">
        <f t="shared" si="82"/>
        <v>0</v>
      </c>
      <c r="AQ178" s="37">
        <f t="shared" si="82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85">SUM(D167:D179)</f>
        <v>218002</v>
      </c>
      <c r="E180" s="12">
        <f t="shared" si="85"/>
        <v>33205177</v>
      </c>
      <c r="F180" s="4">
        <f t="shared" si="85"/>
        <v>70672</v>
      </c>
      <c r="G180" s="12">
        <f t="shared" si="85"/>
        <v>13329696</v>
      </c>
      <c r="H180" s="4">
        <f t="shared" si="85"/>
        <v>78595</v>
      </c>
      <c r="I180" s="12">
        <f t="shared" si="85"/>
        <v>15752188</v>
      </c>
      <c r="J180" s="4">
        <f t="shared" si="85"/>
        <v>0</v>
      </c>
      <c r="K180" s="12">
        <f t="shared" si="85"/>
        <v>0</v>
      </c>
      <c r="L180" s="4">
        <f t="shared" si="85"/>
        <v>0</v>
      </c>
      <c r="M180" s="12">
        <f t="shared" si="85"/>
        <v>0</v>
      </c>
      <c r="N180" s="4">
        <f t="shared" si="85"/>
        <v>106352</v>
      </c>
      <c r="O180" s="12">
        <f t="shared" si="85"/>
        <v>23625202</v>
      </c>
      <c r="P180" s="4">
        <f>SUM(P167:P179)</f>
        <v>5452</v>
      </c>
      <c r="Q180" s="12">
        <f>SUM(Q167:Q179)</f>
        <v>1211114</v>
      </c>
      <c r="R180" s="4">
        <f>SUM(R167:R179)</f>
        <v>63329</v>
      </c>
      <c r="S180" s="12">
        <f>SUM(S167:S179)</f>
        <v>8259801</v>
      </c>
      <c r="T180" s="4">
        <f t="shared" si="85"/>
        <v>542402</v>
      </c>
      <c r="U180" s="12">
        <f t="shared" si="85"/>
        <v>95383178</v>
      </c>
      <c r="Y180" s="3" t="s">
        <v>12</v>
      </c>
      <c r="Z180" s="3"/>
      <c r="AA180" s="4">
        <f t="shared" ref="AA180:AN180" si="86">SUM(AA167:AA179)</f>
        <v>367269</v>
      </c>
      <c r="AB180" s="12">
        <f t="shared" si="86"/>
        <v>62287061</v>
      </c>
      <c r="AC180" s="4">
        <f t="shared" si="86"/>
        <v>0</v>
      </c>
      <c r="AD180" s="12">
        <f t="shared" si="86"/>
        <v>0</v>
      </c>
      <c r="AE180" s="4">
        <f t="shared" si="86"/>
        <v>0</v>
      </c>
      <c r="AF180" s="12">
        <f t="shared" si="86"/>
        <v>0</v>
      </c>
      <c r="AG180" s="4">
        <f t="shared" si="86"/>
        <v>106352</v>
      </c>
      <c r="AH180" s="12">
        <f t="shared" si="86"/>
        <v>23625202</v>
      </c>
      <c r="AI180" s="4">
        <f t="shared" si="86"/>
        <v>5452</v>
      </c>
      <c r="AJ180" s="12">
        <f t="shared" si="86"/>
        <v>1211114</v>
      </c>
      <c r="AK180" s="4">
        <f t="shared" si="86"/>
        <v>63329</v>
      </c>
      <c r="AL180" s="12">
        <f t="shared" si="86"/>
        <v>8259801</v>
      </c>
      <c r="AM180" s="4">
        <f t="shared" si="86"/>
        <v>542402</v>
      </c>
      <c r="AN180" s="12">
        <f t="shared" si="86"/>
        <v>95383178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84490.5</v>
      </c>
      <c r="U181" s="28">
        <f>AVERAGE(U167:U168)</f>
        <v>14411817.5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0"/>
      <c r="F185" s="89" t="s">
        <v>71</v>
      </c>
      <c r="G185" s="90"/>
      <c r="H185" s="89" t="s">
        <v>16</v>
      </c>
      <c r="I185" s="90"/>
      <c r="J185" s="89" t="s">
        <v>17</v>
      </c>
      <c r="K185" s="93"/>
      <c r="L185" s="89" t="s">
        <v>18</v>
      </c>
      <c r="M185" s="93"/>
      <c r="N185" s="89" t="s">
        <v>13</v>
      </c>
      <c r="O185" s="93"/>
      <c r="P185" s="89" t="s">
        <v>34</v>
      </c>
      <c r="Q185" s="93"/>
      <c r="R185" s="89" t="s">
        <v>87</v>
      </c>
      <c r="S185" s="93"/>
      <c r="T185" s="89" t="s">
        <v>12</v>
      </c>
      <c r="U185" s="93"/>
      <c r="AA185" s="89" t="s">
        <v>69</v>
      </c>
      <c r="AB185" s="90"/>
      <c r="AC185" s="89" t="s">
        <v>17</v>
      </c>
      <c r="AD185" s="93"/>
      <c r="AE185" s="89" t="s">
        <v>18</v>
      </c>
      <c r="AF185" s="93"/>
      <c r="AG185" s="89" t="s">
        <v>13</v>
      </c>
      <c r="AH185" s="93"/>
      <c r="AI185" s="89" t="s">
        <v>34</v>
      </c>
      <c r="AJ185" s="93"/>
      <c r="AK185" s="89" t="s">
        <v>87</v>
      </c>
      <c r="AL185" s="93"/>
      <c r="AM185" s="89" t="s">
        <v>12</v>
      </c>
      <c r="AN185" s="93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2026</v>
      </c>
      <c r="D188" s="1">
        <v>1482</v>
      </c>
      <c r="E188" s="11">
        <v>555062</v>
      </c>
      <c r="F188" s="8">
        <v>1481</v>
      </c>
      <c r="G188" s="11">
        <v>506203</v>
      </c>
      <c r="H188" s="1">
        <v>608</v>
      </c>
      <c r="I188" s="11">
        <v>265381</v>
      </c>
      <c r="J188" s="1">
        <v>57791</v>
      </c>
      <c r="K188" s="11">
        <v>24292782</v>
      </c>
      <c r="L188" s="1">
        <v>3889</v>
      </c>
      <c r="M188" s="11">
        <v>1787264</v>
      </c>
      <c r="N188" s="1">
        <v>2206</v>
      </c>
      <c r="O188" s="11">
        <v>899988</v>
      </c>
      <c r="P188" s="8">
        <v>2</v>
      </c>
      <c r="Q188" s="11">
        <v>994</v>
      </c>
      <c r="R188" s="8">
        <v>924</v>
      </c>
      <c r="S188" s="11">
        <v>222458</v>
      </c>
      <c r="T188" s="53">
        <f>N188+L188+J188+H188+D188+P188+F188+R188</f>
        <v>68383</v>
      </c>
      <c r="U188" s="54">
        <f t="shared" ref="U188:U199" si="87">O188+M188+K188+I188+E188+Q188+G188+S188</f>
        <v>28530132</v>
      </c>
      <c r="V188" s="2" t="s">
        <v>63</v>
      </c>
      <c r="Y188" s="2" t="s">
        <v>5</v>
      </c>
      <c r="Z188" s="2">
        <v>2026</v>
      </c>
      <c r="AA188" s="1">
        <f t="shared" ref="AA188:AB199" si="88">D188+H188+F188</f>
        <v>3571</v>
      </c>
      <c r="AB188" s="11">
        <f t="shared" si="88"/>
        <v>1326646</v>
      </c>
      <c r="AC188" s="1">
        <f t="shared" ref="AC188:AL199" si="89">+J188</f>
        <v>57791</v>
      </c>
      <c r="AD188" s="11">
        <f t="shared" si="89"/>
        <v>24292782</v>
      </c>
      <c r="AE188" s="8">
        <f t="shared" si="89"/>
        <v>3889</v>
      </c>
      <c r="AF188" s="11">
        <f t="shared" si="89"/>
        <v>1787264</v>
      </c>
      <c r="AG188" s="8">
        <f t="shared" si="89"/>
        <v>2206</v>
      </c>
      <c r="AH188" s="11">
        <f t="shared" si="89"/>
        <v>899988</v>
      </c>
      <c r="AI188" s="8">
        <f t="shared" si="89"/>
        <v>2</v>
      </c>
      <c r="AJ188" s="11">
        <f t="shared" si="89"/>
        <v>994</v>
      </c>
      <c r="AK188" s="11">
        <f t="shared" si="89"/>
        <v>924</v>
      </c>
      <c r="AL188" s="11">
        <f t="shared" si="89"/>
        <v>222458</v>
      </c>
      <c r="AM188" s="8">
        <f>AI188+AG188+AE188+AC188+AA188+AK188</f>
        <v>68383</v>
      </c>
      <c r="AN188" s="11">
        <f t="shared" ref="AN188:AN199" si="90">AJ188+AH188+AF188+AD188+AB188+AL188</f>
        <v>28530132</v>
      </c>
      <c r="AO188" s="2" t="str">
        <f t="shared" ref="AO188:AO199" si="91">+V188</f>
        <v>CALH</v>
      </c>
      <c r="AP188" s="37">
        <f t="shared" ref="AP188:AQ199" si="92">+AM188-T188</f>
        <v>0</v>
      </c>
      <c r="AQ188" s="37">
        <f t="shared" si="92"/>
        <v>0</v>
      </c>
    </row>
    <row r="189" spans="1:43" x14ac:dyDescent="0.25">
      <c r="B189" s="2" t="s">
        <v>6</v>
      </c>
      <c r="C189" s="2">
        <v>2026</v>
      </c>
      <c r="D189" s="1">
        <v>1136</v>
      </c>
      <c r="E189" s="11">
        <v>463772</v>
      </c>
      <c r="F189" s="8">
        <v>1269</v>
      </c>
      <c r="G189" s="11">
        <v>440149</v>
      </c>
      <c r="H189" s="1">
        <v>597</v>
      </c>
      <c r="I189" s="11">
        <v>261643</v>
      </c>
      <c r="J189" s="1">
        <v>55558</v>
      </c>
      <c r="K189" s="11">
        <v>23397670</v>
      </c>
      <c r="L189" s="1">
        <v>3896</v>
      </c>
      <c r="M189" s="11">
        <v>1771482</v>
      </c>
      <c r="N189" s="1">
        <v>2070</v>
      </c>
      <c r="O189" s="11">
        <v>854766</v>
      </c>
      <c r="P189" s="8">
        <v>0</v>
      </c>
      <c r="Q189" s="11">
        <v>0</v>
      </c>
      <c r="R189" s="8">
        <v>745</v>
      </c>
      <c r="S189" s="11">
        <v>197582</v>
      </c>
      <c r="T189" s="53">
        <f t="shared" ref="T189:T199" si="93">N189+L189+J189+H189+D189+P189+F189+R189</f>
        <v>65271</v>
      </c>
      <c r="U189" s="54">
        <f t="shared" si="87"/>
        <v>27387064</v>
      </c>
      <c r="V189" s="2" t="s">
        <v>63</v>
      </c>
      <c r="Y189" s="2" t="s">
        <v>6</v>
      </c>
      <c r="Z189" s="2">
        <v>2026</v>
      </c>
      <c r="AA189" s="1">
        <f t="shared" si="88"/>
        <v>3002</v>
      </c>
      <c r="AB189" s="11">
        <f t="shared" si="88"/>
        <v>1165564</v>
      </c>
      <c r="AC189" s="1">
        <f t="shared" si="89"/>
        <v>55558</v>
      </c>
      <c r="AD189" s="11">
        <f t="shared" si="89"/>
        <v>23397670</v>
      </c>
      <c r="AE189" s="8">
        <f t="shared" si="89"/>
        <v>3896</v>
      </c>
      <c r="AF189" s="11">
        <f t="shared" si="89"/>
        <v>1771482</v>
      </c>
      <c r="AG189" s="8">
        <f t="shared" si="89"/>
        <v>2070</v>
      </c>
      <c r="AH189" s="11">
        <f t="shared" si="89"/>
        <v>854766</v>
      </c>
      <c r="AI189" s="8">
        <f t="shared" si="89"/>
        <v>0</v>
      </c>
      <c r="AJ189" s="11">
        <f t="shared" si="89"/>
        <v>0</v>
      </c>
      <c r="AK189" s="11">
        <f t="shared" si="89"/>
        <v>745</v>
      </c>
      <c r="AL189" s="11">
        <f t="shared" si="89"/>
        <v>197582</v>
      </c>
      <c r="AM189" s="8">
        <f t="shared" ref="AM189:AM199" si="94">AI189+AG189+AE189+AC189+AA189+AK189</f>
        <v>65271</v>
      </c>
      <c r="AN189" s="11">
        <f t="shared" si="90"/>
        <v>27387064</v>
      </c>
      <c r="AO189" s="2" t="str">
        <f t="shared" si="91"/>
        <v>CALH</v>
      </c>
      <c r="AP189" s="37">
        <f t="shared" si="92"/>
        <v>0</v>
      </c>
      <c r="AQ189" s="37">
        <f t="shared" si="92"/>
        <v>0</v>
      </c>
    </row>
    <row r="190" spans="1:43" x14ac:dyDescent="0.25">
      <c r="B190" s="2" t="s">
        <v>7</v>
      </c>
      <c r="C190" s="2">
        <v>2026</v>
      </c>
      <c r="D190" s="1">
        <v>1468</v>
      </c>
      <c r="E190" s="11">
        <v>602627</v>
      </c>
      <c r="F190" s="8">
        <v>1307</v>
      </c>
      <c r="G190" s="11">
        <v>462854</v>
      </c>
      <c r="H190" s="1">
        <v>573</v>
      </c>
      <c r="I190" s="11">
        <v>253791</v>
      </c>
      <c r="J190" s="1">
        <v>63501</v>
      </c>
      <c r="K190" s="11">
        <v>26764504</v>
      </c>
      <c r="L190" s="1">
        <v>4293</v>
      </c>
      <c r="M190" s="11">
        <v>1983728</v>
      </c>
      <c r="N190" s="1">
        <v>2461</v>
      </c>
      <c r="O190" s="11">
        <v>999209</v>
      </c>
      <c r="P190" s="8">
        <v>1</v>
      </c>
      <c r="Q190" s="11">
        <v>74</v>
      </c>
      <c r="R190" s="8">
        <v>882</v>
      </c>
      <c r="S190" s="11">
        <v>246345</v>
      </c>
      <c r="T190" s="53">
        <f t="shared" si="93"/>
        <v>74486</v>
      </c>
      <c r="U190" s="54">
        <f t="shared" si="87"/>
        <v>31313132</v>
      </c>
      <c r="V190" s="2" t="s">
        <v>63</v>
      </c>
      <c r="X190" s="13"/>
      <c r="Y190" s="2" t="s">
        <v>7</v>
      </c>
      <c r="Z190" s="2">
        <v>2026</v>
      </c>
      <c r="AA190" s="1">
        <f t="shared" si="88"/>
        <v>3348</v>
      </c>
      <c r="AB190" s="11">
        <f t="shared" si="88"/>
        <v>1319272</v>
      </c>
      <c r="AC190" s="1">
        <f t="shared" si="89"/>
        <v>63501</v>
      </c>
      <c r="AD190" s="11">
        <f t="shared" si="89"/>
        <v>26764504</v>
      </c>
      <c r="AE190" s="8">
        <f t="shared" si="89"/>
        <v>4293</v>
      </c>
      <c r="AF190" s="11">
        <f t="shared" si="89"/>
        <v>1983728</v>
      </c>
      <c r="AG190" s="8">
        <f t="shared" si="89"/>
        <v>2461</v>
      </c>
      <c r="AH190" s="11">
        <f t="shared" si="89"/>
        <v>999209</v>
      </c>
      <c r="AI190" s="8">
        <f t="shared" si="89"/>
        <v>1</v>
      </c>
      <c r="AJ190" s="11">
        <f t="shared" si="89"/>
        <v>74</v>
      </c>
      <c r="AK190" s="11">
        <f t="shared" si="89"/>
        <v>882</v>
      </c>
      <c r="AL190" s="11">
        <f t="shared" si="89"/>
        <v>246345</v>
      </c>
      <c r="AM190" s="8">
        <f t="shared" si="94"/>
        <v>74486</v>
      </c>
      <c r="AN190" s="11">
        <f t="shared" si="90"/>
        <v>31313132</v>
      </c>
      <c r="AO190" s="2" t="str">
        <f t="shared" si="91"/>
        <v>CALH</v>
      </c>
      <c r="AP190" s="37">
        <f t="shared" si="92"/>
        <v>0</v>
      </c>
      <c r="AQ190" s="37">
        <f t="shared" si="92"/>
        <v>0</v>
      </c>
    </row>
    <row r="191" spans="1:43" x14ac:dyDescent="0.25">
      <c r="B191" s="2" t="s">
        <v>8</v>
      </c>
      <c r="C191" s="2">
        <v>2026</v>
      </c>
      <c r="D191" s="1">
        <v>1428</v>
      </c>
      <c r="E191" s="11">
        <v>592685</v>
      </c>
      <c r="F191" s="8">
        <v>1320</v>
      </c>
      <c r="G191" s="11">
        <v>506394</v>
      </c>
      <c r="H191" s="1">
        <v>442</v>
      </c>
      <c r="I191" s="11">
        <v>185171</v>
      </c>
      <c r="J191" s="1">
        <v>56234</v>
      </c>
      <c r="K191" s="11">
        <v>24676047</v>
      </c>
      <c r="L191" s="1">
        <v>3838</v>
      </c>
      <c r="M191" s="11">
        <v>1880230</v>
      </c>
      <c r="N191" s="1">
        <v>2307</v>
      </c>
      <c r="O191" s="11">
        <v>957613</v>
      </c>
      <c r="P191" s="8">
        <v>3</v>
      </c>
      <c r="Q191" s="11">
        <v>831</v>
      </c>
      <c r="R191" s="8">
        <v>890</v>
      </c>
      <c r="S191" s="11">
        <v>246222</v>
      </c>
      <c r="T191" s="53">
        <f t="shared" si="93"/>
        <v>66462</v>
      </c>
      <c r="U191" s="54">
        <f t="shared" si="87"/>
        <v>29045193</v>
      </c>
      <c r="V191" s="2" t="s">
        <v>63</v>
      </c>
      <c r="X191" s="13"/>
      <c r="Y191" s="2" t="s">
        <v>8</v>
      </c>
      <c r="Z191" s="2">
        <v>2026</v>
      </c>
      <c r="AA191" s="1">
        <f t="shared" si="88"/>
        <v>3190</v>
      </c>
      <c r="AB191" s="11">
        <f t="shared" si="88"/>
        <v>1284250</v>
      </c>
      <c r="AC191" s="1">
        <f t="shared" si="89"/>
        <v>56234</v>
      </c>
      <c r="AD191" s="11">
        <f t="shared" si="89"/>
        <v>24676047</v>
      </c>
      <c r="AE191" s="8">
        <f t="shared" si="89"/>
        <v>3838</v>
      </c>
      <c r="AF191" s="11">
        <f t="shared" si="89"/>
        <v>1880230</v>
      </c>
      <c r="AG191" s="8">
        <f t="shared" si="89"/>
        <v>2307</v>
      </c>
      <c r="AH191" s="11">
        <f t="shared" si="89"/>
        <v>957613</v>
      </c>
      <c r="AI191" s="8">
        <f t="shared" si="89"/>
        <v>3</v>
      </c>
      <c r="AJ191" s="11">
        <f t="shared" si="89"/>
        <v>831</v>
      </c>
      <c r="AK191" s="11">
        <f t="shared" si="89"/>
        <v>890</v>
      </c>
      <c r="AL191" s="11">
        <f t="shared" si="89"/>
        <v>246222</v>
      </c>
      <c r="AM191" s="8">
        <f t="shared" si="94"/>
        <v>66462</v>
      </c>
      <c r="AN191" s="11">
        <f t="shared" si="90"/>
        <v>29045193</v>
      </c>
      <c r="AO191" s="2" t="str">
        <f t="shared" si="91"/>
        <v>CALH</v>
      </c>
      <c r="AP191" s="37">
        <f t="shared" si="92"/>
        <v>0</v>
      </c>
      <c r="AQ191" s="37">
        <f t="shared" si="92"/>
        <v>0</v>
      </c>
    </row>
    <row r="192" spans="1:43" x14ac:dyDescent="0.25">
      <c r="B192" s="2" t="s">
        <v>9</v>
      </c>
      <c r="C192" s="2">
        <v>2026</v>
      </c>
      <c r="D192" s="1">
        <v>1280</v>
      </c>
      <c r="E192" s="11">
        <v>571887</v>
      </c>
      <c r="F192" s="8">
        <v>1401</v>
      </c>
      <c r="G192" s="11">
        <v>555592</v>
      </c>
      <c r="H192" s="1">
        <v>493</v>
      </c>
      <c r="I192" s="11">
        <v>196957</v>
      </c>
      <c r="J192" s="1">
        <v>62266</v>
      </c>
      <c r="K192" s="11">
        <v>28063397</v>
      </c>
      <c r="L192" s="1">
        <v>3735</v>
      </c>
      <c r="M192" s="11">
        <v>1844013</v>
      </c>
      <c r="N192" s="1">
        <v>2792</v>
      </c>
      <c r="O192" s="11">
        <v>1226603</v>
      </c>
      <c r="P192" s="8">
        <v>2</v>
      </c>
      <c r="Q192" s="11">
        <v>640</v>
      </c>
      <c r="R192" s="8">
        <v>904</v>
      </c>
      <c r="S192" s="11">
        <v>275716</v>
      </c>
      <c r="T192" s="53">
        <f t="shared" si="93"/>
        <v>72873</v>
      </c>
      <c r="U192" s="54">
        <f t="shared" si="87"/>
        <v>32734805</v>
      </c>
      <c r="V192" s="2" t="s">
        <v>63</v>
      </c>
      <c r="X192" s="13"/>
      <c r="Y192" s="2" t="s">
        <v>9</v>
      </c>
      <c r="Z192" s="2">
        <v>2026</v>
      </c>
      <c r="AA192" s="1">
        <f t="shared" si="88"/>
        <v>3174</v>
      </c>
      <c r="AB192" s="11">
        <f t="shared" si="88"/>
        <v>1324436</v>
      </c>
      <c r="AC192" s="1">
        <f t="shared" si="89"/>
        <v>62266</v>
      </c>
      <c r="AD192" s="11">
        <f t="shared" si="89"/>
        <v>28063397</v>
      </c>
      <c r="AE192" s="8">
        <f t="shared" si="89"/>
        <v>3735</v>
      </c>
      <c r="AF192" s="11">
        <f t="shared" si="89"/>
        <v>1844013</v>
      </c>
      <c r="AG192" s="8">
        <f t="shared" si="89"/>
        <v>2792</v>
      </c>
      <c r="AH192" s="11">
        <f t="shared" si="89"/>
        <v>1226603</v>
      </c>
      <c r="AI192" s="8">
        <f t="shared" si="89"/>
        <v>2</v>
      </c>
      <c r="AJ192" s="11">
        <f t="shared" si="89"/>
        <v>640</v>
      </c>
      <c r="AK192" s="11">
        <f t="shared" si="89"/>
        <v>904</v>
      </c>
      <c r="AL192" s="11">
        <f t="shared" si="89"/>
        <v>275716</v>
      </c>
      <c r="AM192" s="8">
        <f t="shared" si="94"/>
        <v>72873</v>
      </c>
      <c r="AN192" s="11">
        <f t="shared" si="90"/>
        <v>32734805</v>
      </c>
      <c r="AO192" s="2" t="str">
        <f t="shared" si="91"/>
        <v>CALH</v>
      </c>
      <c r="AP192" s="37">
        <f t="shared" si="92"/>
        <v>0</v>
      </c>
      <c r="AQ192" s="37">
        <f t="shared" si="92"/>
        <v>0</v>
      </c>
    </row>
    <row r="193" spans="1:43" x14ac:dyDescent="0.25">
      <c r="B193" s="2" t="s">
        <v>10</v>
      </c>
      <c r="C193" s="2">
        <v>2026</v>
      </c>
      <c r="D193" s="1">
        <v>1172</v>
      </c>
      <c r="E193" s="11">
        <v>496987</v>
      </c>
      <c r="F193" s="8">
        <v>1243</v>
      </c>
      <c r="G193" s="11">
        <v>492941</v>
      </c>
      <c r="H193" s="1">
        <v>392</v>
      </c>
      <c r="I193" s="11">
        <v>166697</v>
      </c>
      <c r="J193" s="1">
        <v>58006</v>
      </c>
      <c r="K193" s="11">
        <v>26231555</v>
      </c>
      <c r="L193" s="1">
        <v>3746</v>
      </c>
      <c r="M193" s="11">
        <v>1839217</v>
      </c>
      <c r="N193" s="1">
        <v>2377</v>
      </c>
      <c r="O193" s="11">
        <v>1028987</v>
      </c>
      <c r="P193" s="8">
        <v>8</v>
      </c>
      <c r="Q193" s="11">
        <v>4134</v>
      </c>
      <c r="R193" s="8">
        <v>825</v>
      </c>
      <c r="S193" s="11">
        <v>245559</v>
      </c>
      <c r="T193" s="53">
        <f t="shared" si="93"/>
        <v>67769</v>
      </c>
      <c r="U193" s="54">
        <f t="shared" si="87"/>
        <v>30506077</v>
      </c>
      <c r="V193" s="2" t="s">
        <v>63</v>
      </c>
      <c r="Y193" s="2" t="s">
        <v>10</v>
      </c>
      <c r="Z193" s="2">
        <v>2026</v>
      </c>
      <c r="AA193" s="1">
        <f t="shared" si="88"/>
        <v>2807</v>
      </c>
      <c r="AB193" s="11">
        <f t="shared" si="88"/>
        <v>1156625</v>
      </c>
      <c r="AC193" s="1">
        <f t="shared" si="89"/>
        <v>58006</v>
      </c>
      <c r="AD193" s="11">
        <f t="shared" si="89"/>
        <v>26231555</v>
      </c>
      <c r="AE193" s="8">
        <f t="shared" si="89"/>
        <v>3746</v>
      </c>
      <c r="AF193" s="11">
        <f t="shared" si="89"/>
        <v>1839217</v>
      </c>
      <c r="AG193" s="8">
        <f t="shared" si="89"/>
        <v>2377</v>
      </c>
      <c r="AH193" s="11">
        <f t="shared" si="89"/>
        <v>1028987</v>
      </c>
      <c r="AI193" s="8">
        <f t="shared" si="89"/>
        <v>8</v>
      </c>
      <c r="AJ193" s="11">
        <f t="shared" si="89"/>
        <v>4134</v>
      </c>
      <c r="AK193" s="11">
        <f t="shared" si="89"/>
        <v>825</v>
      </c>
      <c r="AL193" s="11">
        <f t="shared" si="89"/>
        <v>245559</v>
      </c>
      <c r="AM193" s="8">
        <f t="shared" si="94"/>
        <v>67769</v>
      </c>
      <c r="AN193" s="11">
        <f t="shared" si="90"/>
        <v>30506077</v>
      </c>
      <c r="AO193" s="2" t="str">
        <f t="shared" si="91"/>
        <v>CALH</v>
      </c>
      <c r="AP193" s="37">
        <f t="shared" si="92"/>
        <v>0</v>
      </c>
      <c r="AQ193" s="37">
        <f t="shared" si="92"/>
        <v>0</v>
      </c>
    </row>
    <row r="194" spans="1:43" x14ac:dyDescent="0.25">
      <c r="B194" s="2" t="s">
        <v>11</v>
      </c>
      <c r="C194" s="2">
        <v>2026</v>
      </c>
      <c r="D194" s="1"/>
      <c r="E194" s="11"/>
      <c r="F194" s="8"/>
      <c r="G194" s="11"/>
      <c r="H194" s="1"/>
      <c r="I194" s="11"/>
      <c r="J194" s="1"/>
      <c r="K194" s="11"/>
      <c r="L194" s="1"/>
      <c r="M194" s="11"/>
      <c r="N194" s="1"/>
      <c r="O194" s="11"/>
      <c r="P194" s="8"/>
      <c r="Q194" s="11"/>
      <c r="R194" s="8"/>
      <c r="S194" s="11"/>
      <c r="T194" s="53">
        <f t="shared" si="93"/>
        <v>0</v>
      </c>
      <c r="U194" s="54">
        <f t="shared" si="87"/>
        <v>0</v>
      </c>
      <c r="V194" s="2" t="s">
        <v>63</v>
      </c>
      <c r="Y194" s="2" t="s">
        <v>11</v>
      </c>
      <c r="Z194" s="2">
        <v>2026</v>
      </c>
      <c r="AA194" s="1">
        <f t="shared" si="88"/>
        <v>0</v>
      </c>
      <c r="AB194" s="11">
        <f t="shared" si="88"/>
        <v>0</v>
      </c>
      <c r="AC194" s="1">
        <f t="shared" si="89"/>
        <v>0</v>
      </c>
      <c r="AD194" s="11">
        <f t="shared" si="89"/>
        <v>0</v>
      </c>
      <c r="AE194" s="8">
        <f t="shared" si="89"/>
        <v>0</v>
      </c>
      <c r="AF194" s="11">
        <f t="shared" si="89"/>
        <v>0</v>
      </c>
      <c r="AG194" s="8">
        <f t="shared" si="89"/>
        <v>0</v>
      </c>
      <c r="AH194" s="11">
        <f t="shared" si="89"/>
        <v>0</v>
      </c>
      <c r="AI194" s="8">
        <f t="shared" si="89"/>
        <v>0</v>
      </c>
      <c r="AJ194" s="11">
        <f t="shared" si="89"/>
        <v>0</v>
      </c>
      <c r="AK194" s="11">
        <f t="shared" si="89"/>
        <v>0</v>
      </c>
      <c r="AL194" s="11">
        <f t="shared" si="89"/>
        <v>0</v>
      </c>
      <c r="AM194" s="8">
        <f t="shared" si="94"/>
        <v>0</v>
      </c>
      <c r="AN194" s="11">
        <f t="shared" si="90"/>
        <v>0</v>
      </c>
      <c r="AO194" s="2" t="str">
        <f t="shared" si="91"/>
        <v>CALH</v>
      </c>
      <c r="AP194" s="37">
        <f t="shared" si="92"/>
        <v>0</v>
      </c>
      <c r="AQ194" s="37">
        <f t="shared" si="92"/>
        <v>0</v>
      </c>
    </row>
    <row r="195" spans="1:43" x14ac:dyDescent="0.25">
      <c r="B195" s="2" t="s">
        <v>4</v>
      </c>
      <c r="C195" s="2">
        <v>2026</v>
      </c>
      <c r="D195" s="1"/>
      <c r="E195" s="11"/>
      <c r="F195" s="8"/>
      <c r="G195" s="11"/>
      <c r="H195" s="1"/>
      <c r="I195" s="11"/>
      <c r="J195" s="1"/>
      <c r="K195" s="11"/>
      <c r="L195" s="1"/>
      <c r="M195" s="11"/>
      <c r="N195" s="1"/>
      <c r="O195" s="11"/>
      <c r="P195" s="8"/>
      <c r="Q195" s="11"/>
      <c r="R195" s="8"/>
      <c r="S195" s="11"/>
      <c r="T195" s="53">
        <f t="shared" si="93"/>
        <v>0</v>
      </c>
      <c r="U195" s="54">
        <f t="shared" si="87"/>
        <v>0</v>
      </c>
      <c r="V195" s="2" t="s">
        <v>63</v>
      </c>
      <c r="Y195" s="2" t="s">
        <v>4</v>
      </c>
      <c r="Z195" s="2">
        <v>2026</v>
      </c>
      <c r="AA195" s="1">
        <f t="shared" si="88"/>
        <v>0</v>
      </c>
      <c r="AB195" s="11">
        <f t="shared" si="88"/>
        <v>0</v>
      </c>
      <c r="AC195" s="1">
        <f t="shared" si="89"/>
        <v>0</v>
      </c>
      <c r="AD195" s="11">
        <f t="shared" si="89"/>
        <v>0</v>
      </c>
      <c r="AE195" s="8">
        <f t="shared" si="89"/>
        <v>0</v>
      </c>
      <c r="AF195" s="11">
        <f t="shared" si="89"/>
        <v>0</v>
      </c>
      <c r="AG195" s="8">
        <f t="shared" si="89"/>
        <v>0</v>
      </c>
      <c r="AH195" s="11">
        <f t="shared" si="89"/>
        <v>0</v>
      </c>
      <c r="AI195" s="8">
        <f t="shared" si="89"/>
        <v>0</v>
      </c>
      <c r="AJ195" s="11">
        <f t="shared" si="89"/>
        <v>0</v>
      </c>
      <c r="AK195" s="11">
        <f t="shared" si="89"/>
        <v>0</v>
      </c>
      <c r="AL195" s="11">
        <f t="shared" si="89"/>
        <v>0</v>
      </c>
      <c r="AM195" s="27">
        <f t="shared" si="94"/>
        <v>0</v>
      </c>
      <c r="AN195" s="14">
        <f t="shared" si="90"/>
        <v>0</v>
      </c>
      <c r="AO195" s="2" t="str">
        <f t="shared" si="91"/>
        <v>CALH</v>
      </c>
      <c r="AP195" s="37">
        <f t="shared" si="92"/>
        <v>0</v>
      </c>
      <c r="AQ195" s="37">
        <f t="shared" si="92"/>
        <v>0</v>
      </c>
    </row>
    <row r="196" spans="1:43" x14ac:dyDescent="0.25">
      <c r="B196" s="2" t="s">
        <v>28</v>
      </c>
      <c r="C196" s="2">
        <v>2026</v>
      </c>
      <c r="D196" s="1"/>
      <c r="E196" s="11"/>
      <c r="F196" s="8"/>
      <c r="G196" s="11"/>
      <c r="H196" s="1"/>
      <c r="I196" s="11"/>
      <c r="J196" s="1"/>
      <c r="K196" s="11"/>
      <c r="L196" s="1"/>
      <c r="M196" s="11"/>
      <c r="N196" s="1"/>
      <c r="O196" s="11"/>
      <c r="P196" s="8"/>
      <c r="Q196" s="11"/>
      <c r="R196" s="8"/>
      <c r="S196" s="11"/>
      <c r="T196" s="53">
        <f t="shared" si="93"/>
        <v>0</v>
      </c>
      <c r="U196" s="54">
        <f t="shared" si="87"/>
        <v>0</v>
      </c>
      <c r="V196" s="2" t="s">
        <v>63</v>
      </c>
      <c r="Y196" s="2" t="s">
        <v>28</v>
      </c>
      <c r="Z196" s="2">
        <v>2026</v>
      </c>
      <c r="AA196" s="1">
        <f t="shared" si="88"/>
        <v>0</v>
      </c>
      <c r="AB196" s="11">
        <f t="shared" si="88"/>
        <v>0</v>
      </c>
      <c r="AC196" s="1">
        <f t="shared" si="89"/>
        <v>0</v>
      </c>
      <c r="AD196" s="11">
        <f t="shared" si="89"/>
        <v>0</v>
      </c>
      <c r="AE196" s="8">
        <f t="shared" si="89"/>
        <v>0</v>
      </c>
      <c r="AF196" s="11">
        <f t="shared" si="89"/>
        <v>0</v>
      </c>
      <c r="AG196" s="8">
        <f t="shared" si="89"/>
        <v>0</v>
      </c>
      <c r="AH196" s="11">
        <f t="shared" si="89"/>
        <v>0</v>
      </c>
      <c r="AI196" s="8">
        <f t="shared" si="89"/>
        <v>0</v>
      </c>
      <c r="AJ196" s="11">
        <f t="shared" si="89"/>
        <v>0</v>
      </c>
      <c r="AK196" s="11">
        <f t="shared" si="89"/>
        <v>0</v>
      </c>
      <c r="AL196" s="11">
        <f t="shared" si="89"/>
        <v>0</v>
      </c>
      <c r="AM196" s="8">
        <f t="shared" si="94"/>
        <v>0</v>
      </c>
      <c r="AN196" s="11">
        <f t="shared" si="90"/>
        <v>0</v>
      </c>
      <c r="AO196" s="2" t="str">
        <f t="shared" si="91"/>
        <v>CALH</v>
      </c>
      <c r="AP196" s="37">
        <f t="shared" si="92"/>
        <v>0</v>
      </c>
      <c r="AQ196" s="37">
        <f t="shared" si="92"/>
        <v>0</v>
      </c>
    </row>
    <row r="197" spans="1:43" x14ac:dyDescent="0.25">
      <c r="B197" s="2" t="s">
        <v>29</v>
      </c>
      <c r="C197" s="2">
        <v>2026</v>
      </c>
      <c r="D197" s="1"/>
      <c r="E197" s="11"/>
      <c r="F197" s="8"/>
      <c r="G197" s="11"/>
      <c r="H197" s="1"/>
      <c r="I197" s="11"/>
      <c r="J197" s="1"/>
      <c r="K197" s="11"/>
      <c r="L197" s="1"/>
      <c r="M197" s="11"/>
      <c r="N197" s="1"/>
      <c r="O197" s="11"/>
      <c r="P197" s="8"/>
      <c r="Q197" s="11"/>
      <c r="R197" s="8"/>
      <c r="S197" s="11"/>
      <c r="T197" s="53">
        <f>N197+L197+J197+H197+D197+P197+F197+R197</f>
        <v>0</v>
      </c>
      <c r="U197" s="54">
        <f t="shared" si="87"/>
        <v>0</v>
      </c>
      <c r="V197" s="2" t="s">
        <v>63</v>
      </c>
      <c r="Y197" s="2" t="s">
        <v>29</v>
      </c>
      <c r="Z197" s="2">
        <v>2026</v>
      </c>
      <c r="AA197" s="1">
        <f t="shared" si="88"/>
        <v>0</v>
      </c>
      <c r="AB197" s="11">
        <f t="shared" si="88"/>
        <v>0</v>
      </c>
      <c r="AC197" s="1">
        <f t="shared" si="89"/>
        <v>0</v>
      </c>
      <c r="AD197" s="11">
        <f t="shared" si="89"/>
        <v>0</v>
      </c>
      <c r="AE197" s="8">
        <f t="shared" si="89"/>
        <v>0</v>
      </c>
      <c r="AF197" s="11">
        <f t="shared" si="89"/>
        <v>0</v>
      </c>
      <c r="AG197" s="8">
        <f t="shared" si="89"/>
        <v>0</v>
      </c>
      <c r="AH197" s="11">
        <f t="shared" si="89"/>
        <v>0</v>
      </c>
      <c r="AI197" s="8">
        <f t="shared" si="89"/>
        <v>0</v>
      </c>
      <c r="AJ197" s="11">
        <f t="shared" si="89"/>
        <v>0</v>
      </c>
      <c r="AK197" s="11">
        <f t="shared" si="89"/>
        <v>0</v>
      </c>
      <c r="AL197" s="11">
        <f t="shared" si="89"/>
        <v>0</v>
      </c>
      <c r="AM197" s="8">
        <f t="shared" si="94"/>
        <v>0</v>
      </c>
      <c r="AN197" s="11">
        <f t="shared" si="90"/>
        <v>0</v>
      </c>
      <c r="AO197" s="2" t="str">
        <f t="shared" si="91"/>
        <v>CALH</v>
      </c>
      <c r="AP197" s="37">
        <f t="shared" si="92"/>
        <v>0</v>
      </c>
      <c r="AQ197" s="37">
        <f t="shared" si="92"/>
        <v>0</v>
      </c>
    </row>
    <row r="198" spans="1:43" x14ac:dyDescent="0.25">
      <c r="B198" s="2" t="s">
        <v>30</v>
      </c>
      <c r="C198" s="2">
        <v>2026</v>
      </c>
      <c r="D198" s="1"/>
      <c r="E198" s="11"/>
      <c r="F198" s="8"/>
      <c r="G198" s="11"/>
      <c r="H198" s="1"/>
      <c r="I198" s="11"/>
      <c r="J198" s="1"/>
      <c r="K198" s="11"/>
      <c r="L198" s="1"/>
      <c r="M198" s="11"/>
      <c r="N198" s="1"/>
      <c r="O198" s="11"/>
      <c r="P198" s="8"/>
      <c r="Q198" s="11"/>
      <c r="R198" s="8"/>
      <c r="S198" s="11"/>
      <c r="T198" s="53">
        <f t="shared" si="93"/>
        <v>0</v>
      </c>
      <c r="U198" s="54">
        <f t="shared" si="87"/>
        <v>0</v>
      </c>
      <c r="V198" s="2" t="s">
        <v>63</v>
      </c>
      <c r="Y198" s="2" t="s">
        <v>30</v>
      </c>
      <c r="Z198" s="2">
        <v>2026</v>
      </c>
      <c r="AA198" s="1">
        <f t="shared" si="88"/>
        <v>0</v>
      </c>
      <c r="AB198" s="11">
        <f t="shared" si="88"/>
        <v>0</v>
      </c>
      <c r="AC198" s="1">
        <f t="shared" si="89"/>
        <v>0</v>
      </c>
      <c r="AD198" s="11">
        <f t="shared" si="89"/>
        <v>0</v>
      </c>
      <c r="AE198" s="8">
        <f t="shared" si="89"/>
        <v>0</v>
      </c>
      <c r="AF198" s="11">
        <f t="shared" si="89"/>
        <v>0</v>
      </c>
      <c r="AG198" s="8">
        <f t="shared" si="89"/>
        <v>0</v>
      </c>
      <c r="AH198" s="11">
        <f t="shared" si="89"/>
        <v>0</v>
      </c>
      <c r="AI198" s="8">
        <f t="shared" si="89"/>
        <v>0</v>
      </c>
      <c r="AJ198" s="11">
        <f t="shared" si="89"/>
        <v>0</v>
      </c>
      <c r="AK198" s="11">
        <f t="shared" si="89"/>
        <v>0</v>
      </c>
      <c r="AL198" s="11">
        <f t="shared" si="89"/>
        <v>0</v>
      </c>
      <c r="AM198" s="79">
        <f t="shared" si="94"/>
        <v>0</v>
      </c>
      <c r="AN198" s="80">
        <f t="shared" si="90"/>
        <v>0</v>
      </c>
      <c r="AO198" s="2" t="str">
        <f t="shared" si="91"/>
        <v>CALH</v>
      </c>
      <c r="AP198" s="37">
        <f t="shared" si="92"/>
        <v>0</v>
      </c>
      <c r="AQ198" s="37">
        <f t="shared" si="92"/>
        <v>0</v>
      </c>
    </row>
    <row r="199" spans="1:43" x14ac:dyDescent="0.25">
      <c r="B199" s="2" t="s">
        <v>31</v>
      </c>
      <c r="C199" s="2">
        <v>2026</v>
      </c>
      <c r="D199" s="1"/>
      <c r="E199" s="11"/>
      <c r="F199" s="8"/>
      <c r="G199" s="11"/>
      <c r="H199" s="1"/>
      <c r="I199" s="11"/>
      <c r="J199" s="1"/>
      <c r="K199" s="11"/>
      <c r="L199" s="1"/>
      <c r="M199" s="11"/>
      <c r="N199" s="1"/>
      <c r="O199" s="11"/>
      <c r="P199" s="8"/>
      <c r="Q199" s="11"/>
      <c r="R199" s="8"/>
      <c r="S199" s="11"/>
      <c r="T199" s="53">
        <f t="shared" si="93"/>
        <v>0</v>
      </c>
      <c r="U199" s="54">
        <f t="shared" si="87"/>
        <v>0</v>
      </c>
      <c r="V199" s="2" t="s">
        <v>63</v>
      </c>
      <c r="W199" s="13"/>
      <c r="Y199" s="2" t="s">
        <v>31</v>
      </c>
      <c r="Z199" s="2">
        <v>2026</v>
      </c>
      <c r="AA199" s="1">
        <f t="shared" si="88"/>
        <v>0</v>
      </c>
      <c r="AB199" s="11">
        <f t="shared" si="88"/>
        <v>0</v>
      </c>
      <c r="AC199" s="1">
        <f t="shared" si="89"/>
        <v>0</v>
      </c>
      <c r="AD199" s="11">
        <f t="shared" si="89"/>
        <v>0</v>
      </c>
      <c r="AE199" s="8">
        <f t="shared" si="89"/>
        <v>0</v>
      </c>
      <c r="AF199" s="11">
        <f t="shared" si="89"/>
        <v>0</v>
      </c>
      <c r="AG199" s="8">
        <f t="shared" si="89"/>
        <v>0</v>
      </c>
      <c r="AH199" s="11">
        <f t="shared" si="89"/>
        <v>0</v>
      </c>
      <c r="AI199" s="8">
        <f t="shared" si="89"/>
        <v>0</v>
      </c>
      <c r="AJ199" s="11">
        <f t="shared" si="89"/>
        <v>0</v>
      </c>
      <c r="AK199" s="11">
        <f t="shared" si="89"/>
        <v>0</v>
      </c>
      <c r="AL199" s="11">
        <f t="shared" si="89"/>
        <v>0</v>
      </c>
      <c r="AM199" s="8">
        <f t="shared" si="94"/>
        <v>0</v>
      </c>
      <c r="AN199" s="11">
        <f t="shared" si="90"/>
        <v>0</v>
      </c>
      <c r="AO199" s="2" t="str">
        <f t="shared" si="91"/>
        <v>CALH</v>
      </c>
      <c r="AP199" s="37">
        <f t="shared" si="92"/>
        <v>0</v>
      </c>
      <c r="AQ199" s="37">
        <f t="shared" si="92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95">SUM(D188:D200)</f>
        <v>7966</v>
      </c>
      <c r="E201" s="12">
        <f t="shared" si="95"/>
        <v>3283020</v>
      </c>
      <c r="F201" s="4">
        <f t="shared" si="95"/>
        <v>8021</v>
      </c>
      <c r="G201" s="12">
        <f t="shared" si="95"/>
        <v>2964133</v>
      </c>
      <c r="H201" s="4">
        <f t="shared" si="95"/>
        <v>3105</v>
      </c>
      <c r="I201" s="12">
        <f t="shared" si="95"/>
        <v>1329640</v>
      </c>
      <c r="J201" s="4">
        <f t="shared" si="95"/>
        <v>353356</v>
      </c>
      <c r="K201" s="12">
        <f t="shared" si="95"/>
        <v>153425955</v>
      </c>
      <c r="L201" s="4">
        <f t="shared" si="95"/>
        <v>23397</v>
      </c>
      <c r="M201" s="12">
        <f t="shared" si="95"/>
        <v>11105934</v>
      </c>
      <c r="N201" s="4">
        <f t="shared" si="95"/>
        <v>14213</v>
      </c>
      <c r="O201" s="12">
        <f t="shared" si="95"/>
        <v>5967166</v>
      </c>
      <c r="P201" s="4">
        <f>SUM(P188:P200)</f>
        <v>16</v>
      </c>
      <c r="Q201" s="12">
        <f>SUM(Q188:Q200)</f>
        <v>6673</v>
      </c>
      <c r="R201" s="4">
        <f>SUM(R188:R200)</f>
        <v>5170</v>
      </c>
      <c r="S201" s="12">
        <f>SUM(S188:S200)</f>
        <v>1433882</v>
      </c>
      <c r="T201" s="4">
        <f t="shared" ref="T201:U201" si="96">SUM(T188:T200)</f>
        <v>415244</v>
      </c>
      <c r="U201" s="12">
        <f t="shared" si="96"/>
        <v>179516403</v>
      </c>
      <c r="Y201" s="3" t="s">
        <v>12</v>
      </c>
      <c r="Z201" s="3"/>
      <c r="AA201" s="4">
        <f t="shared" ref="AA201:AN201" si="97">SUM(AA188:AA200)</f>
        <v>19092</v>
      </c>
      <c r="AB201" s="12">
        <f t="shared" si="97"/>
        <v>7576793</v>
      </c>
      <c r="AC201" s="4">
        <f t="shared" si="97"/>
        <v>353356</v>
      </c>
      <c r="AD201" s="12">
        <f t="shared" si="97"/>
        <v>153425955</v>
      </c>
      <c r="AE201" s="4">
        <f t="shared" si="97"/>
        <v>23397</v>
      </c>
      <c r="AF201" s="12">
        <f t="shared" si="97"/>
        <v>11105934</v>
      </c>
      <c r="AG201" s="4">
        <f t="shared" si="97"/>
        <v>14213</v>
      </c>
      <c r="AH201" s="12">
        <f t="shared" si="97"/>
        <v>5967166</v>
      </c>
      <c r="AI201" s="4">
        <f t="shared" si="97"/>
        <v>16</v>
      </c>
      <c r="AJ201" s="12">
        <f t="shared" si="97"/>
        <v>6673</v>
      </c>
      <c r="AK201" s="4">
        <f t="shared" si="97"/>
        <v>5170</v>
      </c>
      <c r="AL201" s="12">
        <f t="shared" si="97"/>
        <v>1433882</v>
      </c>
      <c r="AM201" s="4">
        <f t="shared" si="97"/>
        <v>415244</v>
      </c>
      <c r="AN201" s="12">
        <f t="shared" si="97"/>
        <v>179516403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3892.5</v>
      </c>
      <c r="M202" s="60">
        <f>AVERAGE(M188:M189)</f>
        <v>1779373</v>
      </c>
      <c r="T202" s="15">
        <f>AVERAGE(T188:T189)</f>
        <v>66827</v>
      </c>
      <c r="U202" s="28">
        <f t="shared" ref="U202" si="98">AVERAGE(U188:U189)</f>
        <v>27958598</v>
      </c>
    </row>
    <row r="203" spans="1:43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2.5746772145200551E-2</v>
      </c>
      <c r="M203" s="36">
        <f>+M202/$M$371</f>
        <v>6.4025271299806633E-2</v>
      </c>
      <c r="N203" s="18"/>
      <c r="O203" s="19"/>
      <c r="P203" s="19"/>
      <c r="Q203" s="19"/>
      <c r="R203" s="19"/>
      <c r="S203" s="19"/>
      <c r="T203" s="36">
        <f>+L202/T202</f>
        <v>5.8247414967004356E-2</v>
      </c>
      <c r="U203" s="62">
        <f>+M202/U202</f>
        <v>6.3643141190413047E-2</v>
      </c>
    </row>
    <row r="204" spans="1:43" x14ac:dyDescent="0.25">
      <c r="A204" s="67" t="s">
        <v>138</v>
      </c>
      <c r="L204" s="26"/>
      <c r="M204" s="26"/>
    </row>
    <row r="205" spans="1:43" x14ac:dyDescent="0.25">
      <c r="B205" s="5"/>
    </row>
    <row r="206" spans="1:43" x14ac:dyDescent="0.25">
      <c r="D206" s="89" t="s">
        <v>15</v>
      </c>
      <c r="E206" s="90"/>
      <c r="F206" s="89" t="s">
        <v>71</v>
      </c>
      <c r="G206" s="90"/>
      <c r="H206" s="89" t="s">
        <v>16</v>
      </c>
      <c r="I206" s="90"/>
      <c r="J206" s="89" t="s">
        <v>17</v>
      </c>
      <c r="K206" s="93"/>
      <c r="L206" s="89" t="s">
        <v>18</v>
      </c>
      <c r="M206" s="93"/>
      <c r="N206" s="89" t="s">
        <v>13</v>
      </c>
      <c r="O206" s="93"/>
      <c r="P206" s="89" t="s">
        <v>34</v>
      </c>
      <c r="Q206" s="93"/>
      <c r="R206" s="89" t="s">
        <v>87</v>
      </c>
      <c r="S206" s="93"/>
      <c r="T206" s="89" t="s">
        <v>12</v>
      </c>
      <c r="U206" s="93"/>
      <c r="AA206" s="89" t="s">
        <v>69</v>
      </c>
      <c r="AB206" s="90"/>
      <c r="AC206" s="89" t="s">
        <v>17</v>
      </c>
      <c r="AD206" s="93"/>
      <c r="AE206" s="89" t="s">
        <v>18</v>
      </c>
      <c r="AF206" s="93"/>
      <c r="AG206" s="89" t="s">
        <v>13</v>
      </c>
      <c r="AH206" s="93"/>
      <c r="AI206" s="89" t="s">
        <v>34</v>
      </c>
      <c r="AJ206" s="93"/>
      <c r="AK206" s="89" t="s">
        <v>87</v>
      </c>
      <c r="AL206" s="93"/>
      <c r="AM206" s="89" t="s">
        <v>12</v>
      </c>
      <c r="AN206" s="93"/>
    </row>
    <row r="207" spans="1:43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x14ac:dyDescent="0.25">
      <c r="B209" s="2" t="s">
        <v>5</v>
      </c>
      <c r="C209" s="2">
        <v>2026</v>
      </c>
      <c r="D209" s="1"/>
      <c r="E209" s="11"/>
      <c r="F209" s="1"/>
      <c r="G209" s="11"/>
      <c r="H209" s="1"/>
      <c r="I209" s="11"/>
      <c r="J209" s="1"/>
      <c r="K209" s="11"/>
      <c r="L209" s="1"/>
      <c r="M209" s="11">
        <v>0</v>
      </c>
      <c r="N209" s="1"/>
      <c r="O209" s="11"/>
      <c r="P209" s="8"/>
      <c r="Q209" s="11"/>
      <c r="R209" s="8"/>
      <c r="S209" s="11"/>
      <c r="T209" s="53">
        <f>N209+L209+J209+H209+D209+P209+F209+R209</f>
        <v>0</v>
      </c>
      <c r="U209" s="54">
        <f t="shared" ref="U209:U220" si="99">O209+M209+K209+I209+E209+Q209+G209+S209</f>
        <v>0</v>
      </c>
      <c r="V209" s="2" t="s">
        <v>139</v>
      </c>
      <c r="Y209" s="2" t="s">
        <v>5</v>
      </c>
      <c r="Z209" s="2">
        <v>2026</v>
      </c>
      <c r="AA209" s="1">
        <f t="shared" ref="AA209:AB220" si="100">D209+H209+F209</f>
        <v>0</v>
      </c>
      <c r="AB209" s="11">
        <f t="shared" si="100"/>
        <v>0</v>
      </c>
      <c r="AC209" s="1">
        <f t="shared" ref="AC209:AL220" si="101">+J209</f>
        <v>0</v>
      </c>
      <c r="AD209" s="11">
        <f t="shared" si="101"/>
        <v>0</v>
      </c>
      <c r="AE209" s="8">
        <f t="shared" si="101"/>
        <v>0</v>
      </c>
      <c r="AF209" s="11">
        <f t="shared" si="101"/>
        <v>0</v>
      </c>
      <c r="AG209" s="8">
        <f t="shared" si="101"/>
        <v>0</v>
      </c>
      <c r="AH209" s="11">
        <f t="shared" si="101"/>
        <v>0</v>
      </c>
      <c r="AI209" s="8">
        <f t="shared" si="101"/>
        <v>0</v>
      </c>
      <c r="AJ209" s="11">
        <f t="shared" si="101"/>
        <v>0</v>
      </c>
      <c r="AK209" s="11">
        <f t="shared" si="101"/>
        <v>0</v>
      </c>
      <c r="AL209" s="11">
        <f t="shared" si="101"/>
        <v>0</v>
      </c>
      <c r="AM209" s="8">
        <f>AI209+AG209+AE209+AC209+AA209+AK209</f>
        <v>0</v>
      </c>
      <c r="AN209" s="11">
        <f t="shared" ref="AN209:AN220" si="102">AJ209+AH209+AF209+AD209+AB209+AL209</f>
        <v>0</v>
      </c>
      <c r="AO209" s="2" t="str">
        <f t="shared" ref="AO209:AO220" si="103">+V209</f>
        <v>METLAPIL</v>
      </c>
      <c r="AP209" s="37">
        <f t="shared" ref="AP209:AQ220" si="104">+AM209-T209</f>
        <v>0</v>
      </c>
      <c r="AQ209" s="37">
        <f t="shared" si="104"/>
        <v>0</v>
      </c>
    </row>
    <row r="210" spans="1:43" x14ac:dyDescent="0.25">
      <c r="B210" s="2" t="s">
        <v>6</v>
      </c>
      <c r="C210" s="2">
        <v>2026</v>
      </c>
      <c r="D210" s="1"/>
      <c r="E210" s="11"/>
      <c r="F210" s="1"/>
      <c r="G210" s="11"/>
      <c r="H210" s="1"/>
      <c r="I210" s="11"/>
      <c r="J210" s="1"/>
      <c r="K210" s="11"/>
      <c r="L210" s="1"/>
      <c r="M210" s="11">
        <v>0</v>
      </c>
      <c r="N210" s="1"/>
      <c r="O210" s="11"/>
      <c r="P210" s="8"/>
      <c r="Q210" s="11"/>
      <c r="R210" s="8"/>
      <c r="S210" s="11"/>
      <c r="T210" s="53">
        <f t="shared" ref="T210:T220" si="105">N210+L210+J210+H210+D210+P210+F210+R210</f>
        <v>0</v>
      </c>
      <c r="U210" s="54">
        <f t="shared" si="99"/>
        <v>0</v>
      </c>
      <c r="V210" s="2" t="s">
        <v>139</v>
      </c>
      <c r="Y210" s="2" t="s">
        <v>6</v>
      </c>
      <c r="Z210" s="2">
        <v>2026</v>
      </c>
      <c r="AA210" s="1">
        <f t="shared" si="100"/>
        <v>0</v>
      </c>
      <c r="AB210" s="11">
        <f t="shared" si="100"/>
        <v>0</v>
      </c>
      <c r="AC210" s="1">
        <f t="shared" si="101"/>
        <v>0</v>
      </c>
      <c r="AD210" s="11">
        <f t="shared" si="101"/>
        <v>0</v>
      </c>
      <c r="AE210" s="8">
        <f t="shared" si="101"/>
        <v>0</v>
      </c>
      <c r="AF210" s="11">
        <f t="shared" si="101"/>
        <v>0</v>
      </c>
      <c r="AG210" s="8">
        <f t="shared" si="101"/>
        <v>0</v>
      </c>
      <c r="AH210" s="11">
        <f t="shared" si="101"/>
        <v>0</v>
      </c>
      <c r="AI210" s="8">
        <f t="shared" si="101"/>
        <v>0</v>
      </c>
      <c r="AJ210" s="11">
        <f t="shared" si="101"/>
        <v>0</v>
      </c>
      <c r="AK210" s="11">
        <f t="shared" si="101"/>
        <v>0</v>
      </c>
      <c r="AL210" s="11">
        <f t="shared" si="101"/>
        <v>0</v>
      </c>
      <c r="AM210" s="8">
        <f t="shared" ref="AM210:AM220" si="106">AI210+AG210+AE210+AC210+AA210+AK210</f>
        <v>0</v>
      </c>
      <c r="AN210" s="11">
        <f t="shared" si="102"/>
        <v>0</v>
      </c>
      <c r="AO210" s="2" t="str">
        <f t="shared" si="103"/>
        <v>METLAPIL</v>
      </c>
      <c r="AP210" s="37">
        <f t="shared" si="104"/>
        <v>0</v>
      </c>
      <c r="AQ210" s="37">
        <f t="shared" si="104"/>
        <v>0</v>
      </c>
    </row>
    <row r="211" spans="1:43" x14ac:dyDescent="0.25">
      <c r="B211" s="2" t="s">
        <v>7</v>
      </c>
      <c r="C211" s="2">
        <v>2026</v>
      </c>
      <c r="D211" s="1"/>
      <c r="E211" s="11"/>
      <c r="F211" s="1"/>
      <c r="G211" s="11"/>
      <c r="H211" s="1"/>
      <c r="I211" s="11"/>
      <c r="J211" s="1"/>
      <c r="K211" s="11"/>
      <c r="L211" s="1"/>
      <c r="M211" s="11"/>
      <c r="N211" s="1"/>
      <c r="O211" s="11"/>
      <c r="P211" s="8"/>
      <c r="Q211" s="11"/>
      <c r="R211" s="8"/>
      <c r="S211" s="11"/>
      <c r="T211" s="53">
        <f t="shared" si="105"/>
        <v>0</v>
      </c>
      <c r="U211" s="54">
        <f t="shared" si="99"/>
        <v>0</v>
      </c>
      <c r="V211" s="2" t="s">
        <v>139</v>
      </c>
      <c r="X211" s="13"/>
      <c r="Y211" s="2" t="s">
        <v>7</v>
      </c>
      <c r="Z211" s="2">
        <v>2026</v>
      </c>
      <c r="AA211" s="1">
        <f t="shared" si="100"/>
        <v>0</v>
      </c>
      <c r="AB211" s="11">
        <f t="shared" si="100"/>
        <v>0</v>
      </c>
      <c r="AC211" s="1">
        <f t="shared" si="101"/>
        <v>0</v>
      </c>
      <c r="AD211" s="11">
        <f t="shared" si="101"/>
        <v>0</v>
      </c>
      <c r="AE211" s="8">
        <f t="shared" si="101"/>
        <v>0</v>
      </c>
      <c r="AF211" s="11">
        <f t="shared" si="101"/>
        <v>0</v>
      </c>
      <c r="AG211" s="8">
        <f t="shared" si="101"/>
        <v>0</v>
      </c>
      <c r="AH211" s="11">
        <f t="shared" si="101"/>
        <v>0</v>
      </c>
      <c r="AI211" s="8">
        <f t="shared" si="101"/>
        <v>0</v>
      </c>
      <c r="AJ211" s="11">
        <f t="shared" si="101"/>
        <v>0</v>
      </c>
      <c r="AK211" s="11">
        <f t="shared" si="101"/>
        <v>0</v>
      </c>
      <c r="AL211" s="11">
        <f t="shared" si="101"/>
        <v>0</v>
      </c>
      <c r="AM211" s="8">
        <f t="shared" si="106"/>
        <v>0</v>
      </c>
      <c r="AN211" s="11">
        <f t="shared" si="102"/>
        <v>0</v>
      </c>
      <c r="AO211" s="2" t="str">
        <f t="shared" si="103"/>
        <v>METLAPIL</v>
      </c>
      <c r="AP211" s="37">
        <f t="shared" si="104"/>
        <v>0</v>
      </c>
      <c r="AQ211" s="37">
        <f t="shared" si="104"/>
        <v>0</v>
      </c>
    </row>
    <row r="212" spans="1:43" x14ac:dyDescent="0.25">
      <c r="B212" s="2" t="s">
        <v>8</v>
      </c>
      <c r="C212" s="2">
        <v>2026</v>
      </c>
      <c r="D212" s="1">
        <v>5414</v>
      </c>
      <c r="E212" s="11">
        <v>884855</v>
      </c>
      <c r="F212" s="1">
        <v>1464</v>
      </c>
      <c r="G212" s="11">
        <v>299865</v>
      </c>
      <c r="H212" s="1">
        <v>2110</v>
      </c>
      <c r="I212" s="11">
        <v>581215</v>
      </c>
      <c r="J212" s="1">
        <v>52359</v>
      </c>
      <c r="K212" s="11">
        <v>10334277</v>
      </c>
      <c r="L212" s="1">
        <v>586</v>
      </c>
      <c r="M212" s="11">
        <v>140460</v>
      </c>
      <c r="N212" s="1">
        <v>2328</v>
      </c>
      <c r="O212" s="11">
        <v>603115</v>
      </c>
      <c r="P212" s="8">
        <v>14</v>
      </c>
      <c r="Q212" s="11">
        <v>6500</v>
      </c>
      <c r="R212" s="8">
        <v>608</v>
      </c>
      <c r="S212" s="11">
        <v>118500</v>
      </c>
      <c r="T212" s="53">
        <f t="shared" si="105"/>
        <v>64883</v>
      </c>
      <c r="U212" s="54">
        <f t="shared" si="99"/>
        <v>12968787</v>
      </c>
      <c r="V212" s="2" t="s">
        <v>139</v>
      </c>
      <c r="X212" s="13"/>
      <c r="Y212" s="2" t="s">
        <v>8</v>
      </c>
      <c r="Z212" s="2">
        <v>2026</v>
      </c>
      <c r="AA212" s="1">
        <f t="shared" si="100"/>
        <v>8988</v>
      </c>
      <c r="AB212" s="11">
        <f t="shared" si="100"/>
        <v>1765935</v>
      </c>
      <c r="AC212" s="1">
        <f t="shared" si="101"/>
        <v>52359</v>
      </c>
      <c r="AD212" s="11">
        <f t="shared" si="101"/>
        <v>10334277</v>
      </c>
      <c r="AE212" s="8">
        <f t="shared" si="101"/>
        <v>586</v>
      </c>
      <c r="AF212" s="11">
        <f t="shared" si="101"/>
        <v>140460</v>
      </c>
      <c r="AG212" s="8">
        <f t="shared" si="101"/>
        <v>2328</v>
      </c>
      <c r="AH212" s="11">
        <f t="shared" si="101"/>
        <v>603115</v>
      </c>
      <c r="AI212" s="8">
        <f t="shared" si="101"/>
        <v>14</v>
      </c>
      <c r="AJ212" s="11">
        <f t="shared" si="101"/>
        <v>6500</v>
      </c>
      <c r="AK212" s="11">
        <f t="shared" si="101"/>
        <v>608</v>
      </c>
      <c r="AL212" s="11">
        <f t="shared" si="101"/>
        <v>118500</v>
      </c>
      <c r="AM212" s="8">
        <f t="shared" si="106"/>
        <v>64883</v>
      </c>
      <c r="AN212" s="11">
        <f t="shared" si="102"/>
        <v>12968787</v>
      </c>
      <c r="AO212" s="2" t="str">
        <f t="shared" si="103"/>
        <v>METLAPIL</v>
      </c>
      <c r="AP212" s="37">
        <f t="shared" si="104"/>
        <v>0</v>
      </c>
      <c r="AQ212" s="37">
        <f t="shared" si="104"/>
        <v>0</v>
      </c>
    </row>
    <row r="213" spans="1:43" x14ac:dyDescent="0.25">
      <c r="B213" s="2" t="s">
        <v>9</v>
      </c>
      <c r="C213" s="2">
        <v>2026</v>
      </c>
      <c r="D213" s="1">
        <v>4124</v>
      </c>
      <c r="E213" s="11">
        <v>702200</v>
      </c>
      <c r="F213" s="1">
        <v>1342</v>
      </c>
      <c r="G213" s="11">
        <v>282480</v>
      </c>
      <c r="H213" s="1">
        <v>2008</v>
      </c>
      <c r="I213" s="11">
        <v>566165</v>
      </c>
      <c r="J213" s="1">
        <v>47726</v>
      </c>
      <c r="K213" s="11">
        <v>10502655</v>
      </c>
      <c r="L213" s="1">
        <v>591</v>
      </c>
      <c r="M213" s="11">
        <v>158775</v>
      </c>
      <c r="N213" s="1">
        <v>2392</v>
      </c>
      <c r="O213" s="11">
        <v>644385</v>
      </c>
      <c r="P213" s="8">
        <v>13</v>
      </c>
      <c r="Q213" s="11">
        <v>5950</v>
      </c>
      <c r="R213" s="8">
        <v>595</v>
      </c>
      <c r="S213" s="11">
        <v>119420</v>
      </c>
      <c r="T213" s="53">
        <f t="shared" si="105"/>
        <v>58791</v>
      </c>
      <c r="U213" s="54">
        <f t="shared" si="99"/>
        <v>12982030</v>
      </c>
      <c r="V213" s="2" t="s">
        <v>139</v>
      </c>
      <c r="X213" s="13"/>
      <c r="Y213" s="2" t="s">
        <v>9</v>
      </c>
      <c r="Z213" s="2">
        <v>2026</v>
      </c>
      <c r="AA213" s="1">
        <f t="shared" si="100"/>
        <v>7474</v>
      </c>
      <c r="AB213" s="11">
        <f t="shared" si="100"/>
        <v>1550845</v>
      </c>
      <c r="AC213" s="1">
        <f t="shared" si="101"/>
        <v>47726</v>
      </c>
      <c r="AD213" s="11">
        <f t="shared" si="101"/>
        <v>10502655</v>
      </c>
      <c r="AE213" s="8">
        <f t="shared" si="101"/>
        <v>591</v>
      </c>
      <c r="AF213" s="11">
        <f t="shared" si="101"/>
        <v>158775</v>
      </c>
      <c r="AG213" s="8">
        <f t="shared" si="101"/>
        <v>2392</v>
      </c>
      <c r="AH213" s="11">
        <f t="shared" si="101"/>
        <v>644385</v>
      </c>
      <c r="AI213" s="8">
        <f t="shared" si="101"/>
        <v>13</v>
      </c>
      <c r="AJ213" s="11">
        <f t="shared" si="101"/>
        <v>5950</v>
      </c>
      <c r="AK213" s="11">
        <f t="shared" si="101"/>
        <v>595</v>
      </c>
      <c r="AL213" s="11">
        <f t="shared" si="101"/>
        <v>119420</v>
      </c>
      <c r="AM213" s="8">
        <f t="shared" si="106"/>
        <v>58791</v>
      </c>
      <c r="AN213" s="11">
        <f t="shared" si="102"/>
        <v>12982030</v>
      </c>
      <c r="AO213" s="2" t="str">
        <f t="shared" si="103"/>
        <v>METLAPIL</v>
      </c>
      <c r="AP213" s="37">
        <f t="shared" si="104"/>
        <v>0</v>
      </c>
      <c r="AQ213" s="37">
        <f t="shared" si="104"/>
        <v>0</v>
      </c>
    </row>
    <row r="214" spans="1:43" x14ac:dyDescent="0.25">
      <c r="B214" s="2" t="s">
        <v>10</v>
      </c>
      <c r="C214" s="2">
        <v>2026</v>
      </c>
      <c r="D214" s="1">
        <v>2691</v>
      </c>
      <c r="E214" s="11">
        <v>498302</v>
      </c>
      <c r="F214" s="1">
        <v>740</v>
      </c>
      <c r="G214" s="11">
        <v>155700</v>
      </c>
      <c r="H214" s="1">
        <v>1920</v>
      </c>
      <c r="I214" s="11">
        <v>546910</v>
      </c>
      <c r="J214" s="1">
        <v>35213</v>
      </c>
      <c r="K214" s="11">
        <v>8596998</v>
      </c>
      <c r="L214" s="1">
        <v>448</v>
      </c>
      <c r="M214" s="11">
        <v>141180</v>
      </c>
      <c r="N214" s="1">
        <v>1938</v>
      </c>
      <c r="O214" s="11">
        <v>580495</v>
      </c>
      <c r="P214" s="8">
        <v>16</v>
      </c>
      <c r="Q214" s="11">
        <v>8400</v>
      </c>
      <c r="R214" s="8">
        <v>444</v>
      </c>
      <c r="S214" s="11">
        <v>94675</v>
      </c>
      <c r="T214" s="53">
        <f t="shared" si="105"/>
        <v>43410</v>
      </c>
      <c r="U214" s="54">
        <f t="shared" si="99"/>
        <v>10622660</v>
      </c>
      <c r="V214" s="2" t="s">
        <v>139</v>
      </c>
      <c r="Y214" s="2" t="s">
        <v>10</v>
      </c>
      <c r="Z214" s="2">
        <v>2026</v>
      </c>
      <c r="AA214" s="1">
        <f t="shared" si="100"/>
        <v>5351</v>
      </c>
      <c r="AB214" s="11">
        <f t="shared" si="100"/>
        <v>1200912</v>
      </c>
      <c r="AC214" s="1">
        <f t="shared" si="101"/>
        <v>35213</v>
      </c>
      <c r="AD214" s="11">
        <f t="shared" si="101"/>
        <v>8596998</v>
      </c>
      <c r="AE214" s="8">
        <f t="shared" si="101"/>
        <v>448</v>
      </c>
      <c r="AF214" s="11">
        <f t="shared" si="101"/>
        <v>141180</v>
      </c>
      <c r="AG214" s="8">
        <f t="shared" si="101"/>
        <v>1938</v>
      </c>
      <c r="AH214" s="11">
        <f t="shared" si="101"/>
        <v>580495</v>
      </c>
      <c r="AI214" s="8">
        <f t="shared" si="101"/>
        <v>16</v>
      </c>
      <c r="AJ214" s="11">
        <f t="shared" si="101"/>
        <v>8400</v>
      </c>
      <c r="AK214" s="11">
        <f t="shared" si="101"/>
        <v>444</v>
      </c>
      <c r="AL214" s="11">
        <f t="shared" si="101"/>
        <v>94675</v>
      </c>
      <c r="AM214" s="8">
        <f t="shared" si="106"/>
        <v>43410</v>
      </c>
      <c r="AN214" s="11">
        <f t="shared" si="102"/>
        <v>10622660</v>
      </c>
      <c r="AO214" s="2" t="str">
        <f t="shared" si="103"/>
        <v>METLAPIL</v>
      </c>
      <c r="AP214" s="37">
        <f t="shared" si="104"/>
        <v>0</v>
      </c>
      <c r="AQ214" s="37">
        <f t="shared" si="104"/>
        <v>0</v>
      </c>
    </row>
    <row r="215" spans="1:43" x14ac:dyDescent="0.25">
      <c r="B215" s="2" t="s">
        <v>11</v>
      </c>
      <c r="C215" s="2">
        <v>2026</v>
      </c>
      <c r="D215" s="1"/>
      <c r="E215" s="11"/>
      <c r="F215" s="1"/>
      <c r="G215" s="11"/>
      <c r="H215" s="1"/>
      <c r="I215" s="11"/>
      <c r="J215" s="1"/>
      <c r="K215" s="11"/>
      <c r="L215" s="1"/>
      <c r="M215" s="11"/>
      <c r="N215" s="1"/>
      <c r="O215" s="11"/>
      <c r="P215" s="8"/>
      <c r="Q215" s="11"/>
      <c r="R215" s="8"/>
      <c r="S215" s="11"/>
      <c r="T215" s="53">
        <f t="shared" si="105"/>
        <v>0</v>
      </c>
      <c r="U215" s="54">
        <f t="shared" si="99"/>
        <v>0</v>
      </c>
      <c r="V215" s="2" t="s">
        <v>139</v>
      </c>
      <c r="X215" s="49"/>
      <c r="Y215" s="2" t="s">
        <v>11</v>
      </c>
      <c r="Z215" s="2">
        <v>2026</v>
      </c>
      <c r="AA215" s="1">
        <f t="shared" si="100"/>
        <v>0</v>
      </c>
      <c r="AB215" s="11">
        <f t="shared" si="100"/>
        <v>0</v>
      </c>
      <c r="AC215" s="1">
        <f t="shared" si="101"/>
        <v>0</v>
      </c>
      <c r="AD215" s="11">
        <f t="shared" si="101"/>
        <v>0</v>
      </c>
      <c r="AE215" s="8">
        <f t="shared" si="101"/>
        <v>0</v>
      </c>
      <c r="AF215" s="11">
        <f t="shared" si="101"/>
        <v>0</v>
      </c>
      <c r="AG215" s="8">
        <f t="shared" si="101"/>
        <v>0</v>
      </c>
      <c r="AH215" s="11">
        <f t="shared" si="101"/>
        <v>0</v>
      </c>
      <c r="AI215" s="8">
        <f t="shared" si="101"/>
        <v>0</v>
      </c>
      <c r="AJ215" s="11">
        <f t="shared" si="101"/>
        <v>0</v>
      </c>
      <c r="AK215" s="11">
        <f t="shared" si="101"/>
        <v>0</v>
      </c>
      <c r="AL215" s="11">
        <f t="shared" si="101"/>
        <v>0</v>
      </c>
      <c r="AM215" s="8">
        <f t="shared" si="106"/>
        <v>0</v>
      </c>
      <c r="AN215" s="11">
        <f t="shared" si="102"/>
        <v>0</v>
      </c>
      <c r="AO215" s="2" t="str">
        <f t="shared" si="103"/>
        <v>METLAPIL</v>
      </c>
      <c r="AP215" s="37">
        <f t="shared" si="104"/>
        <v>0</v>
      </c>
      <c r="AQ215" s="37">
        <f t="shared" si="104"/>
        <v>0</v>
      </c>
    </row>
    <row r="216" spans="1:43" x14ac:dyDescent="0.25">
      <c r="B216" s="2" t="s">
        <v>4</v>
      </c>
      <c r="C216" s="2">
        <v>2026</v>
      </c>
      <c r="D216" s="1"/>
      <c r="E216" s="11"/>
      <c r="F216" s="1"/>
      <c r="G216" s="11"/>
      <c r="H216" s="1"/>
      <c r="I216" s="11"/>
      <c r="J216" s="1"/>
      <c r="K216" s="11"/>
      <c r="L216" s="1"/>
      <c r="M216" s="11"/>
      <c r="N216" s="1"/>
      <c r="O216" s="11"/>
      <c r="P216" s="8"/>
      <c r="Q216" s="11"/>
      <c r="R216" s="8"/>
      <c r="S216" s="11"/>
      <c r="T216" s="53">
        <f t="shared" si="105"/>
        <v>0</v>
      </c>
      <c r="U216" s="54">
        <f t="shared" si="99"/>
        <v>0</v>
      </c>
      <c r="V216" s="2" t="s">
        <v>139</v>
      </c>
      <c r="Y216" s="2" t="s">
        <v>4</v>
      </c>
      <c r="Z216" s="2">
        <v>2026</v>
      </c>
      <c r="AA216" s="1">
        <f t="shared" si="100"/>
        <v>0</v>
      </c>
      <c r="AB216" s="11">
        <f t="shared" si="100"/>
        <v>0</v>
      </c>
      <c r="AC216" s="1">
        <f t="shared" si="101"/>
        <v>0</v>
      </c>
      <c r="AD216" s="11">
        <f t="shared" si="101"/>
        <v>0</v>
      </c>
      <c r="AE216" s="8">
        <f t="shared" si="101"/>
        <v>0</v>
      </c>
      <c r="AF216" s="11">
        <f t="shared" si="101"/>
        <v>0</v>
      </c>
      <c r="AG216" s="8">
        <f t="shared" si="101"/>
        <v>0</v>
      </c>
      <c r="AH216" s="11">
        <f t="shared" si="101"/>
        <v>0</v>
      </c>
      <c r="AI216" s="8">
        <f t="shared" si="101"/>
        <v>0</v>
      </c>
      <c r="AJ216" s="11">
        <f t="shared" si="101"/>
        <v>0</v>
      </c>
      <c r="AK216" s="11">
        <f t="shared" si="101"/>
        <v>0</v>
      </c>
      <c r="AL216" s="11">
        <f t="shared" si="101"/>
        <v>0</v>
      </c>
      <c r="AM216" s="27">
        <f t="shared" si="106"/>
        <v>0</v>
      </c>
      <c r="AN216" s="14">
        <f t="shared" si="102"/>
        <v>0</v>
      </c>
      <c r="AO216" s="2" t="str">
        <f t="shared" si="103"/>
        <v>METLAPIL</v>
      </c>
      <c r="AP216" s="37">
        <f t="shared" si="104"/>
        <v>0</v>
      </c>
      <c r="AQ216" s="37">
        <f t="shared" si="104"/>
        <v>0</v>
      </c>
    </row>
    <row r="217" spans="1:43" x14ac:dyDescent="0.25">
      <c r="B217" s="2" t="s">
        <v>28</v>
      </c>
      <c r="C217" s="2">
        <v>2026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105"/>
        <v>0</v>
      </c>
      <c r="U217" s="54">
        <f t="shared" si="99"/>
        <v>0</v>
      </c>
      <c r="V217" s="2" t="s">
        <v>139</v>
      </c>
      <c r="Y217" s="2" t="s">
        <v>28</v>
      </c>
      <c r="Z217" s="2">
        <v>2026</v>
      </c>
      <c r="AA217" s="1">
        <f t="shared" si="100"/>
        <v>0</v>
      </c>
      <c r="AB217" s="11">
        <f t="shared" si="100"/>
        <v>0</v>
      </c>
      <c r="AC217" s="1">
        <f t="shared" si="101"/>
        <v>0</v>
      </c>
      <c r="AD217" s="11">
        <f t="shared" si="101"/>
        <v>0</v>
      </c>
      <c r="AE217" s="8">
        <f t="shared" si="101"/>
        <v>0</v>
      </c>
      <c r="AF217" s="11">
        <f t="shared" si="101"/>
        <v>0</v>
      </c>
      <c r="AG217" s="8">
        <f t="shared" si="101"/>
        <v>0</v>
      </c>
      <c r="AH217" s="11">
        <f t="shared" si="101"/>
        <v>0</v>
      </c>
      <c r="AI217" s="8">
        <f t="shared" si="101"/>
        <v>0</v>
      </c>
      <c r="AJ217" s="11">
        <f t="shared" si="101"/>
        <v>0</v>
      </c>
      <c r="AK217" s="11">
        <f t="shared" si="101"/>
        <v>0</v>
      </c>
      <c r="AL217" s="11">
        <f t="shared" si="101"/>
        <v>0</v>
      </c>
      <c r="AM217" s="8">
        <f t="shared" si="106"/>
        <v>0</v>
      </c>
      <c r="AN217" s="11">
        <f t="shared" si="102"/>
        <v>0</v>
      </c>
      <c r="AO217" s="2" t="str">
        <f t="shared" si="103"/>
        <v>METLAPIL</v>
      </c>
      <c r="AP217" s="37">
        <f t="shared" si="104"/>
        <v>0</v>
      </c>
      <c r="AQ217" s="37">
        <f t="shared" si="104"/>
        <v>0</v>
      </c>
    </row>
    <row r="218" spans="1:43" x14ac:dyDescent="0.25">
      <c r="B218" s="2" t="s">
        <v>29</v>
      </c>
      <c r="C218" s="2">
        <v>2026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105"/>
        <v>0</v>
      </c>
      <c r="U218" s="54">
        <f t="shared" si="99"/>
        <v>0</v>
      </c>
      <c r="V218" s="2" t="s">
        <v>139</v>
      </c>
      <c r="Y218" s="2" t="s">
        <v>29</v>
      </c>
      <c r="Z218" s="2">
        <v>2026</v>
      </c>
      <c r="AA218" s="1">
        <f t="shared" si="100"/>
        <v>0</v>
      </c>
      <c r="AB218" s="11">
        <f t="shared" si="100"/>
        <v>0</v>
      </c>
      <c r="AC218" s="1">
        <f t="shared" si="101"/>
        <v>0</v>
      </c>
      <c r="AD218" s="11">
        <f t="shared" si="101"/>
        <v>0</v>
      </c>
      <c r="AE218" s="8">
        <f t="shared" si="101"/>
        <v>0</v>
      </c>
      <c r="AF218" s="11">
        <f t="shared" si="101"/>
        <v>0</v>
      </c>
      <c r="AG218" s="8">
        <f t="shared" si="101"/>
        <v>0</v>
      </c>
      <c r="AH218" s="11">
        <f t="shared" si="101"/>
        <v>0</v>
      </c>
      <c r="AI218" s="8">
        <f t="shared" si="101"/>
        <v>0</v>
      </c>
      <c r="AJ218" s="11">
        <f t="shared" si="101"/>
        <v>0</v>
      </c>
      <c r="AK218" s="11">
        <f t="shared" si="101"/>
        <v>0</v>
      </c>
      <c r="AL218" s="11">
        <f t="shared" si="101"/>
        <v>0</v>
      </c>
      <c r="AM218" s="8">
        <f t="shared" si="106"/>
        <v>0</v>
      </c>
      <c r="AN218" s="11">
        <f t="shared" si="102"/>
        <v>0</v>
      </c>
      <c r="AO218" s="2" t="str">
        <f t="shared" si="103"/>
        <v>METLAPIL</v>
      </c>
      <c r="AP218" s="37">
        <f t="shared" si="104"/>
        <v>0</v>
      </c>
      <c r="AQ218" s="37">
        <f t="shared" si="104"/>
        <v>0</v>
      </c>
    </row>
    <row r="219" spans="1:43" x14ac:dyDescent="0.25">
      <c r="B219" s="2" t="s">
        <v>30</v>
      </c>
      <c r="C219" s="2">
        <v>2026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105"/>
        <v>0</v>
      </c>
      <c r="U219" s="54">
        <f t="shared" si="99"/>
        <v>0</v>
      </c>
      <c r="V219" s="2" t="s">
        <v>139</v>
      </c>
      <c r="Y219" s="2" t="s">
        <v>30</v>
      </c>
      <c r="Z219" s="2">
        <v>2026</v>
      </c>
      <c r="AA219" s="1">
        <f t="shared" si="100"/>
        <v>0</v>
      </c>
      <c r="AB219" s="11">
        <f t="shared" si="100"/>
        <v>0</v>
      </c>
      <c r="AC219" s="1">
        <f t="shared" si="101"/>
        <v>0</v>
      </c>
      <c r="AD219" s="11">
        <f t="shared" si="101"/>
        <v>0</v>
      </c>
      <c r="AE219" s="8">
        <f t="shared" si="101"/>
        <v>0</v>
      </c>
      <c r="AF219" s="11">
        <f t="shared" si="101"/>
        <v>0</v>
      </c>
      <c r="AG219" s="8">
        <f t="shared" si="101"/>
        <v>0</v>
      </c>
      <c r="AH219" s="11">
        <f t="shared" si="101"/>
        <v>0</v>
      </c>
      <c r="AI219" s="8">
        <f t="shared" si="101"/>
        <v>0</v>
      </c>
      <c r="AJ219" s="11">
        <f t="shared" si="101"/>
        <v>0</v>
      </c>
      <c r="AK219" s="11">
        <f t="shared" si="101"/>
        <v>0</v>
      </c>
      <c r="AL219" s="11">
        <f t="shared" si="101"/>
        <v>0</v>
      </c>
      <c r="AM219" s="79">
        <f t="shared" si="106"/>
        <v>0</v>
      </c>
      <c r="AN219" s="80">
        <f t="shared" si="102"/>
        <v>0</v>
      </c>
      <c r="AO219" s="2" t="str">
        <f t="shared" si="103"/>
        <v>METLAPIL</v>
      </c>
      <c r="AP219" s="37">
        <f t="shared" si="104"/>
        <v>0</v>
      </c>
      <c r="AQ219" s="37">
        <f t="shared" si="104"/>
        <v>0</v>
      </c>
    </row>
    <row r="220" spans="1:43" x14ac:dyDescent="0.25">
      <c r="B220" s="2" t="s">
        <v>31</v>
      </c>
      <c r="C220" s="2">
        <v>2026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105"/>
        <v>0</v>
      </c>
      <c r="U220" s="54">
        <f t="shared" si="99"/>
        <v>0</v>
      </c>
      <c r="V220" s="2" t="s">
        <v>139</v>
      </c>
      <c r="W220" s="13"/>
      <c r="Y220" s="2" t="s">
        <v>31</v>
      </c>
      <c r="Z220" s="2">
        <v>2026</v>
      </c>
      <c r="AA220" s="1">
        <f t="shared" si="100"/>
        <v>0</v>
      </c>
      <c r="AB220" s="11">
        <f t="shared" si="100"/>
        <v>0</v>
      </c>
      <c r="AC220" s="1">
        <f t="shared" si="101"/>
        <v>0</v>
      </c>
      <c r="AD220" s="11">
        <f t="shared" si="101"/>
        <v>0</v>
      </c>
      <c r="AE220" s="8">
        <f t="shared" si="101"/>
        <v>0</v>
      </c>
      <c r="AF220" s="11">
        <f t="shared" si="101"/>
        <v>0</v>
      </c>
      <c r="AG220" s="8">
        <f t="shared" si="101"/>
        <v>0</v>
      </c>
      <c r="AH220" s="11">
        <f t="shared" si="101"/>
        <v>0</v>
      </c>
      <c r="AI220" s="8">
        <f t="shared" si="101"/>
        <v>0</v>
      </c>
      <c r="AJ220" s="11">
        <f t="shared" si="101"/>
        <v>0</v>
      </c>
      <c r="AK220" s="11">
        <f t="shared" si="101"/>
        <v>0</v>
      </c>
      <c r="AL220" s="11">
        <f t="shared" si="101"/>
        <v>0</v>
      </c>
      <c r="AM220" s="8">
        <f t="shared" si="106"/>
        <v>0</v>
      </c>
      <c r="AN220" s="11">
        <f t="shared" si="102"/>
        <v>0</v>
      </c>
      <c r="AO220" s="2" t="str">
        <f t="shared" si="103"/>
        <v>METLAPIL</v>
      </c>
      <c r="AP220" s="37">
        <f t="shared" si="104"/>
        <v>0</v>
      </c>
      <c r="AQ220" s="37">
        <f t="shared" si="104"/>
        <v>0</v>
      </c>
    </row>
    <row r="221" spans="1:43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x14ac:dyDescent="0.25">
      <c r="B222" s="3" t="s">
        <v>12</v>
      </c>
      <c r="C222" s="3"/>
      <c r="D222" s="4">
        <f t="shared" ref="D222:O222" si="107">SUM(D209:D221)</f>
        <v>12229</v>
      </c>
      <c r="E222" s="12">
        <f t="shared" si="107"/>
        <v>2085357</v>
      </c>
      <c r="F222" s="4">
        <f t="shared" si="107"/>
        <v>3546</v>
      </c>
      <c r="G222" s="12">
        <f t="shared" si="107"/>
        <v>738045</v>
      </c>
      <c r="H222" s="4">
        <f t="shared" si="107"/>
        <v>6038</v>
      </c>
      <c r="I222" s="12">
        <f t="shared" si="107"/>
        <v>1694290</v>
      </c>
      <c r="J222" s="4">
        <f t="shared" si="107"/>
        <v>135298</v>
      </c>
      <c r="K222" s="12">
        <f t="shared" si="107"/>
        <v>29433930</v>
      </c>
      <c r="L222" s="4">
        <f t="shared" si="107"/>
        <v>1625</v>
      </c>
      <c r="M222" s="12">
        <f t="shared" si="107"/>
        <v>440415</v>
      </c>
      <c r="N222" s="4">
        <f t="shared" si="107"/>
        <v>6658</v>
      </c>
      <c r="O222" s="12">
        <f t="shared" si="107"/>
        <v>1827995</v>
      </c>
      <c r="P222" s="4">
        <f>SUM(P209:P221)</f>
        <v>43</v>
      </c>
      <c r="Q222" s="12">
        <f>SUM(Q209:Q221)</f>
        <v>20850</v>
      </c>
      <c r="R222" s="4">
        <f>SUM(R209:R221)</f>
        <v>1647</v>
      </c>
      <c r="S222" s="12">
        <f>SUM(S209:S221)</f>
        <v>332595</v>
      </c>
      <c r="T222" s="4">
        <f t="shared" ref="T222:U222" si="108">SUM(T209:T221)</f>
        <v>167084</v>
      </c>
      <c r="U222" s="12">
        <f t="shared" si="108"/>
        <v>36573477</v>
      </c>
      <c r="Y222" s="3" t="s">
        <v>12</v>
      </c>
      <c r="Z222" s="3"/>
      <c r="AA222" s="4">
        <f t="shared" ref="AA222:AN222" si="109">SUM(AA209:AA221)</f>
        <v>21813</v>
      </c>
      <c r="AB222" s="12">
        <f t="shared" si="109"/>
        <v>4517692</v>
      </c>
      <c r="AC222" s="4">
        <f t="shared" si="109"/>
        <v>135298</v>
      </c>
      <c r="AD222" s="12">
        <f t="shared" si="109"/>
        <v>29433930</v>
      </c>
      <c r="AE222" s="4">
        <f t="shared" si="109"/>
        <v>1625</v>
      </c>
      <c r="AF222" s="12">
        <f t="shared" si="109"/>
        <v>440415</v>
      </c>
      <c r="AG222" s="4">
        <f t="shared" si="109"/>
        <v>6658</v>
      </c>
      <c r="AH222" s="12">
        <f t="shared" si="109"/>
        <v>1827995</v>
      </c>
      <c r="AI222" s="4">
        <f t="shared" si="109"/>
        <v>43</v>
      </c>
      <c r="AJ222" s="12">
        <f t="shared" si="109"/>
        <v>20850</v>
      </c>
      <c r="AK222" s="4">
        <f t="shared" si="109"/>
        <v>1647</v>
      </c>
      <c r="AL222" s="12">
        <f t="shared" si="109"/>
        <v>332595</v>
      </c>
      <c r="AM222" s="4">
        <f t="shared" si="109"/>
        <v>167084</v>
      </c>
      <c r="AN222" s="12">
        <f t="shared" si="109"/>
        <v>36573477</v>
      </c>
    </row>
    <row r="223" spans="1:43" x14ac:dyDescent="0.25">
      <c r="J223" s="46" t="str">
        <f>+$A$204</f>
        <v>Aforo e Ingreso - METLAPIL</v>
      </c>
      <c r="K223" s="9" t="s">
        <v>84</v>
      </c>
      <c r="L223" s="15" t="e">
        <f>AVERAGE(L209:L210)</f>
        <v>#DIV/0!</v>
      </c>
      <c r="M223" s="60">
        <f>AVERAGE(M209:M210)</f>
        <v>0</v>
      </c>
      <c r="T223" s="15">
        <f>AVERAGE(T209:T210)</f>
        <v>0</v>
      </c>
      <c r="U223" s="28">
        <f>AVERAGE(U209:U210)</f>
        <v>0</v>
      </c>
    </row>
    <row r="224" spans="1:43" x14ac:dyDescent="0.25">
      <c r="A224" s="67" t="s">
        <v>14</v>
      </c>
      <c r="J224" s="46" t="str">
        <f>+$A$204</f>
        <v>Aforo e Ingreso - METLAPIL</v>
      </c>
      <c r="K224" s="9" t="s">
        <v>85</v>
      </c>
      <c r="L224" s="26" t="e">
        <f>+L223/$L$371</f>
        <v>#DIV/0!</v>
      </c>
      <c r="M224" s="36">
        <f>+M223/$M$371</f>
        <v>0</v>
      </c>
      <c r="N224" s="18"/>
      <c r="O224" s="19"/>
      <c r="P224" s="19"/>
      <c r="Q224" s="19"/>
      <c r="R224" s="19"/>
      <c r="S224" s="19"/>
      <c r="T224" s="36" t="e">
        <f>+L223/T223</f>
        <v>#DIV/0!</v>
      </c>
      <c r="U224" s="62" t="e">
        <f>+M223/U223</f>
        <v>#DIV/0!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0"/>
      <c r="F227" s="89" t="s">
        <v>71</v>
      </c>
      <c r="G227" s="90"/>
      <c r="H227" s="89" t="s">
        <v>16</v>
      </c>
      <c r="I227" s="90"/>
      <c r="J227" s="89" t="s">
        <v>17</v>
      </c>
      <c r="K227" s="93"/>
      <c r="L227" s="89" t="s">
        <v>18</v>
      </c>
      <c r="M227" s="93"/>
      <c r="N227" s="89" t="s">
        <v>13</v>
      </c>
      <c r="O227" s="93"/>
      <c r="P227" s="89" t="s">
        <v>34</v>
      </c>
      <c r="Q227" s="93"/>
      <c r="R227" s="89" t="s">
        <v>87</v>
      </c>
      <c r="S227" s="93"/>
      <c r="T227" s="89" t="s">
        <v>12</v>
      </c>
      <c r="U227" s="93"/>
      <c r="AA227" s="89" t="s">
        <v>69</v>
      </c>
      <c r="AB227" s="90"/>
      <c r="AC227" s="89" t="s">
        <v>17</v>
      </c>
      <c r="AD227" s="93"/>
      <c r="AE227" s="89" t="s">
        <v>18</v>
      </c>
      <c r="AF227" s="93"/>
      <c r="AG227" s="89" t="s">
        <v>13</v>
      </c>
      <c r="AH227" s="93"/>
      <c r="AI227" s="89" t="s">
        <v>34</v>
      </c>
      <c r="AJ227" s="93"/>
      <c r="AK227" s="89" t="s">
        <v>87</v>
      </c>
      <c r="AL227" s="93"/>
      <c r="AM227" s="89" t="s">
        <v>12</v>
      </c>
      <c r="AN227" s="93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2026</v>
      </c>
      <c r="D230" s="1">
        <v>54895</v>
      </c>
      <c r="E230" s="11">
        <v>5465904</v>
      </c>
      <c r="F230" s="1">
        <v>12077</v>
      </c>
      <c r="G230" s="11">
        <v>1680073</v>
      </c>
      <c r="H230" s="1">
        <v>38872</v>
      </c>
      <c r="I230" s="11">
        <v>4483386</v>
      </c>
      <c r="J230" s="1">
        <v>391157</v>
      </c>
      <c r="K230" s="11">
        <v>63768036</v>
      </c>
      <c r="L230" s="1">
        <v>23447</v>
      </c>
      <c r="M230" s="11">
        <v>4199108</v>
      </c>
      <c r="N230" s="1">
        <v>23807</v>
      </c>
      <c r="O230" s="11">
        <v>4648405</v>
      </c>
      <c r="P230" s="8">
        <v>0</v>
      </c>
      <c r="Q230" s="11">
        <v>0</v>
      </c>
      <c r="R230" s="8">
        <v>6016</v>
      </c>
      <c r="S230" s="11">
        <v>668072</v>
      </c>
      <c r="T230" s="53">
        <f>N230+L230+J230+H230+D230+P230+F230+R230</f>
        <v>550271</v>
      </c>
      <c r="U230" s="54">
        <f t="shared" ref="U230:U241" si="110">O230+M230+K230+I230+E230+Q230+G230+S230</f>
        <v>84912984</v>
      </c>
      <c r="V230" s="2" t="s">
        <v>65</v>
      </c>
      <c r="Y230" s="2" t="s">
        <v>5</v>
      </c>
      <c r="Z230" s="2">
        <v>2026</v>
      </c>
      <c r="AA230" s="1">
        <f t="shared" ref="AA230:AB241" si="111">D230+H230+F230</f>
        <v>105844</v>
      </c>
      <c r="AB230" s="11">
        <f t="shared" si="111"/>
        <v>11629363</v>
      </c>
      <c r="AC230" s="1">
        <f t="shared" ref="AC230:AL241" si="112">+J230</f>
        <v>391157</v>
      </c>
      <c r="AD230" s="11">
        <f t="shared" si="112"/>
        <v>63768036</v>
      </c>
      <c r="AE230" s="8">
        <f t="shared" si="112"/>
        <v>23447</v>
      </c>
      <c r="AF230" s="11">
        <f t="shared" si="112"/>
        <v>4199108</v>
      </c>
      <c r="AG230" s="8">
        <f t="shared" si="112"/>
        <v>23807</v>
      </c>
      <c r="AH230" s="11">
        <f t="shared" si="112"/>
        <v>4648405</v>
      </c>
      <c r="AI230" s="8">
        <f t="shared" si="112"/>
        <v>0</v>
      </c>
      <c r="AJ230" s="11">
        <f t="shared" si="112"/>
        <v>0</v>
      </c>
      <c r="AK230" s="11">
        <f t="shared" si="112"/>
        <v>6016</v>
      </c>
      <c r="AL230" s="11">
        <f t="shared" si="112"/>
        <v>668072</v>
      </c>
      <c r="AM230" s="8">
        <f>AI230+AG230+AE230+AC230+AA230+AK230</f>
        <v>550271</v>
      </c>
      <c r="AN230" s="11">
        <f t="shared" ref="AN230:AN241" si="113">AJ230+AH230+AF230+AD230+AB230+AL230</f>
        <v>84912984</v>
      </c>
      <c r="AO230" s="2" t="str">
        <f t="shared" ref="AO230:AO241" si="114">+V230</f>
        <v>ACCSA</v>
      </c>
      <c r="AP230" s="37">
        <f t="shared" ref="AP230:AQ241" si="115">+AM230-T230</f>
        <v>0</v>
      </c>
      <c r="AQ230" s="37">
        <f t="shared" si="115"/>
        <v>0</v>
      </c>
    </row>
    <row r="231" spans="1:43" x14ac:dyDescent="0.25">
      <c r="B231" s="2" t="s">
        <v>6</v>
      </c>
      <c r="C231" s="2">
        <v>2026</v>
      </c>
      <c r="D231" s="1">
        <v>46478</v>
      </c>
      <c r="E231" s="11">
        <v>4760202</v>
      </c>
      <c r="F231" s="1">
        <v>10583</v>
      </c>
      <c r="G231" s="11">
        <v>1471038</v>
      </c>
      <c r="H231" s="1">
        <v>34291</v>
      </c>
      <c r="I231" s="11">
        <v>3995992</v>
      </c>
      <c r="J231" s="1">
        <v>350697</v>
      </c>
      <c r="K231" s="11">
        <v>58348867</v>
      </c>
      <c r="L231" s="1">
        <v>20780</v>
      </c>
      <c r="M231" s="11">
        <v>3734256</v>
      </c>
      <c r="N231" s="1">
        <v>21196</v>
      </c>
      <c r="O231" s="11">
        <v>4242118</v>
      </c>
      <c r="P231" s="8">
        <v>0</v>
      </c>
      <c r="Q231" s="11">
        <v>0</v>
      </c>
      <c r="R231" s="8">
        <v>5321</v>
      </c>
      <c r="S231" s="11">
        <v>629619</v>
      </c>
      <c r="T231" s="53">
        <f>N231+L231+J231+H231+D231+P231+F231+R231</f>
        <v>489346</v>
      </c>
      <c r="U231" s="54">
        <f t="shared" si="110"/>
        <v>77182092</v>
      </c>
      <c r="V231" s="2" t="s">
        <v>65</v>
      </c>
      <c r="Y231" s="2" t="s">
        <v>6</v>
      </c>
      <c r="Z231" s="2">
        <v>2026</v>
      </c>
      <c r="AA231" s="1">
        <f t="shared" si="111"/>
        <v>91352</v>
      </c>
      <c r="AB231" s="11">
        <f t="shared" si="111"/>
        <v>10227232</v>
      </c>
      <c r="AC231" s="1">
        <f t="shared" si="112"/>
        <v>350697</v>
      </c>
      <c r="AD231" s="11">
        <f t="shared" si="112"/>
        <v>58348867</v>
      </c>
      <c r="AE231" s="8">
        <f t="shared" si="112"/>
        <v>20780</v>
      </c>
      <c r="AF231" s="11">
        <f t="shared" si="112"/>
        <v>3734256</v>
      </c>
      <c r="AG231" s="8">
        <f t="shared" si="112"/>
        <v>21196</v>
      </c>
      <c r="AH231" s="11">
        <f t="shared" si="112"/>
        <v>4242118</v>
      </c>
      <c r="AI231" s="8">
        <f t="shared" si="112"/>
        <v>0</v>
      </c>
      <c r="AJ231" s="11">
        <f t="shared" si="112"/>
        <v>0</v>
      </c>
      <c r="AK231" s="11">
        <f t="shared" si="112"/>
        <v>5321</v>
      </c>
      <c r="AL231" s="11">
        <f t="shared" si="112"/>
        <v>629619</v>
      </c>
      <c r="AM231" s="8">
        <f t="shared" ref="AM231:AM241" si="116">AI231+AG231+AE231+AC231+AA231+AK231</f>
        <v>489346</v>
      </c>
      <c r="AN231" s="11">
        <f t="shared" si="113"/>
        <v>77182092</v>
      </c>
      <c r="AO231" s="2" t="str">
        <f t="shared" si="114"/>
        <v>ACCSA</v>
      </c>
      <c r="AP231" s="37">
        <f t="shared" si="115"/>
        <v>0</v>
      </c>
      <c r="AQ231" s="37">
        <f t="shared" si="115"/>
        <v>0</v>
      </c>
    </row>
    <row r="232" spans="1:43" x14ac:dyDescent="0.25">
      <c r="B232" s="2" t="s">
        <v>7</v>
      </c>
      <c r="C232" s="2">
        <v>2026</v>
      </c>
      <c r="D232" s="1">
        <v>55947</v>
      </c>
      <c r="E232" s="11">
        <v>5883744</v>
      </c>
      <c r="F232" s="1">
        <v>12821</v>
      </c>
      <c r="G232" s="11">
        <v>1811866</v>
      </c>
      <c r="H232" s="1">
        <v>38458</v>
      </c>
      <c r="I232" s="11">
        <v>4470292</v>
      </c>
      <c r="J232" s="1">
        <v>412541</v>
      </c>
      <c r="K232" s="11">
        <v>68276533</v>
      </c>
      <c r="L232" s="1">
        <v>25356</v>
      </c>
      <c r="M232" s="11">
        <v>4675504</v>
      </c>
      <c r="N232" s="1">
        <v>25255</v>
      </c>
      <c r="O232" s="11">
        <v>4876119</v>
      </c>
      <c r="P232" s="8">
        <v>0</v>
      </c>
      <c r="Q232" s="11">
        <v>0</v>
      </c>
      <c r="R232" s="8">
        <v>6284</v>
      </c>
      <c r="S232" s="11">
        <v>747707</v>
      </c>
      <c r="T232" s="53">
        <f t="shared" ref="T232:T241" si="117">N232+L232+J232+H232+D232+P232+F232+R232</f>
        <v>576662</v>
      </c>
      <c r="U232" s="54">
        <f t="shared" si="110"/>
        <v>90741765</v>
      </c>
      <c r="V232" s="2" t="s">
        <v>65</v>
      </c>
      <c r="X232" s="13"/>
      <c r="Y232" s="2" t="s">
        <v>7</v>
      </c>
      <c r="Z232" s="2">
        <v>2026</v>
      </c>
      <c r="AA232" s="1">
        <f t="shared" si="111"/>
        <v>107226</v>
      </c>
      <c r="AB232" s="11">
        <f t="shared" si="111"/>
        <v>12165902</v>
      </c>
      <c r="AC232" s="1">
        <f t="shared" si="112"/>
        <v>412541</v>
      </c>
      <c r="AD232" s="11">
        <f t="shared" si="112"/>
        <v>68276533</v>
      </c>
      <c r="AE232" s="8">
        <f t="shared" si="112"/>
        <v>25356</v>
      </c>
      <c r="AF232" s="11">
        <f t="shared" si="112"/>
        <v>4675504</v>
      </c>
      <c r="AG232" s="8">
        <f t="shared" si="112"/>
        <v>25255</v>
      </c>
      <c r="AH232" s="11">
        <f t="shared" si="112"/>
        <v>4876119</v>
      </c>
      <c r="AI232" s="8">
        <f t="shared" si="112"/>
        <v>0</v>
      </c>
      <c r="AJ232" s="11">
        <f t="shared" si="112"/>
        <v>0</v>
      </c>
      <c r="AK232" s="11">
        <f t="shared" si="112"/>
        <v>6284</v>
      </c>
      <c r="AL232" s="11">
        <f t="shared" si="112"/>
        <v>747707</v>
      </c>
      <c r="AM232" s="8">
        <f t="shared" si="116"/>
        <v>576662</v>
      </c>
      <c r="AN232" s="11">
        <f t="shared" si="113"/>
        <v>90741765</v>
      </c>
      <c r="AO232" s="2" t="str">
        <f t="shared" si="114"/>
        <v>ACCSA</v>
      </c>
      <c r="AP232" s="37">
        <f t="shared" si="115"/>
        <v>0</v>
      </c>
      <c r="AQ232" s="37">
        <f t="shared" si="115"/>
        <v>0</v>
      </c>
    </row>
    <row r="233" spans="1:43" x14ac:dyDescent="0.25">
      <c r="B233" s="2" t="s">
        <v>8</v>
      </c>
      <c r="C233" s="2">
        <v>2026</v>
      </c>
      <c r="D233" s="1">
        <v>56671</v>
      </c>
      <c r="E233" s="11">
        <v>5981047</v>
      </c>
      <c r="F233" s="1">
        <v>11741</v>
      </c>
      <c r="G233" s="11">
        <v>1767836</v>
      </c>
      <c r="H233" s="1">
        <v>37191</v>
      </c>
      <c r="I233" s="11">
        <v>4428428</v>
      </c>
      <c r="J233" s="1">
        <v>397940</v>
      </c>
      <c r="K233" s="11">
        <v>65946407</v>
      </c>
      <c r="L233" s="1">
        <v>23691</v>
      </c>
      <c r="M233" s="11">
        <v>4352240</v>
      </c>
      <c r="N233" s="1">
        <v>24991</v>
      </c>
      <c r="O233" s="11">
        <v>4859341</v>
      </c>
      <c r="P233" s="8">
        <v>5</v>
      </c>
      <c r="Q233" s="11">
        <v>536</v>
      </c>
      <c r="R233" s="8">
        <v>6097</v>
      </c>
      <c r="S233" s="11">
        <v>722971</v>
      </c>
      <c r="T233" s="53">
        <f t="shared" si="117"/>
        <v>558327</v>
      </c>
      <c r="U233" s="54">
        <f t="shared" si="110"/>
        <v>88058806</v>
      </c>
      <c r="V233" s="2" t="s">
        <v>65</v>
      </c>
      <c r="X233" s="13"/>
      <c r="Y233" s="2" t="s">
        <v>8</v>
      </c>
      <c r="Z233" s="2">
        <v>2026</v>
      </c>
      <c r="AA233" s="1">
        <f t="shared" si="111"/>
        <v>105603</v>
      </c>
      <c r="AB233" s="11">
        <f t="shared" si="111"/>
        <v>12177311</v>
      </c>
      <c r="AC233" s="1">
        <f t="shared" si="112"/>
        <v>397940</v>
      </c>
      <c r="AD233" s="11">
        <f t="shared" si="112"/>
        <v>65946407</v>
      </c>
      <c r="AE233" s="8">
        <f t="shared" si="112"/>
        <v>23691</v>
      </c>
      <c r="AF233" s="11">
        <f t="shared" si="112"/>
        <v>4352240</v>
      </c>
      <c r="AG233" s="8">
        <f t="shared" si="112"/>
        <v>24991</v>
      </c>
      <c r="AH233" s="11">
        <f t="shared" si="112"/>
        <v>4859341</v>
      </c>
      <c r="AI233" s="8">
        <f t="shared" si="112"/>
        <v>5</v>
      </c>
      <c r="AJ233" s="11">
        <f t="shared" si="112"/>
        <v>536</v>
      </c>
      <c r="AK233" s="11">
        <f t="shared" si="112"/>
        <v>6097</v>
      </c>
      <c r="AL233" s="11">
        <f t="shared" si="112"/>
        <v>722971</v>
      </c>
      <c r="AM233" s="8">
        <f t="shared" si="116"/>
        <v>558327</v>
      </c>
      <c r="AN233" s="11">
        <f t="shared" si="113"/>
        <v>88058806</v>
      </c>
      <c r="AO233" s="2" t="str">
        <f t="shared" si="114"/>
        <v>ACCSA</v>
      </c>
      <c r="AP233" s="37">
        <f t="shared" si="115"/>
        <v>0</v>
      </c>
      <c r="AQ233" s="37">
        <f t="shared" si="115"/>
        <v>0</v>
      </c>
    </row>
    <row r="234" spans="1:43" x14ac:dyDescent="0.25">
      <c r="B234" s="2" t="s">
        <v>9</v>
      </c>
      <c r="C234" s="2">
        <v>2026</v>
      </c>
      <c r="D234" s="1">
        <v>54557</v>
      </c>
      <c r="E234" s="11">
        <v>5878219</v>
      </c>
      <c r="F234" s="1">
        <v>11999</v>
      </c>
      <c r="G234" s="11">
        <v>1750898</v>
      </c>
      <c r="H234" s="1">
        <v>38063</v>
      </c>
      <c r="I234" s="11">
        <v>4583362</v>
      </c>
      <c r="J234" s="1">
        <v>413611</v>
      </c>
      <c r="K234" s="11">
        <v>69853598</v>
      </c>
      <c r="L234" s="1">
        <v>24584</v>
      </c>
      <c r="M234" s="11">
        <v>4643001</v>
      </c>
      <c r="N234" s="1">
        <v>26137</v>
      </c>
      <c r="O234" s="11">
        <v>5071088</v>
      </c>
      <c r="P234" s="8">
        <v>99</v>
      </c>
      <c r="Q234" s="11">
        <v>11368</v>
      </c>
      <c r="R234" s="8">
        <v>6225</v>
      </c>
      <c r="S234" s="11">
        <v>750194</v>
      </c>
      <c r="T234" s="53">
        <f t="shared" si="117"/>
        <v>575275</v>
      </c>
      <c r="U234" s="54">
        <f t="shared" si="110"/>
        <v>92541728</v>
      </c>
      <c r="V234" s="2" t="s">
        <v>65</v>
      </c>
      <c r="X234" s="13"/>
      <c r="Y234" s="2" t="s">
        <v>9</v>
      </c>
      <c r="Z234" s="2">
        <v>2026</v>
      </c>
      <c r="AA234" s="1">
        <f t="shared" si="111"/>
        <v>104619</v>
      </c>
      <c r="AB234" s="11">
        <f t="shared" si="111"/>
        <v>12212479</v>
      </c>
      <c r="AC234" s="1">
        <f t="shared" si="112"/>
        <v>413611</v>
      </c>
      <c r="AD234" s="11">
        <f t="shared" si="112"/>
        <v>69853598</v>
      </c>
      <c r="AE234" s="8">
        <f t="shared" si="112"/>
        <v>24584</v>
      </c>
      <c r="AF234" s="11">
        <f t="shared" si="112"/>
        <v>4643001</v>
      </c>
      <c r="AG234" s="8">
        <f t="shared" si="112"/>
        <v>26137</v>
      </c>
      <c r="AH234" s="11">
        <f t="shared" si="112"/>
        <v>5071088</v>
      </c>
      <c r="AI234" s="8">
        <f t="shared" si="112"/>
        <v>99</v>
      </c>
      <c r="AJ234" s="11">
        <f t="shared" si="112"/>
        <v>11368</v>
      </c>
      <c r="AK234" s="11">
        <f t="shared" si="112"/>
        <v>6225</v>
      </c>
      <c r="AL234" s="11">
        <f t="shared" si="112"/>
        <v>750194</v>
      </c>
      <c r="AM234" s="8">
        <f t="shared" si="116"/>
        <v>575275</v>
      </c>
      <c r="AN234" s="11">
        <f t="shared" si="113"/>
        <v>92541728</v>
      </c>
      <c r="AO234" s="2" t="str">
        <f t="shared" si="114"/>
        <v>ACCSA</v>
      </c>
      <c r="AP234" s="37">
        <f t="shared" si="115"/>
        <v>0</v>
      </c>
      <c r="AQ234" s="37">
        <f t="shared" si="115"/>
        <v>0</v>
      </c>
    </row>
    <row r="235" spans="1:43" x14ac:dyDescent="0.25">
      <c r="B235" s="2" t="s">
        <v>10</v>
      </c>
      <c r="C235" s="2">
        <v>2026</v>
      </c>
      <c r="D235" s="1">
        <v>47992</v>
      </c>
      <c r="E235" s="11">
        <v>5236529</v>
      </c>
      <c r="F235" s="1">
        <v>11677</v>
      </c>
      <c r="G235" s="11">
        <v>1597965</v>
      </c>
      <c r="H235" s="1">
        <v>37120</v>
      </c>
      <c r="I235" s="11">
        <v>4459531</v>
      </c>
      <c r="J235" s="1">
        <v>387362</v>
      </c>
      <c r="K235" s="11">
        <v>65664531</v>
      </c>
      <c r="L235" s="1">
        <v>24527</v>
      </c>
      <c r="M235" s="11">
        <v>4652798</v>
      </c>
      <c r="N235" s="1">
        <v>26007</v>
      </c>
      <c r="O235" s="11">
        <v>5179205</v>
      </c>
      <c r="P235" s="8">
        <v>150</v>
      </c>
      <c r="Q235" s="11">
        <v>22853</v>
      </c>
      <c r="R235" s="8">
        <v>5468</v>
      </c>
      <c r="S235" s="11">
        <v>608633</v>
      </c>
      <c r="T235" s="53">
        <f t="shared" si="117"/>
        <v>540303</v>
      </c>
      <c r="U235" s="54">
        <f t="shared" si="110"/>
        <v>87422045</v>
      </c>
      <c r="V235" s="2" t="s">
        <v>65</v>
      </c>
      <c r="Y235" s="2" t="s">
        <v>10</v>
      </c>
      <c r="Z235" s="2">
        <v>2026</v>
      </c>
      <c r="AA235" s="1">
        <f t="shared" si="111"/>
        <v>96789</v>
      </c>
      <c r="AB235" s="11">
        <f t="shared" si="111"/>
        <v>11294025</v>
      </c>
      <c r="AC235" s="1">
        <f t="shared" si="112"/>
        <v>387362</v>
      </c>
      <c r="AD235" s="11">
        <f t="shared" si="112"/>
        <v>65664531</v>
      </c>
      <c r="AE235" s="8">
        <f t="shared" si="112"/>
        <v>24527</v>
      </c>
      <c r="AF235" s="11">
        <f t="shared" si="112"/>
        <v>4652798</v>
      </c>
      <c r="AG235" s="8">
        <f t="shared" si="112"/>
        <v>26007</v>
      </c>
      <c r="AH235" s="11">
        <f t="shared" si="112"/>
        <v>5179205</v>
      </c>
      <c r="AI235" s="8">
        <f t="shared" si="112"/>
        <v>150</v>
      </c>
      <c r="AJ235" s="11">
        <f t="shared" si="112"/>
        <v>22853</v>
      </c>
      <c r="AK235" s="11">
        <f t="shared" si="112"/>
        <v>5468</v>
      </c>
      <c r="AL235" s="11">
        <f t="shared" si="112"/>
        <v>608633</v>
      </c>
      <c r="AM235" s="8">
        <f t="shared" si="116"/>
        <v>540303</v>
      </c>
      <c r="AN235" s="11">
        <f t="shared" si="113"/>
        <v>87422045</v>
      </c>
      <c r="AO235" s="2" t="str">
        <f t="shared" si="114"/>
        <v>ACCSA</v>
      </c>
      <c r="AP235" s="37">
        <f t="shared" si="115"/>
        <v>0</v>
      </c>
      <c r="AQ235" s="37">
        <f t="shared" si="115"/>
        <v>0</v>
      </c>
    </row>
    <row r="236" spans="1:43" x14ac:dyDescent="0.25">
      <c r="B236" s="2" t="s">
        <v>11</v>
      </c>
      <c r="C236" s="2">
        <v>2026</v>
      </c>
      <c r="D236" s="1"/>
      <c r="E236" s="11"/>
      <c r="F236" s="1"/>
      <c r="G236" s="11"/>
      <c r="H236" s="1"/>
      <c r="I236" s="11"/>
      <c r="J236" s="1"/>
      <c r="K236" s="11"/>
      <c r="L236" s="1"/>
      <c r="M236" s="11"/>
      <c r="N236" s="1"/>
      <c r="O236" s="11"/>
      <c r="P236" s="8"/>
      <c r="Q236" s="11"/>
      <c r="R236" s="8"/>
      <c r="S236" s="11"/>
      <c r="T236" s="53">
        <f t="shared" si="117"/>
        <v>0</v>
      </c>
      <c r="U236" s="54">
        <f t="shared" si="110"/>
        <v>0</v>
      </c>
      <c r="V236" s="2" t="s">
        <v>65</v>
      </c>
      <c r="Y236" s="2" t="s">
        <v>11</v>
      </c>
      <c r="Z236" s="2">
        <v>2026</v>
      </c>
      <c r="AA236" s="1">
        <f t="shared" si="111"/>
        <v>0</v>
      </c>
      <c r="AB236" s="11">
        <f t="shared" si="111"/>
        <v>0</v>
      </c>
      <c r="AC236" s="1">
        <f t="shared" si="112"/>
        <v>0</v>
      </c>
      <c r="AD236" s="11">
        <f t="shared" si="112"/>
        <v>0</v>
      </c>
      <c r="AE236" s="8">
        <f t="shared" si="112"/>
        <v>0</v>
      </c>
      <c r="AF236" s="11">
        <f t="shared" si="112"/>
        <v>0</v>
      </c>
      <c r="AG236" s="8">
        <f t="shared" si="112"/>
        <v>0</v>
      </c>
      <c r="AH236" s="11">
        <f t="shared" si="112"/>
        <v>0</v>
      </c>
      <c r="AI236" s="8">
        <f t="shared" si="112"/>
        <v>0</v>
      </c>
      <c r="AJ236" s="11">
        <f t="shared" si="112"/>
        <v>0</v>
      </c>
      <c r="AK236" s="11">
        <f t="shared" si="112"/>
        <v>0</v>
      </c>
      <c r="AL236" s="11">
        <f t="shared" si="112"/>
        <v>0</v>
      </c>
      <c r="AM236" s="8">
        <f t="shared" si="116"/>
        <v>0</v>
      </c>
      <c r="AN236" s="11">
        <f t="shared" si="113"/>
        <v>0</v>
      </c>
      <c r="AO236" s="2" t="str">
        <f t="shared" si="114"/>
        <v>ACCSA</v>
      </c>
      <c r="AP236" s="37">
        <f t="shared" si="115"/>
        <v>0</v>
      </c>
      <c r="AQ236" s="37">
        <f t="shared" si="115"/>
        <v>0</v>
      </c>
    </row>
    <row r="237" spans="1:43" x14ac:dyDescent="0.25">
      <c r="B237" s="2" t="s">
        <v>4</v>
      </c>
      <c r="C237" s="2">
        <v>2026</v>
      </c>
      <c r="D237" s="1"/>
      <c r="E237" s="11"/>
      <c r="F237" s="1"/>
      <c r="G237" s="11"/>
      <c r="H237" s="1"/>
      <c r="I237" s="11"/>
      <c r="J237" s="1"/>
      <c r="K237" s="11"/>
      <c r="L237" s="1"/>
      <c r="M237" s="11"/>
      <c r="N237" s="1"/>
      <c r="O237" s="11"/>
      <c r="P237" s="8"/>
      <c r="Q237" s="11"/>
      <c r="R237" s="8"/>
      <c r="S237" s="11"/>
      <c r="T237" s="53">
        <f t="shared" si="117"/>
        <v>0</v>
      </c>
      <c r="U237" s="54">
        <f t="shared" si="110"/>
        <v>0</v>
      </c>
      <c r="V237" s="2" t="s">
        <v>65</v>
      </c>
      <c r="Y237" s="2" t="s">
        <v>4</v>
      </c>
      <c r="Z237" s="2">
        <v>2026</v>
      </c>
      <c r="AA237" s="1">
        <f t="shared" si="111"/>
        <v>0</v>
      </c>
      <c r="AB237" s="11">
        <f t="shared" si="111"/>
        <v>0</v>
      </c>
      <c r="AC237" s="1">
        <f t="shared" si="112"/>
        <v>0</v>
      </c>
      <c r="AD237" s="11">
        <f t="shared" si="112"/>
        <v>0</v>
      </c>
      <c r="AE237" s="8">
        <f t="shared" si="112"/>
        <v>0</v>
      </c>
      <c r="AF237" s="11">
        <f t="shared" si="112"/>
        <v>0</v>
      </c>
      <c r="AG237" s="8">
        <f t="shared" si="112"/>
        <v>0</v>
      </c>
      <c r="AH237" s="11">
        <f t="shared" si="112"/>
        <v>0</v>
      </c>
      <c r="AI237" s="8">
        <f t="shared" si="112"/>
        <v>0</v>
      </c>
      <c r="AJ237" s="11">
        <f t="shared" si="112"/>
        <v>0</v>
      </c>
      <c r="AK237" s="11">
        <f t="shared" si="112"/>
        <v>0</v>
      </c>
      <c r="AL237" s="11">
        <f t="shared" si="112"/>
        <v>0</v>
      </c>
      <c r="AM237" s="27">
        <f t="shared" si="116"/>
        <v>0</v>
      </c>
      <c r="AN237" s="14">
        <f t="shared" si="113"/>
        <v>0</v>
      </c>
      <c r="AO237" s="2" t="str">
        <f t="shared" si="114"/>
        <v>ACCSA</v>
      </c>
      <c r="AP237" s="37">
        <f t="shared" si="115"/>
        <v>0</v>
      </c>
      <c r="AQ237" s="37">
        <f t="shared" si="115"/>
        <v>0</v>
      </c>
    </row>
    <row r="238" spans="1:43" x14ac:dyDescent="0.25">
      <c r="B238" s="2" t="s">
        <v>28</v>
      </c>
      <c r="C238" s="2">
        <v>2026</v>
      </c>
      <c r="D238" s="1"/>
      <c r="E238" s="11"/>
      <c r="F238" s="1"/>
      <c r="G238" s="11"/>
      <c r="H238" s="1"/>
      <c r="I238" s="11"/>
      <c r="J238" s="1"/>
      <c r="K238" s="11"/>
      <c r="L238" s="1"/>
      <c r="M238" s="11"/>
      <c r="N238" s="1"/>
      <c r="O238" s="11"/>
      <c r="P238" s="8"/>
      <c r="Q238" s="11"/>
      <c r="R238" s="8"/>
      <c r="S238" s="11"/>
      <c r="T238" s="53">
        <f t="shared" si="117"/>
        <v>0</v>
      </c>
      <c r="U238" s="54">
        <f t="shared" si="110"/>
        <v>0</v>
      </c>
      <c r="V238" s="2" t="s">
        <v>65</v>
      </c>
      <c r="Y238" s="2" t="s">
        <v>28</v>
      </c>
      <c r="Z238" s="2">
        <v>2026</v>
      </c>
      <c r="AA238" s="1">
        <f t="shared" si="111"/>
        <v>0</v>
      </c>
      <c r="AB238" s="11">
        <f t="shared" si="111"/>
        <v>0</v>
      </c>
      <c r="AC238" s="1">
        <f t="shared" si="112"/>
        <v>0</v>
      </c>
      <c r="AD238" s="11">
        <f t="shared" si="112"/>
        <v>0</v>
      </c>
      <c r="AE238" s="8">
        <f t="shared" si="112"/>
        <v>0</v>
      </c>
      <c r="AF238" s="11">
        <f t="shared" si="112"/>
        <v>0</v>
      </c>
      <c r="AG238" s="8">
        <f t="shared" si="112"/>
        <v>0</v>
      </c>
      <c r="AH238" s="11">
        <f t="shared" si="112"/>
        <v>0</v>
      </c>
      <c r="AI238" s="8">
        <f t="shared" si="112"/>
        <v>0</v>
      </c>
      <c r="AJ238" s="11">
        <f t="shared" si="112"/>
        <v>0</v>
      </c>
      <c r="AK238" s="11">
        <f t="shared" si="112"/>
        <v>0</v>
      </c>
      <c r="AL238" s="11">
        <f t="shared" si="112"/>
        <v>0</v>
      </c>
      <c r="AM238" s="8">
        <f t="shared" si="116"/>
        <v>0</v>
      </c>
      <c r="AN238" s="11">
        <f t="shared" si="113"/>
        <v>0</v>
      </c>
      <c r="AO238" s="2" t="str">
        <f t="shared" si="114"/>
        <v>ACCSA</v>
      </c>
      <c r="AP238" s="37">
        <f t="shared" si="115"/>
        <v>0</v>
      </c>
      <c r="AQ238" s="37">
        <f t="shared" si="115"/>
        <v>0</v>
      </c>
    </row>
    <row r="239" spans="1:43" x14ac:dyDescent="0.25">
      <c r="B239" s="2" t="s">
        <v>29</v>
      </c>
      <c r="C239" s="2">
        <v>2026</v>
      </c>
      <c r="D239" s="1"/>
      <c r="E239" s="11"/>
      <c r="F239" s="1"/>
      <c r="G239" s="11"/>
      <c r="H239" s="1"/>
      <c r="I239" s="11"/>
      <c r="J239" s="1"/>
      <c r="K239" s="11"/>
      <c r="L239" s="1"/>
      <c r="M239" s="11"/>
      <c r="N239" s="1"/>
      <c r="O239" s="11"/>
      <c r="P239" s="8"/>
      <c r="Q239" s="11"/>
      <c r="R239" s="8"/>
      <c r="S239" s="11"/>
      <c r="T239" s="53">
        <f t="shared" si="117"/>
        <v>0</v>
      </c>
      <c r="U239" s="54">
        <f t="shared" si="110"/>
        <v>0</v>
      </c>
      <c r="V239" s="2" t="s">
        <v>65</v>
      </c>
      <c r="Y239" s="2" t="s">
        <v>29</v>
      </c>
      <c r="Z239" s="2">
        <v>2026</v>
      </c>
      <c r="AA239" s="1">
        <f t="shared" si="111"/>
        <v>0</v>
      </c>
      <c r="AB239" s="11">
        <f t="shared" si="111"/>
        <v>0</v>
      </c>
      <c r="AC239" s="1">
        <f t="shared" si="112"/>
        <v>0</v>
      </c>
      <c r="AD239" s="11">
        <f t="shared" si="112"/>
        <v>0</v>
      </c>
      <c r="AE239" s="8">
        <f t="shared" si="112"/>
        <v>0</v>
      </c>
      <c r="AF239" s="11">
        <f t="shared" si="112"/>
        <v>0</v>
      </c>
      <c r="AG239" s="8">
        <f t="shared" si="112"/>
        <v>0</v>
      </c>
      <c r="AH239" s="11">
        <f t="shared" si="112"/>
        <v>0</v>
      </c>
      <c r="AI239" s="8">
        <f t="shared" si="112"/>
        <v>0</v>
      </c>
      <c r="AJ239" s="11">
        <f t="shared" si="112"/>
        <v>0</v>
      </c>
      <c r="AK239" s="11">
        <f t="shared" si="112"/>
        <v>0</v>
      </c>
      <c r="AL239" s="11">
        <f t="shared" si="112"/>
        <v>0</v>
      </c>
      <c r="AM239" s="8">
        <f t="shared" si="116"/>
        <v>0</v>
      </c>
      <c r="AN239" s="11">
        <f t="shared" si="113"/>
        <v>0</v>
      </c>
      <c r="AO239" s="2" t="str">
        <f t="shared" si="114"/>
        <v>ACCSA</v>
      </c>
      <c r="AP239" s="37">
        <f t="shared" si="115"/>
        <v>0</v>
      </c>
      <c r="AQ239" s="37">
        <f t="shared" si="115"/>
        <v>0</v>
      </c>
    </row>
    <row r="240" spans="1:43" x14ac:dyDescent="0.25">
      <c r="B240" s="2" t="s">
        <v>30</v>
      </c>
      <c r="C240" s="2">
        <v>2026</v>
      </c>
      <c r="D240" s="1"/>
      <c r="E240" s="11"/>
      <c r="F240" s="1"/>
      <c r="G240" s="11"/>
      <c r="H240" s="1"/>
      <c r="I240" s="11"/>
      <c r="J240" s="1"/>
      <c r="K240" s="11"/>
      <c r="L240" s="1"/>
      <c r="M240" s="11"/>
      <c r="N240" s="1"/>
      <c r="O240" s="11"/>
      <c r="P240" s="8"/>
      <c r="Q240" s="11"/>
      <c r="R240" s="8"/>
      <c r="S240" s="11"/>
      <c r="T240" s="53">
        <f t="shared" si="117"/>
        <v>0</v>
      </c>
      <c r="U240" s="54">
        <f t="shared" si="110"/>
        <v>0</v>
      </c>
      <c r="V240" s="2" t="s">
        <v>65</v>
      </c>
      <c r="Y240" s="2" t="s">
        <v>30</v>
      </c>
      <c r="Z240" s="2">
        <v>2026</v>
      </c>
      <c r="AA240" s="1">
        <f t="shared" si="111"/>
        <v>0</v>
      </c>
      <c r="AB240" s="11">
        <f t="shared" si="111"/>
        <v>0</v>
      </c>
      <c r="AC240" s="1">
        <f t="shared" si="112"/>
        <v>0</v>
      </c>
      <c r="AD240" s="11">
        <f t="shared" si="112"/>
        <v>0</v>
      </c>
      <c r="AE240" s="8">
        <f t="shared" si="112"/>
        <v>0</v>
      </c>
      <c r="AF240" s="11">
        <f t="shared" si="112"/>
        <v>0</v>
      </c>
      <c r="AG240" s="8">
        <f t="shared" si="112"/>
        <v>0</v>
      </c>
      <c r="AH240" s="11">
        <f t="shared" si="112"/>
        <v>0</v>
      </c>
      <c r="AI240" s="8">
        <f t="shared" si="112"/>
        <v>0</v>
      </c>
      <c r="AJ240" s="11">
        <f t="shared" si="112"/>
        <v>0</v>
      </c>
      <c r="AK240" s="11">
        <f t="shared" si="112"/>
        <v>0</v>
      </c>
      <c r="AL240" s="11">
        <f t="shared" si="112"/>
        <v>0</v>
      </c>
      <c r="AM240" s="79">
        <f t="shared" si="116"/>
        <v>0</v>
      </c>
      <c r="AN240" s="80">
        <f t="shared" si="113"/>
        <v>0</v>
      </c>
      <c r="AO240" s="2" t="str">
        <f t="shared" si="114"/>
        <v>ACCSA</v>
      </c>
      <c r="AP240" s="37">
        <f t="shared" si="115"/>
        <v>0</v>
      </c>
      <c r="AQ240" s="37">
        <f t="shared" si="115"/>
        <v>0</v>
      </c>
    </row>
    <row r="241" spans="1:43" x14ac:dyDescent="0.25">
      <c r="B241" s="2" t="s">
        <v>31</v>
      </c>
      <c r="C241" s="2">
        <v>2026</v>
      </c>
      <c r="D241" s="1"/>
      <c r="E241" s="11"/>
      <c r="F241" s="1"/>
      <c r="G241" s="11"/>
      <c r="H241" s="1"/>
      <c r="I241" s="11"/>
      <c r="J241" s="1"/>
      <c r="K241" s="11"/>
      <c r="L241" s="1"/>
      <c r="M241" s="11"/>
      <c r="N241" s="8"/>
      <c r="O241" s="11"/>
      <c r="P241" s="8"/>
      <c r="Q241" s="11"/>
      <c r="R241" s="8"/>
      <c r="S241" s="11"/>
      <c r="T241" s="53">
        <f t="shared" si="117"/>
        <v>0</v>
      </c>
      <c r="U241" s="54">
        <f t="shared" si="110"/>
        <v>0</v>
      </c>
      <c r="V241" s="2" t="s">
        <v>65</v>
      </c>
      <c r="W241" s="13"/>
      <c r="Y241" s="2" t="s">
        <v>31</v>
      </c>
      <c r="Z241" s="2">
        <v>2026</v>
      </c>
      <c r="AA241" s="1">
        <f t="shared" si="111"/>
        <v>0</v>
      </c>
      <c r="AB241" s="11">
        <f t="shared" si="111"/>
        <v>0</v>
      </c>
      <c r="AC241" s="1">
        <f t="shared" si="112"/>
        <v>0</v>
      </c>
      <c r="AD241" s="11">
        <f t="shared" si="112"/>
        <v>0</v>
      </c>
      <c r="AE241" s="8">
        <f t="shared" si="112"/>
        <v>0</v>
      </c>
      <c r="AF241" s="11">
        <f t="shared" si="112"/>
        <v>0</v>
      </c>
      <c r="AG241" s="8">
        <f t="shared" si="112"/>
        <v>0</v>
      </c>
      <c r="AH241" s="11">
        <f t="shared" si="112"/>
        <v>0</v>
      </c>
      <c r="AI241" s="8">
        <f t="shared" si="112"/>
        <v>0</v>
      </c>
      <c r="AJ241" s="11">
        <f t="shared" si="112"/>
        <v>0</v>
      </c>
      <c r="AK241" s="11">
        <f t="shared" si="112"/>
        <v>0</v>
      </c>
      <c r="AL241" s="11">
        <f t="shared" si="112"/>
        <v>0</v>
      </c>
      <c r="AM241" s="8">
        <f t="shared" si="116"/>
        <v>0</v>
      </c>
      <c r="AN241" s="11">
        <f t="shared" si="113"/>
        <v>0</v>
      </c>
      <c r="AO241" s="2" t="str">
        <f t="shared" si="114"/>
        <v>ACCSA</v>
      </c>
      <c r="AP241" s="37">
        <f t="shared" si="115"/>
        <v>0</v>
      </c>
      <c r="AQ241" s="37">
        <f t="shared" si="115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118">SUM(D230:D242)</f>
        <v>316540</v>
      </c>
      <c r="E243" s="12">
        <f t="shared" si="118"/>
        <v>33205645</v>
      </c>
      <c r="F243" s="4">
        <f t="shared" si="118"/>
        <v>70898</v>
      </c>
      <c r="G243" s="12">
        <f t="shared" si="118"/>
        <v>10079676</v>
      </c>
      <c r="H243" s="4">
        <f t="shared" si="118"/>
        <v>223995</v>
      </c>
      <c r="I243" s="12">
        <f t="shared" si="118"/>
        <v>26420991</v>
      </c>
      <c r="J243" s="4">
        <f t="shared" si="118"/>
        <v>2353308</v>
      </c>
      <c r="K243" s="12">
        <f t="shared" si="118"/>
        <v>391857972</v>
      </c>
      <c r="L243" s="4">
        <f t="shared" si="118"/>
        <v>142385</v>
      </c>
      <c r="M243" s="12">
        <f t="shared" si="118"/>
        <v>26256907</v>
      </c>
      <c r="N243" s="4">
        <f t="shared" si="118"/>
        <v>147393</v>
      </c>
      <c r="O243" s="12">
        <f t="shared" si="118"/>
        <v>28876276</v>
      </c>
      <c r="P243" s="4">
        <f>SUM(P230:P242)</f>
        <v>254</v>
      </c>
      <c r="Q243" s="12">
        <f>SUM(Q230:Q242)</f>
        <v>34757</v>
      </c>
      <c r="R243" s="4">
        <f>SUM(R230:R242)</f>
        <v>35411</v>
      </c>
      <c r="S243" s="12">
        <f>SUM(S230:S242)</f>
        <v>4127196</v>
      </c>
      <c r="T243" s="4">
        <f t="shared" si="118"/>
        <v>3290184</v>
      </c>
      <c r="U243" s="12">
        <f t="shared" si="118"/>
        <v>520859420</v>
      </c>
      <c r="Y243" s="3" t="s">
        <v>12</v>
      </c>
      <c r="Z243" s="3"/>
      <c r="AA243" s="4">
        <f t="shared" ref="AA243:AN243" si="119">SUM(AA230:AA242)</f>
        <v>611433</v>
      </c>
      <c r="AB243" s="12">
        <f t="shared" si="119"/>
        <v>69706312</v>
      </c>
      <c r="AC243" s="4">
        <f t="shared" si="119"/>
        <v>2353308</v>
      </c>
      <c r="AD243" s="12">
        <f t="shared" si="119"/>
        <v>391857972</v>
      </c>
      <c r="AE243" s="4">
        <f t="shared" si="119"/>
        <v>142385</v>
      </c>
      <c r="AF243" s="12">
        <f t="shared" si="119"/>
        <v>26256907</v>
      </c>
      <c r="AG243" s="4">
        <f t="shared" si="119"/>
        <v>147393</v>
      </c>
      <c r="AH243" s="12">
        <f t="shared" si="119"/>
        <v>28876276</v>
      </c>
      <c r="AI243" s="4">
        <f t="shared" si="119"/>
        <v>254</v>
      </c>
      <c r="AJ243" s="12">
        <f t="shared" si="119"/>
        <v>34757</v>
      </c>
      <c r="AK243" s="4">
        <f t="shared" si="119"/>
        <v>35411</v>
      </c>
      <c r="AL243" s="12">
        <f t="shared" si="119"/>
        <v>4127196</v>
      </c>
      <c r="AM243" s="4">
        <f t="shared" si="119"/>
        <v>3290184</v>
      </c>
      <c r="AN243" s="12">
        <f t="shared" si="119"/>
        <v>520859420</v>
      </c>
    </row>
    <row r="244" spans="1:43" x14ac:dyDescent="0.25">
      <c r="J244" s="46" t="str">
        <f>+$A$225</f>
        <v>Aforo e Ingreso - ACCSA</v>
      </c>
      <c r="K244" s="9" t="s">
        <v>84</v>
      </c>
      <c r="L244" s="15">
        <f>AVERAGE(L230:L231)</f>
        <v>22113.5</v>
      </c>
      <c r="M244" s="60">
        <f>AVERAGE(M230:M231)</f>
        <v>3966682</v>
      </c>
      <c r="T244" s="15">
        <f t="shared" ref="T244:U244" si="120">AVERAGE(T230:T231)</f>
        <v>519808.5</v>
      </c>
      <c r="U244" s="28">
        <f t="shared" si="120"/>
        <v>81047538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0.14626878505661975</v>
      </c>
      <c r="M245" s="36">
        <f>+M244/$M$371</f>
        <v>0.14272886640971824</v>
      </c>
      <c r="N245" s="18"/>
      <c r="O245" s="19"/>
      <c r="P245" s="19"/>
      <c r="Q245" s="19"/>
      <c r="R245" s="19"/>
      <c r="S245" s="19"/>
      <c r="T245" s="36">
        <f>+L244/T244</f>
        <v>4.2541628311195373E-2</v>
      </c>
      <c r="U245" s="62">
        <f>+M244/U244</f>
        <v>4.8942658813399119E-2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0"/>
      <c r="F248" s="89" t="s">
        <v>71</v>
      </c>
      <c r="G248" s="90"/>
      <c r="H248" s="89" t="s">
        <v>16</v>
      </c>
      <c r="I248" s="90"/>
      <c r="J248" s="89" t="s">
        <v>17</v>
      </c>
      <c r="K248" s="93"/>
      <c r="L248" s="89" t="s">
        <v>18</v>
      </c>
      <c r="M248" s="93"/>
      <c r="N248" s="89" t="s">
        <v>13</v>
      </c>
      <c r="O248" s="93"/>
      <c r="P248" s="89" t="s">
        <v>34</v>
      </c>
      <c r="Q248" s="93"/>
      <c r="R248" s="89" t="s">
        <v>87</v>
      </c>
      <c r="S248" s="93"/>
      <c r="T248" s="89" t="s">
        <v>12</v>
      </c>
      <c r="U248" s="93"/>
      <c r="AA248" s="89" t="s">
        <v>69</v>
      </c>
      <c r="AB248" s="90"/>
      <c r="AC248" s="89" t="s">
        <v>17</v>
      </c>
      <c r="AD248" s="93"/>
      <c r="AE248" s="89" t="s">
        <v>18</v>
      </c>
      <c r="AF248" s="93"/>
      <c r="AG248" s="89" t="s">
        <v>13</v>
      </c>
      <c r="AH248" s="93"/>
      <c r="AI248" s="89" t="s">
        <v>34</v>
      </c>
      <c r="AJ248" s="93"/>
      <c r="AK248" s="89" t="s">
        <v>87</v>
      </c>
      <c r="AL248" s="93"/>
      <c r="AM248" s="89" t="s">
        <v>12</v>
      </c>
      <c r="AN248" s="93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2026</v>
      </c>
      <c r="D251" s="1">
        <v>15978</v>
      </c>
      <c r="E251" s="11">
        <v>1046866</v>
      </c>
      <c r="F251" s="1">
        <v>7492</v>
      </c>
      <c r="G251" s="11">
        <v>522434</v>
      </c>
      <c r="H251" s="1">
        <v>3392</v>
      </c>
      <c r="I251" s="11">
        <v>280817</v>
      </c>
      <c r="J251" s="1">
        <v>213015</v>
      </c>
      <c r="K251" s="11">
        <v>16939847</v>
      </c>
      <c r="L251" s="1">
        <v>1566</v>
      </c>
      <c r="M251" s="11">
        <v>211840</v>
      </c>
      <c r="N251" s="1">
        <v>27134</v>
      </c>
      <c r="O251" s="11">
        <v>2323449</v>
      </c>
      <c r="P251" s="8">
        <v>8</v>
      </c>
      <c r="Q251" s="11">
        <v>1428</v>
      </c>
      <c r="R251" s="8">
        <v>2505</v>
      </c>
      <c r="S251" s="11">
        <v>159655</v>
      </c>
      <c r="T251" s="53">
        <f>N251+L251+J251+H251+D251+P251+F251+R251</f>
        <v>271090</v>
      </c>
      <c r="U251" s="54">
        <f t="shared" ref="U251:U262" si="121">O251+M251+K251+I251+E251+Q251+G251+S251</f>
        <v>21486336</v>
      </c>
      <c r="V251" s="2" t="s">
        <v>66</v>
      </c>
      <c r="Y251" s="2" t="s">
        <v>5</v>
      </c>
      <c r="Z251" s="2">
        <v>2026</v>
      </c>
      <c r="AA251" s="1">
        <f t="shared" ref="AA251:AB262" si="122">D251+H251+F251</f>
        <v>26862</v>
      </c>
      <c r="AB251" s="11">
        <f t="shared" si="122"/>
        <v>1850117</v>
      </c>
      <c r="AC251" s="1">
        <f t="shared" ref="AC251:AL262" si="123">+J251</f>
        <v>213015</v>
      </c>
      <c r="AD251" s="11">
        <f t="shared" si="123"/>
        <v>16939847</v>
      </c>
      <c r="AE251" s="8">
        <f t="shared" si="123"/>
        <v>1566</v>
      </c>
      <c r="AF251" s="11">
        <f t="shared" si="123"/>
        <v>211840</v>
      </c>
      <c r="AG251" s="8">
        <f t="shared" si="123"/>
        <v>27134</v>
      </c>
      <c r="AH251" s="11">
        <f t="shared" si="123"/>
        <v>2323449</v>
      </c>
      <c r="AI251" s="8">
        <f t="shared" si="123"/>
        <v>8</v>
      </c>
      <c r="AJ251" s="11">
        <f t="shared" si="123"/>
        <v>1428</v>
      </c>
      <c r="AK251" s="11">
        <f t="shared" si="123"/>
        <v>2505</v>
      </c>
      <c r="AL251" s="11">
        <f t="shared" si="123"/>
        <v>159655</v>
      </c>
      <c r="AM251" s="8">
        <f>AI251+AG251+AE251+AC251+AA251+AK251</f>
        <v>271090</v>
      </c>
      <c r="AN251" s="11">
        <f t="shared" ref="AN251:AN262" si="124">AJ251+AH251+AF251+AD251+AB251+AL251</f>
        <v>21486336</v>
      </c>
      <c r="AO251" s="2" t="str">
        <f t="shared" ref="AO251:AO262" si="125">+V251</f>
        <v>LERMA</v>
      </c>
      <c r="AP251" s="37">
        <f t="shared" ref="AP251:AQ262" si="126">+AM251-T251</f>
        <v>0</v>
      </c>
      <c r="AQ251" s="37">
        <f t="shared" si="126"/>
        <v>0</v>
      </c>
    </row>
    <row r="252" spans="1:43" x14ac:dyDescent="0.25">
      <c r="B252" s="2" t="s">
        <v>6</v>
      </c>
      <c r="C252" s="2">
        <v>2026</v>
      </c>
      <c r="D252" s="1">
        <v>14880</v>
      </c>
      <c r="E252" s="11">
        <v>985733</v>
      </c>
      <c r="F252" s="1">
        <v>6549</v>
      </c>
      <c r="G252" s="11">
        <v>461901</v>
      </c>
      <c r="H252" s="1">
        <v>3134</v>
      </c>
      <c r="I252" s="11">
        <v>257991</v>
      </c>
      <c r="J252" s="1">
        <v>204067</v>
      </c>
      <c r="K252" s="11">
        <v>16519277</v>
      </c>
      <c r="L252" s="1">
        <v>1751</v>
      </c>
      <c r="M252" s="11">
        <v>239950</v>
      </c>
      <c r="N252" s="1">
        <v>26272</v>
      </c>
      <c r="O252" s="11">
        <v>2257975</v>
      </c>
      <c r="P252" s="8">
        <v>16</v>
      </c>
      <c r="Q252" s="11">
        <v>2134</v>
      </c>
      <c r="R252" s="8">
        <v>2391</v>
      </c>
      <c r="S252" s="11">
        <v>156133</v>
      </c>
      <c r="T252" s="53">
        <f t="shared" ref="T252:T262" si="127">N252+L252+J252+H252+D252+P252+F252+R252</f>
        <v>259060</v>
      </c>
      <c r="U252" s="54">
        <f t="shared" si="121"/>
        <v>20881094</v>
      </c>
      <c r="V252" s="2" t="s">
        <v>66</v>
      </c>
      <c r="Y252" s="2" t="s">
        <v>6</v>
      </c>
      <c r="Z252" s="2">
        <v>2026</v>
      </c>
      <c r="AA252" s="1">
        <f t="shared" si="122"/>
        <v>24563</v>
      </c>
      <c r="AB252" s="11">
        <f t="shared" si="122"/>
        <v>1705625</v>
      </c>
      <c r="AC252" s="1">
        <f t="shared" si="123"/>
        <v>204067</v>
      </c>
      <c r="AD252" s="11">
        <f t="shared" si="123"/>
        <v>16519277</v>
      </c>
      <c r="AE252" s="8">
        <f t="shared" si="123"/>
        <v>1751</v>
      </c>
      <c r="AF252" s="11">
        <f t="shared" si="123"/>
        <v>239950</v>
      </c>
      <c r="AG252" s="8">
        <f t="shared" si="123"/>
        <v>26272</v>
      </c>
      <c r="AH252" s="11">
        <f t="shared" si="123"/>
        <v>2257975</v>
      </c>
      <c r="AI252" s="8">
        <f t="shared" si="123"/>
        <v>16</v>
      </c>
      <c r="AJ252" s="11">
        <f t="shared" si="123"/>
        <v>2134</v>
      </c>
      <c r="AK252" s="11">
        <f t="shared" si="123"/>
        <v>2391</v>
      </c>
      <c r="AL252" s="11">
        <f t="shared" si="123"/>
        <v>156133</v>
      </c>
      <c r="AM252" s="8">
        <f t="shared" ref="AM252:AM262" si="128">AI252+AG252+AE252+AC252+AA252+AK252</f>
        <v>259060</v>
      </c>
      <c r="AN252" s="11">
        <f t="shared" si="124"/>
        <v>20881094</v>
      </c>
      <c r="AO252" s="2" t="str">
        <f t="shared" si="125"/>
        <v>LERMA</v>
      </c>
      <c r="AP252" s="37">
        <f t="shared" si="126"/>
        <v>0</v>
      </c>
      <c r="AQ252" s="37">
        <f t="shared" si="126"/>
        <v>0</v>
      </c>
    </row>
    <row r="253" spans="1:43" x14ac:dyDescent="0.25">
      <c r="B253" s="2" t="s">
        <v>7</v>
      </c>
      <c r="C253" s="2">
        <v>2026</v>
      </c>
      <c r="D253" s="1">
        <v>16099</v>
      </c>
      <c r="E253" s="11">
        <v>1104914</v>
      </c>
      <c r="F253" s="1">
        <v>7155</v>
      </c>
      <c r="G253" s="11">
        <v>503208</v>
      </c>
      <c r="H253" s="1">
        <v>3507</v>
      </c>
      <c r="I253" s="11">
        <v>294753</v>
      </c>
      <c r="J253" s="1">
        <v>236932</v>
      </c>
      <c r="K253" s="11">
        <v>19173606</v>
      </c>
      <c r="L253" s="1">
        <v>1718</v>
      </c>
      <c r="M253" s="11">
        <v>242658</v>
      </c>
      <c r="N253" s="1">
        <v>28932</v>
      </c>
      <c r="O253" s="11">
        <v>2543643</v>
      </c>
      <c r="P253" s="8">
        <v>17</v>
      </c>
      <c r="Q253" s="11">
        <v>2236</v>
      </c>
      <c r="R253" s="8">
        <v>2660</v>
      </c>
      <c r="S253" s="11">
        <v>177776</v>
      </c>
      <c r="T253" s="53">
        <f t="shared" si="127"/>
        <v>297020</v>
      </c>
      <c r="U253" s="54">
        <f t="shared" si="121"/>
        <v>24042794</v>
      </c>
      <c r="V253" s="2" t="s">
        <v>66</v>
      </c>
      <c r="X253" s="13"/>
      <c r="Y253" s="2" t="s">
        <v>7</v>
      </c>
      <c r="Z253" s="2">
        <v>2026</v>
      </c>
      <c r="AA253" s="1">
        <f t="shared" si="122"/>
        <v>26761</v>
      </c>
      <c r="AB253" s="11">
        <f t="shared" si="122"/>
        <v>1902875</v>
      </c>
      <c r="AC253" s="1">
        <f t="shared" si="123"/>
        <v>236932</v>
      </c>
      <c r="AD253" s="11">
        <f t="shared" si="123"/>
        <v>19173606</v>
      </c>
      <c r="AE253" s="8">
        <f t="shared" si="123"/>
        <v>1718</v>
      </c>
      <c r="AF253" s="11">
        <f t="shared" si="123"/>
        <v>242658</v>
      </c>
      <c r="AG253" s="8">
        <f t="shared" si="123"/>
        <v>28932</v>
      </c>
      <c r="AH253" s="11">
        <f t="shared" si="123"/>
        <v>2543643</v>
      </c>
      <c r="AI253" s="8">
        <f t="shared" si="123"/>
        <v>17</v>
      </c>
      <c r="AJ253" s="11">
        <f t="shared" si="123"/>
        <v>2236</v>
      </c>
      <c r="AK253" s="11">
        <f t="shared" si="123"/>
        <v>2660</v>
      </c>
      <c r="AL253" s="11">
        <f t="shared" si="123"/>
        <v>177776</v>
      </c>
      <c r="AM253" s="8">
        <f t="shared" si="128"/>
        <v>297020</v>
      </c>
      <c r="AN253" s="11">
        <f t="shared" si="124"/>
        <v>24042794</v>
      </c>
      <c r="AO253" s="2" t="str">
        <f t="shared" si="125"/>
        <v>LERMA</v>
      </c>
      <c r="AP253" s="37">
        <f t="shared" si="126"/>
        <v>0</v>
      </c>
      <c r="AQ253" s="37">
        <f t="shared" si="126"/>
        <v>0</v>
      </c>
    </row>
    <row r="254" spans="1:43" x14ac:dyDescent="0.25">
      <c r="B254" s="2" t="s">
        <v>8</v>
      </c>
      <c r="C254" s="2">
        <v>2026</v>
      </c>
      <c r="D254" s="1">
        <v>16929</v>
      </c>
      <c r="E254" s="11">
        <v>1165800</v>
      </c>
      <c r="F254" s="1">
        <v>7413</v>
      </c>
      <c r="G254" s="11">
        <v>522283</v>
      </c>
      <c r="H254" s="1">
        <v>3450</v>
      </c>
      <c r="I254" s="11">
        <v>302381</v>
      </c>
      <c r="J254" s="1">
        <v>223223</v>
      </c>
      <c r="K254" s="11">
        <v>18664875</v>
      </c>
      <c r="L254" s="1">
        <v>1795</v>
      </c>
      <c r="M254" s="11">
        <v>269340</v>
      </c>
      <c r="N254" s="1">
        <v>28965</v>
      </c>
      <c r="O254" s="11">
        <v>2665840</v>
      </c>
      <c r="P254" s="8">
        <v>32</v>
      </c>
      <c r="Q254" s="11">
        <v>5616</v>
      </c>
      <c r="R254" s="8">
        <v>2634</v>
      </c>
      <c r="S254" s="11">
        <v>180658</v>
      </c>
      <c r="T254" s="53">
        <f t="shared" si="127"/>
        <v>284441</v>
      </c>
      <c r="U254" s="54">
        <f t="shared" si="121"/>
        <v>23776793</v>
      </c>
      <c r="V254" s="2" t="s">
        <v>66</v>
      </c>
      <c r="X254" s="13"/>
      <c r="Y254" s="2" t="s">
        <v>8</v>
      </c>
      <c r="Z254" s="2">
        <v>2026</v>
      </c>
      <c r="AA254" s="1">
        <f t="shared" si="122"/>
        <v>27792</v>
      </c>
      <c r="AB254" s="11">
        <f t="shared" si="122"/>
        <v>1990464</v>
      </c>
      <c r="AC254" s="1">
        <f t="shared" si="123"/>
        <v>223223</v>
      </c>
      <c r="AD254" s="11">
        <f t="shared" si="123"/>
        <v>18664875</v>
      </c>
      <c r="AE254" s="8">
        <f t="shared" si="123"/>
        <v>1795</v>
      </c>
      <c r="AF254" s="11">
        <f t="shared" si="123"/>
        <v>269340</v>
      </c>
      <c r="AG254" s="8">
        <f t="shared" si="123"/>
        <v>28965</v>
      </c>
      <c r="AH254" s="11">
        <f t="shared" si="123"/>
        <v>2665840</v>
      </c>
      <c r="AI254" s="8">
        <f t="shared" si="123"/>
        <v>32</v>
      </c>
      <c r="AJ254" s="11">
        <f t="shared" si="123"/>
        <v>5616</v>
      </c>
      <c r="AK254" s="11">
        <f t="shared" si="123"/>
        <v>2634</v>
      </c>
      <c r="AL254" s="11">
        <f t="shared" si="123"/>
        <v>180658</v>
      </c>
      <c r="AM254" s="8">
        <f t="shared" si="128"/>
        <v>284441</v>
      </c>
      <c r="AN254" s="11">
        <f t="shared" si="124"/>
        <v>23776793</v>
      </c>
      <c r="AO254" s="2" t="str">
        <f t="shared" si="125"/>
        <v>LERMA</v>
      </c>
      <c r="AP254" s="37">
        <f t="shared" si="126"/>
        <v>0</v>
      </c>
      <c r="AQ254" s="37">
        <f t="shared" si="126"/>
        <v>0</v>
      </c>
    </row>
    <row r="255" spans="1:43" x14ac:dyDescent="0.25">
      <c r="B255" s="2" t="s">
        <v>9</v>
      </c>
      <c r="C255" s="2">
        <v>2026</v>
      </c>
      <c r="D255" s="1">
        <v>18167</v>
      </c>
      <c r="E255" s="11">
        <v>1243192</v>
      </c>
      <c r="F255" s="1">
        <v>7229</v>
      </c>
      <c r="G255" s="11">
        <v>516701</v>
      </c>
      <c r="H255" s="1">
        <v>4391</v>
      </c>
      <c r="I255" s="11">
        <v>402573</v>
      </c>
      <c r="J255" s="1">
        <v>239404</v>
      </c>
      <c r="K255" s="11">
        <v>20151656</v>
      </c>
      <c r="L255" s="1">
        <v>1753</v>
      </c>
      <c r="M255" s="11">
        <v>245980</v>
      </c>
      <c r="N255" s="1">
        <v>29952</v>
      </c>
      <c r="O255" s="11">
        <v>2702685</v>
      </c>
      <c r="P255" s="8">
        <v>39</v>
      </c>
      <c r="Q255" s="11">
        <v>7916</v>
      </c>
      <c r="R255" s="8">
        <v>2858</v>
      </c>
      <c r="S255" s="11">
        <v>191845</v>
      </c>
      <c r="T255" s="53">
        <f t="shared" si="127"/>
        <v>303793</v>
      </c>
      <c r="U255" s="54">
        <f t="shared" si="121"/>
        <v>25462548</v>
      </c>
      <c r="V255" s="2" t="s">
        <v>66</v>
      </c>
      <c r="X255" s="13"/>
      <c r="Y255" s="2" t="s">
        <v>9</v>
      </c>
      <c r="Z255" s="2">
        <v>2026</v>
      </c>
      <c r="AA255" s="1">
        <f t="shared" si="122"/>
        <v>29787</v>
      </c>
      <c r="AB255" s="11">
        <f t="shared" si="122"/>
        <v>2162466</v>
      </c>
      <c r="AC255" s="1">
        <f t="shared" si="123"/>
        <v>239404</v>
      </c>
      <c r="AD255" s="11">
        <f t="shared" si="123"/>
        <v>20151656</v>
      </c>
      <c r="AE255" s="8">
        <f t="shared" si="123"/>
        <v>1753</v>
      </c>
      <c r="AF255" s="11">
        <f t="shared" si="123"/>
        <v>245980</v>
      </c>
      <c r="AG255" s="8">
        <f t="shared" si="123"/>
        <v>29952</v>
      </c>
      <c r="AH255" s="11">
        <f t="shared" si="123"/>
        <v>2702685</v>
      </c>
      <c r="AI255" s="8">
        <f t="shared" si="123"/>
        <v>39</v>
      </c>
      <c r="AJ255" s="11">
        <f t="shared" si="123"/>
        <v>7916</v>
      </c>
      <c r="AK255" s="11">
        <f t="shared" si="123"/>
        <v>2858</v>
      </c>
      <c r="AL255" s="11">
        <f t="shared" si="123"/>
        <v>191845</v>
      </c>
      <c r="AM255" s="8">
        <f t="shared" si="128"/>
        <v>303793</v>
      </c>
      <c r="AN255" s="11">
        <f t="shared" si="124"/>
        <v>25462548</v>
      </c>
      <c r="AO255" s="2" t="str">
        <f t="shared" si="125"/>
        <v>LERMA</v>
      </c>
      <c r="AP255" s="37">
        <f t="shared" si="126"/>
        <v>0</v>
      </c>
      <c r="AQ255" s="37">
        <f t="shared" si="126"/>
        <v>0</v>
      </c>
    </row>
    <row r="256" spans="1:43" x14ac:dyDescent="0.25">
      <c r="B256" s="2" t="s">
        <v>10</v>
      </c>
      <c r="C256" s="2">
        <v>2026</v>
      </c>
      <c r="D256" s="1">
        <v>15672</v>
      </c>
      <c r="E256" s="11">
        <v>1101659</v>
      </c>
      <c r="F256" s="1">
        <v>6180</v>
      </c>
      <c r="G256" s="11">
        <v>449461</v>
      </c>
      <c r="H256" s="1">
        <v>4342</v>
      </c>
      <c r="I256" s="11">
        <v>419820</v>
      </c>
      <c r="J256" s="1">
        <v>217466</v>
      </c>
      <c r="K256" s="11">
        <v>18766652</v>
      </c>
      <c r="L256" s="1">
        <v>1746</v>
      </c>
      <c r="M256" s="11">
        <v>264389</v>
      </c>
      <c r="N256" s="1">
        <v>27417</v>
      </c>
      <c r="O256" s="11">
        <v>2499180</v>
      </c>
      <c r="P256" s="8">
        <v>85</v>
      </c>
      <c r="Q256" s="11">
        <v>12715</v>
      </c>
      <c r="R256" s="8">
        <v>2590</v>
      </c>
      <c r="S256" s="11">
        <v>175486</v>
      </c>
      <c r="T256" s="53">
        <f t="shared" si="127"/>
        <v>275498</v>
      </c>
      <c r="U256" s="54">
        <f t="shared" si="121"/>
        <v>23689362</v>
      </c>
      <c r="V256" s="2" t="s">
        <v>66</v>
      </c>
      <c r="Y256" s="2" t="s">
        <v>10</v>
      </c>
      <c r="Z256" s="2">
        <v>2026</v>
      </c>
      <c r="AA256" s="1">
        <f t="shared" si="122"/>
        <v>26194</v>
      </c>
      <c r="AB256" s="11">
        <f t="shared" si="122"/>
        <v>1970940</v>
      </c>
      <c r="AC256" s="1">
        <f t="shared" si="123"/>
        <v>217466</v>
      </c>
      <c r="AD256" s="11">
        <f t="shared" si="123"/>
        <v>18766652</v>
      </c>
      <c r="AE256" s="8">
        <f t="shared" si="123"/>
        <v>1746</v>
      </c>
      <c r="AF256" s="11">
        <f t="shared" si="123"/>
        <v>264389</v>
      </c>
      <c r="AG256" s="8">
        <f t="shared" si="123"/>
        <v>27417</v>
      </c>
      <c r="AH256" s="11">
        <f t="shared" si="123"/>
        <v>2499180</v>
      </c>
      <c r="AI256" s="8">
        <f t="shared" si="123"/>
        <v>85</v>
      </c>
      <c r="AJ256" s="11">
        <f t="shared" si="123"/>
        <v>12715</v>
      </c>
      <c r="AK256" s="11">
        <f t="shared" si="123"/>
        <v>2590</v>
      </c>
      <c r="AL256" s="11">
        <f t="shared" si="123"/>
        <v>175486</v>
      </c>
      <c r="AM256" s="8">
        <f t="shared" si="128"/>
        <v>275498</v>
      </c>
      <c r="AN256" s="11">
        <f t="shared" si="124"/>
        <v>23689362</v>
      </c>
      <c r="AO256" s="2" t="str">
        <f t="shared" si="125"/>
        <v>LERMA</v>
      </c>
      <c r="AP256" s="37">
        <f t="shared" si="126"/>
        <v>0</v>
      </c>
      <c r="AQ256" s="37">
        <f t="shared" si="126"/>
        <v>0</v>
      </c>
    </row>
    <row r="257" spans="1:43" x14ac:dyDescent="0.25">
      <c r="B257" s="2" t="s">
        <v>11</v>
      </c>
      <c r="C257" s="2">
        <v>2026</v>
      </c>
      <c r="D257" s="1"/>
      <c r="E257" s="11"/>
      <c r="F257" s="1"/>
      <c r="G257" s="11"/>
      <c r="H257" s="1"/>
      <c r="I257" s="11"/>
      <c r="J257" s="1"/>
      <c r="K257" s="11"/>
      <c r="L257" s="1"/>
      <c r="M257" s="11"/>
      <c r="N257" s="1"/>
      <c r="O257" s="11"/>
      <c r="P257" s="8"/>
      <c r="Q257" s="11"/>
      <c r="R257" s="8"/>
      <c r="S257" s="11"/>
      <c r="T257" s="53">
        <f t="shared" si="127"/>
        <v>0</v>
      </c>
      <c r="U257" s="54">
        <f t="shared" si="121"/>
        <v>0</v>
      </c>
      <c r="V257" s="2" t="s">
        <v>66</v>
      </c>
      <c r="Y257" s="2" t="s">
        <v>11</v>
      </c>
      <c r="Z257" s="2">
        <v>2026</v>
      </c>
      <c r="AA257" s="1">
        <f t="shared" si="122"/>
        <v>0</v>
      </c>
      <c r="AB257" s="11">
        <f t="shared" si="122"/>
        <v>0</v>
      </c>
      <c r="AC257" s="1">
        <f t="shared" si="123"/>
        <v>0</v>
      </c>
      <c r="AD257" s="11">
        <f t="shared" si="123"/>
        <v>0</v>
      </c>
      <c r="AE257" s="8">
        <f t="shared" si="123"/>
        <v>0</v>
      </c>
      <c r="AF257" s="11">
        <f t="shared" si="123"/>
        <v>0</v>
      </c>
      <c r="AG257" s="8">
        <f t="shared" si="123"/>
        <v>0</v>
      </c>
      <c r="AH257" s="11">
        <f t="shared" si="123"/>
        <v>0</v>
      </c>
      <c r="AI257" s="8">
        <f t="shared" si="123"/>
        <v>0</v>
      </c>
      <c r="AJ257" s="11">
        <f t="shared" si="123"/>
        <v>0</v>
      </c>
      <c r="AK257" s="11">
        <f t="shared" si="123"/>
        <v>0</v>
      </c>
      <c r="AL257" s="11">
        <f t="shared" si="123"/>
        <v>0</v>
      </c>
      <c r="AM257" s="8">
        <f t="shared" si="128"/>
        <v>0</v>
      </c>
      <c r="AN257" s="11">
        <f t="shared" si="124"/>
        <v>0</v>
      </c>
      <c r="AO257" s="2" t="str">
        <f t="shared" si="125"/>
        <v>LERMA</v>
      </c>
      <c r="AP257" s="37">
        <f t="shared" si="126"/>
        <v>0</v>
      </c>
      <c r="AQ257" s="37">
        <f t="shared" si="126"/>
        <v>0</v>
      </c>
    </row>
    <row r="258" spans="1:43" x14ac:dyDescent="0.25">
      <c r="B258" s="2" t="s">
        <v>4</v>
      </c>
      <c r="C258" s="2">
        <v>2026</v>
      </c>
      <c r="D258" s="1"/>
      <c r="E258" s="11"/>
      <c r="F258" s="1"/>
      <c r="G258" s="11"/>
      <c r="H258" s="1"/>
      <c r="I258" s="11"/>
      <c r="J258" s="1"/>
      <c r="K258" s="11"/>
      <c r="L258" s="1"/>
      <c r="M258" s="11"/>
      <c r="N258" s="1"/>
      <c r="O258" s="11"/>
      <c r="P258" s="8"/>
      <c r="Q258" s="11"/>
      <c r="R258" s="8"/>
      <c r="S258" s="11"/>
      <c r="T258" s="53">
        <f t="shared" si="127"/>
        <v>0</v>
      </c>
      <c r="U258" s="54">
        <f t="shared" si="121"/>
        <v>0</v>
      </c>
      <c r="V258" s="2" t="s">
        <v>66</v>
      </c>
      <c r="Y258" s="2" t="s">
        <v>4</v>
      </c>
      <c r="Z258" s="2">
        <v>2026</v>
      </c>
      <c r="AA258" s="1">
        <f t="shared" si="122"/>
        <v>0</v>
      </c>
      <c r="AB258" s="11">
        <f t="shared" si="122"/>
        <v>0</v>
      </c>
      <c r="AC258" s="1">
        <f t="shared" si="123"/>
        <v>0</v>
      </c>
      <c r="AD258" s="11">
        <f t="shared" si="123"/>
        <v>0</v>
      </c>
      <c r="AE258" s="8">
        <f t="shared" si="123"/>
        <v>0</v>
      </c>
      <c r="AF258" s="11">
        <f t="shared" si="123"/>
        <v>0</v>
      </c>
      <c r="AG258" s="8">
        <f t="shared" si="123"/>
        <v>0</v>
      </c>
      <c r="AH258" s="11">
        <f t="shared" si="123"/>
        <v>0</v>
      </c>
      <c r="AI258" s="8">
        <f t="shared" si="123"/>
        <v>0</v>
      </c>
      <c r="AJ258" s="11">
        <f t="shared" si="123"/>
        <v>0</v>
      </c>
      <c r="AK258" s="11">
        <f t="shared" si="123"/>
        <v>0</v>
      </c>
      <c r="AL258" s="11">
        <f t="shared" si="123"/>
        <v>0</v>
      </c>
      <c r="AM258" s="27">
        <f t="shared" si="128"/>
        <v>0</v>
      </c>
      <c r="AN258" s="14">
        <f t="shared" si="124"/>
        <v>0</v>
      </c>
      <c r="AO258" s="2" t="str">
        <f t="shared" si="125"/>
        <v>LERMA</v>
      </c>
      <c r="AP258" s="37">
        <f t="shared" si="126"/>
        <v>0</v>
      </c>
      <c r="AQ258" s="37">
        <f t="shared" si="126"/>
        <v>0</v>
      </c>
    </row>
    <row r="259" spans="1:43" x14ac:dyDescent="0.25">
      <c r="B259" s="2" t="s">
        <v>28</v>
      </c>
      <c r="C259" s="2">
        <v>2026</v>
      </c>
      <c r="D259" s="1"/>
      <c r="E259" s="11"/>
      <c r="F259" s="1"/>
      <c r="G259" s="11"/>
      <c r="H259" s="1"/>
      <c r="I259" s="11"/>
      <c r="J259" s="1"/>
      <c r="K259" s="11"/>
      <c r="L259" s="1"/>
      <c r="M259" s="11"/>
      <c r="N259" s="1"/>
      <c r="O259" s="11"/>
      <c r="P259" s="8"/>
      <c r="Q259" s="11"/>
      <c r="R259" s="8"/>
      <c r="S259" s="11"/>
      <c r="T259" s="53">
        <f t="shared" si="127"/>
        <v>0</v>
      </c>
      <c r="U259" s="54">
        <f t="shared" si="121"/>
        <v>0</v>
      </c>
      <c r="V259" s="2" t="s">
        <v>66</v>
      </c>
      <c r="Y259" s="2" t="s">
        <v>28</v>
      </c>
      <c r="Z259" s="2">
        <v>2026</v>
      </c>
      <c r="AA259" s="1">
        <f t="shared" si="122"/>
        <v>0</v>
      </c>
      <c r="AB259" s="11">
        <f t="shared" si="122"/>
        <v>0</v>
      </c>
      <c r="AC259" s="1">
        <f t="shared" si="123"/>
        <v>0</v>
      </c>
      <c r="AD259" s="11">
        <f t="shared" si="123"/>
        <v>0</v>
      </c>
      <c r="AE259" s="8">
        <f t="shared" si="123"/>
        <v>0</v>
      </c>
      <c r="AF259" s="11">
        <f t="shared" si="123"/>
        <v>0</v>
      </c>
      <c r="AG259" s="8">
        <f t="shared" si="123"/>
        <v>0</v>
      </c>
      <c r="AH259" s="11">
        <f t="shared" si="123"/>
        <v>0</v>
      </c>
      <c r="AI259" s="8">
        <f t="shared" si="123"/>
        <v>0</v>
      </c>
      <c r="AJ259" s="11">
        <f t="shared" si="123"/>
        <v>0</v>
      </c>
      <c r="AK259" s="11">
        <f t="shared" si="123"/>
        <v>0</v>
      </c>
      <c r="AL259" s="11">
        <f t="shared" si="123"/>
        <v>0</v>
      </c>
      <c r="AM259" s="8">
        <f t="shared" si="128"/>
        <v>0</v>
      </c>
      <c r="AN259" s="11">
        <f t="shared" si="124"/>
        <v>0</v>
      </c>
      <c r="AO259" s="2" t="str">
        <f t="shared" si="125"/>
        <v>LERMA</v>
      </c>
      <c r="AP259" s="37">
        <f t="shared" si="126"/>
        <v>0</v>
      </c>
      <c r="AQ259" s="37">
        <f t="shared" si="126"/>
        <v>0</v>
      </c>
    </row>
    <row r="260" spans="1:43" x14ac:dyDescent="0.25">
      <c r="B260" s="2" t="s">
        <v>29</v>
      </c>
      <c r="C260" s="2">
        <v>2026</v>
      </c>
      <c r="D260" s="1"/>
      <c r="E260" s="11"/>
      <c r="F260" s="1"/>
      <c r="G260" s="11"/>
      <c r="H260" s="1"/>
      <c r="I260" s="11"/>
      <c r="J260" s="1"/>
      <c r="K260" s="11"/>
      <c r="L260" s="1"/>
      <c r="M260" s="11"/>
      <c r="N260" s="1"/>
      <c r="O260" s="11"/>
      <c r="P260" s="8"/>
      <c r="Q260" s="11"/>
      <c r="R260" s="8"/>
      <c r="S260" s="11"/>
      <c r="T260" s="53">
        <f t="shared" si="127"/>
        <v>0</v>
      </c>
      <c r="U260" s="54">
        <f t="shared" si="121"/>
        <v>0</v>
      </c>
      <c r="V260" s="2" t="s">
        <v>66</v>
      </c>
      <c r="Y260" s="2" t="s">
        <v>29</v>
      </c>
      <c r="Z260" s="2">
        <v>2026</v>
      </c>
      <c r="AA260" s="1">
        <f t="shared" si="122"/>
        <v>0</v>
      </c>
      <c r="AB260" s="11">
        <f t="shared" si="122"/>
        <v>0</v>
      </c>
      <c r="AC260" s="1">
        <f t="shared" si="123"/>
        <v>0</v>
      </c>
      <c r="AD260" s="11">
        <f t="shared" si="123"/>
        <v>0</v>
      </c>
      <c r="AE260" s="8">
        <f t="shared" si="123"/>
        <v>0</v>
      </c>
      <c r="AF260" s="11">
        <f t="shared" si="123"/>
        <v>0</v>
      </c>
      <c r="AG260" s="8">
        <f t="shared" si="123"/>
        <v>0</v>
      </c>
      <c r="AH260" s="11">
        <f t="shared" si="123"/>
        <v>0</v>
      </c>
      <c r="AI260" s="8">
        <f t="shared" si="123"/>
        <v>0</v>
      </c>
      <c r="AJ260" s="11">
        <f t="shared" si="123"/>
        <v>0</v>
      </c>
      <c r="AK260" s="11">
        <f t="shared" si="123"/>
        <v>0</v>
      </c>
      <c r="AL260" s="11">
        <f t="shared" si="123"/>
        <v>0</v>
      </c>
      <c r="AM260" s="8">
        <f t="shared" si="128"/>
        <v>0</v>
      </c>
      <c r="AN260" s="11">
        <f t="shared" si="124"/>
        <v>0</v>
      </c>
      <c r="AO260" s="2" t="str">
        <f t="shared" si="125"/>
        <v>LERMA</v>
      </c>
      <c r="AP260" s="37">
        <f t="shared" si="126"/>
        <v>0</v>
      </c>
      <c r="AQ260" s="37">
        <f t="shared" si="126"/>
        <v>0</v>
      </c>
    </row>
    <row r="261" spans="1:43" x14ac:dyDescent="0.25">
      <c r="B261" s="2" t="s">
        <v>30</v>
      </c>
      <c r="C261" s="2">
        <v>2026</v>
      </c>
      <c r="D261" s="1"/>
      <c r="E261" s="11"/>
      <c r="F261" s="1"/>
      <c r="G261" s="11"/>
      <c r="H261" s="1"/>
      <c r="I261" s="11"/>
      <c r="J261" s="1"/>
      <c r="K261" s="11"/>
      <c r="L261" s="1"/>
      <c r="M261" s="11"/>
      <c r="N261" s="1"/>
      <c r="O261" s="11"/>
      <c r="P261" s="8"/>
      <c r="Q261" s="11"/>
      <c r="R261" s="8"/>
      <c r="S261" s="11"/>
      <c r="T261" s="53">
        <f t="shared" si="127"/>
        <v>0</v>
      </c>
      <c r="U261" s="54">
        <f t="shared" si="121"/>
        <v>0</v>
      </c>
      <c r="V261" s="2" t="s">
        <v>66</v>
      </c>
      <c r="Y261" s="2" t="s">
        <v>30</v>
      </c>
      <c r="Z261" s="2">
        <v>2026</v>
      </c>
      <c r="AA261" s="1">
        <f t="shared" si="122"/>
        <v>0</v>
      </c>
      <c r="AB261" s="11">
        <f t="shared" si="122"/>
        <v>0</v>
      </c>
      <c r="AC261" s="1">
        <f t="shared" si="123"/>
        <v>0</v>
      </c>
      <c r="AD261" s="11">
        <f t="shared" si="123"/>
        <v>0</v>
      </c>
      <c r="AE261" s="8">
        <f t="shared" si="123"/>
        <v>0</v>
      </c>
      <c r="AF261" s="11">
        <f t="shared" si="123"/>
        <v>0</v>
      </c>
      <c r="AG261" s="8">
        <f t="shared" si="123"/>
        <v>0</v>
      </c>
      <c r="AH261" s="11">
        <f t="shared" si="123"/>
        <v>0</v>
      </c>
      <c r="AI261" s="8">
        <f t="shared" si="123"/>
        <v>0</v>
      </c>
      <c r="AJ261" s="11">
        <f t="shared" si="123"/>
        <v>0</v>
      </c>
      <c r="AK261" s="11">
        <f t="shared" si="123"/>
        <v>0</v>
      </c>
      <c r="AL261" s="11">
        <f t="shared" si="123"/>
        <v>0</v>
      </c>
      <c r="AM261" s="79">
        <f t="shared" si="128"/>
        <v>0</v>
      </c>
      <c r="AN261" s="80">
        <f t="shared" si="124"/>
        <v>0</v>
      </c>
      <c r="AO261" s="2" t="str">
        <f t="shared" si="125"/>
        <v>LERMA</v>
      </c>
      <c r="AP261" s="37">
        <f t="shared" si="126"/>
        <v>0</v>
      </c>
      <c r="AQ261" s="37">
        <f t="shared" si="126"/>
        <v>0</v>
      </c>
    </row>
    <row r="262" spans="1:43" x14ac:dyDescent="0.25">
      <c r="B262" s="2" t="s">
        <v>31</v>
      </c>
      <c r="C262" s="2">
        <v>2026</v>
      </c>
      <c r="D262" s="1"/>
      <c r="E262" s="11"/>
      <c r="F262" s="1"/>
      <c r="G262" s="11"/>
      <c r="H262" s="1"/>
      <c r="I262" s="11"/>
      <c r="J262" s="1"/>
      <c r="K262" s="11"/>
      <c r="L262" s="1"/>
      <c r="M262" s="11"/>
      <c r="N262" s="1"/>
      <c r="O262" s="11"/>
      <c r="P262" s="8"/>
      <c r="Q262" s="11"/>
      <c r="R262" s="8"/>
      <c r="S262" s="11"/>
      <c r="T262" s="53">
        <f t="shared" si="127"/>
        <v>0</v>
      </c>
      <c r="U262" s="54">
        <f t="shared" si="121"/>
        <v>0</v>
      </c>
      <c r="V262" s="2" t="s">
        <v>66</v>
      </c>
      <c r="W262" s="13"/>
      <c r="Y262" s="2" t="s">
        <v>31</v>
      </c>
      <c r="Z262" s="2">
        <v>2026</v>
      </c>
      <c r="AA262" s="1">
        <f t="shared" si="122"/>
        <v>0</v>
      </c>
      <c r="AB262" s="11">
        <f t="shared" si="122"/>
        <v>0</v>
      </c>
      <c r="AC262" s="1">
        <f t="shared" si="123"/>
        <v>0</v>
      </c>
      <c r="AD262" s="11">
        <f t="shared" si="123"/>
        <v>0</v>
      </c>
      <c r="AE262" s="8">
        <f t="shared" si="123"/>
        <v>0</v>
      </c>
      <c r="AF262" s="11">
        <f t="shared" si="123"/>
        <v>0</v>
      </c>
      <c r="AG262" s="8">
        <f t="shared" si="123"/>
        <v>0</v>
      </c>
      <c r="AH262" s="11">
        <f t="shared" si="123"/>
        <v>0</v>
      </c>
      <c r="AI262" s="8">
        <f t="shared" si="123"/>
        <v>0</v>
      </c>
      <c r="AJ262" s="11">
        <f t="shared" si="123"/>
        <v>0</v>
      </c>
      <c r="AK262" s="11">
        <f t="shared" si="123"/>
        <v>0</v>
      </c>
      <c r="AL262" s="11">
        <f t="shared" si="123"/>
        <v>0</v>
      </c>
      <c r="AM262" s="8">
        <f t="shared" si="128"/>
        <v>0</v>
      </c>
      <c r="AN262" s="11">
        <f t="shared" si="124"/>
        <v>0</v>
      </c>
      <c r="AO262" s="2" t="str">
        <f t="shared" si="125"/>
        <v>LERMA</v>
      </c>
      <c r="AP262" s="37">
        <f t="shared" si="126"/>
        <v>0</v>
      </c>
      <c r="AQ262" s="37">
        <f t="shared" si="126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129">SUM(D251:D263)</f>
        <v>97725</v>
      </c>
      <c r="E264" s="12">
        <f t="shared" si="129"/>
        <v>6648164</v>
      </c>
      <c r="F264" s="4">
        <f t="shared" si="129"/>
        <v>42018</v>
      </c>
      <c r="G264" s="12">
        <f t="shared" si="129"/>
        <v>2975988</v>
      </c>
      <c r="H264" s="4">
        <f t="shared" si="129"/>
        <v>22216</v>
      </c>
      <c r="I264" s="12">
        <f t="shared" si="129"/>
        <v>1958335</v>
      </c>
      <c r="J264" s="4">
        <f t="shared" si="129"/>
        <v>1334107</v>
      </c>
      <c r="K264" s="12">
        <f t="shared" si="129"/>
        <v>110215913</v>
      </c>
      <c r="L264" s="4">
        <f t="shared" si="129"/>
        <v>10329</v>
      </c>
      <c r="M264" s="12">
        <f t="shared" si="129"/>
        <v>1474157</v>
      </c>
      <c r="N264" s="4">
        <f t="shared" si="129"/>
        <v>168672</v>
      </c>
      <c r="O264" s="12">
        <f t="shared" si="129"/>
        <v>14992772</v>
      </c>
      <c r="P264" s="4">
        <f>SUM(P251:P263)</f>
        <v>197</v>
      </c>
      <c r="Q264" s="12">
        <f>SUM(Q251:Q263)</f>
        <v>32045</v>
      </c>
      <c r="R264" s="4">
        <f>SUM(R251:R263)</f>
        <v>15638</v>
      </c>
      <c r="S264" s="12">
        <f>SUM(S251:S263)</f>
        <v>1041553</v>
      </c>
      <c r="T264" s="4">
        <f t="shared" ref="T264:U264" si="130">SUM(T251:T263)</f>
        <v>1690902</v>
      </c>
      <c r="U264" s="12">
        <f t="shared" si="130"/>
        <v>139338927</v>
      </c>
      <c r="Y264" s="3" t="s">
        <v>12</v>
      </c>
      <c r="Z264" s="3"/>
      <c r="AA264" s="4">
        <f t="shared" ref="AA264:AN264" si="131">SUM(AA251:AA263)</f>
        <v>161959</v>
      </c>
      <c r="AB264" s="12">
        <f t="shared" si="131"/>
        <v>11582487</v>
      </c>
      <c r="AC264" s="4">
        <f t="shared" si="131"/>
        <v>1334107</v>
      </c>
      <c r="AD264" s="12">
        <f t="shared" si="131"/>
        <v>110215913</v>
      </c>
      <c r="AE264" s="4">
        <f t="shared" si="131"/>
        <v>10329</v>
      </c>
      <c r="AF264" s="12">
        <f t="shared" si="131"/>
        <v>1474157</v>
      </c>
      <c r="AG264" s="4">
        <f t="shared" si="131"/>
        <v>168672</v>
      </c>
      <c r="AH264" s="12">
        <f t="shared" si="131"/>
        <v>14992772</v>
      </c>
      <c r="AI264" s="4">
        <f t="shared" si="131"/>
        <v>197</v>
      </c>
      <c r="AJ264" s="12">
        <f t="shared" si="131"/>
        <v>32045</v>
      </c>
      <c r="AK264" s="4">
        <f t="shared" si="131"/>
        <v>15638</v>
      </c>
      <c r="AL264" s="12">
        <f t="shared" si="131"/>
        <v>1041553</v>
      </c>
      <c r="AM264" s="4">
        <f t="shared" si="131"/>
        <v>1690902</v>
      </c>
      <c r="AN264" s="12">
        <f t="shared" si="131"/>
        <v>139338927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1658.5</v>
      </c>
      <c r="M265" s="60">
        <f>AVERAGE(M251:M252)</f>
        <v>225895</v>
      </c>
      <c r="T265" s="15">
        <f t="shared" ref="T265:U265" si="132">AVERAGE(T251:T252)</f>
        <v>265075</v>
      </c>
      <c r="U265" s="28">
        <f t="shared" si="132"/>
        <v>21183715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1.0970076198539527E-2</v>
      </c>
      <c r="M266" s="36">
        <f>+M265/$M$371</f>
        <v>8.1281376418939812E-3</v>
      </c>
      <c r="N266" s="18"/>
      <c r="O266" s="19"/>
      <c r="P266" s="19"/>
      <c r="Q266" s="19"/>
      <c r="R266" s="19"/>
      <c r="S266" s="19"/>
      <c r="T266" s="36">
        <f>+L265/T265</f>
        <v>6.2567197962840708E-3</v>
      </c>
      <c r="U266" s="62">
        <f>+M265/U265</f>
        <v>1.066361589551219E-2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0"/>
      <c r="F269" s="89" t="s">
        <v>71</v>
      </c>
      <c r="G269" s="90"/>
      <c r="H269" s="89" t="s">
        <v>16</v>
      </c>
      <c r="I269" s="90"/>
      <c r="J269" s="89" t="s">
        <v>17</v>
      </c>
      <c r="K269" s="93"/>
      <c r="L269" s="89" t="s">
        <v>18</v>
      </c>
      <c r="M269" s="93"/>
      <c r="N269" s="89" t="s">
        <v>13</v>
      </c>
      <c r="O269" s="93"/>
      <c r="P269" s="89" t="s">
        <v>34</v>
      </c>
      <c r="Q269" s="93"/>
      <c r="R269" s="89" t="s">
        <v>87</v>
      </c>
      <c r="S269" s="93"/>
      <c r="T269" s="89" t="s">
        <v>12</v>
      </c>
      <c r="U269" s="93"/>
      <c r="AA269" s="89" t="s">
        <v>69</v>
      </c>
      <c r="AB269" s="90"/>
      <c r="AC269" s="89" t="s">
        <v>17</v>
      </c>
      <c r="AD269" s="93"/>
      <c r="AE269" s="89" t="s">
        <v>18</v>
      </c>
      <c r="AF269" s="93"/>
      <c r="AG269" s="89" t="s">
        <v>13</v>
      </c>
      <c r="AH269" s="93"/>
      <c r="AI269" s="89" t="s">
        <v>34</v>
      </c>
      <c r="AJ269" s="93"/>
      <c r="AK269" s="89" t="s">
        <v>87</v>
      </c>
      <c r="AL269" s="93"/>
      <c r="AM269" s="89" t="s">
        <v>12</v>
      </c>
      <c r="AN269" s="93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2026</v>
      </c>
      <c r="D272" s="1">
        <v>2269</v>
      </c>
      <c r="E272" s="11">
        <v>195438</v>
      </c>
      <c r="F272" s="1">
        <v>976</v>
      </c>
      <c r="G272" s="11">
        <v>74007</v>
      </c>
      <c r="H272" s="1">
        <v>741</v>
      </c>
      <c r="I272" s="11">
        <v>39175</v>
      </c>
      <c r="J272" s="1">
        <v>40918</v>
      </c>
      <c r="K272" s="11">
        <v>4090022</v>
      </c>
      <c r="L272" s="1">
        <v>565</v>
      </c>
      <c r="M272" s="11">
        <v>53872</v>
      </c>
      <c r="N272" s="1">
        <v>1047</v>
      </c>
      <c r="O272" s="11">
        <v>114996</v>
      </c>
      <c r="P272" s="8">
        <v>31</v>
      </c>
      <c r="Q272" s="11">
        <v>3481</v>
      </c>
      <c r="R272" s="8">
        <v>186</v>
      </c>
      <c r="S272" s="11">
        <v>15908</v>
      </c>
      <c r="T272" s="53">
        <f t="shared" ref="T272:U283" si="133">N272+L272+J272+H272+D272+P272+F272+R272</f>
        <v>46733</v>
      </c>
      <c r="U272" s="54">
        <f t="shared" si="133"/>
        <v>4586899</v>
      </c>
      <c r="V272" s="2" t="s">
        <v>68</v>
      </c>
      <c r="Y272" s="2" t="s">
        <v>5</v>
      </c>
      <c r="Z272" s="2">
        <v>2026</v>
      </c>
      <c r="AA272" s="1">
        <f t="shared" ref="AA272:AB283" si="134">D272+H272+F272</f>
        <v>3986</v>
      </c>
      <c r="AB272" s="11">
        <f t="shared" si="134"/>
        <v>308620</v>
      </c>
      <c r="AC272" s="1">
        <f t="shared" ref="AC272:AL283" si="135">+J272</f>
        <v>40918</v>
      </c>
      <c r="AD272" s="11">
        <f t="shared" si="135"/>
        <v>4090022</v>
      </c>
      <c r="AE272" s="8">
        <f t="shared" si="135"/>
        <v>565</v>
      </c>
      <c r="AF272" s="11">
        <f t="shared" si="135"/>
        <v>53872</v>
      </c>
      <c r="AG272" s="8">
        <f t="shared" si="135"/>
        <v>1047</v>
      </c>
      <c r="AH272" s="11">
        <f t="shared" si="135"/>
        <v>114996</v>
      </c>
      <c r="AI272" s="8">
        <f t="shared" si="135"/>
        <v>31</v>
      </c>
      <c r="AJ272" s="11">
        <f t="shared" si="135"/>
        <v>3481</v>
      </c>
      <c r="AK272" s="11">
        <f t="shared" si="135"/>
        <v>186</v>
      </c>
      <c r="AL272" s="11">
        <f t="shared" si="135"/>
        <v>15908</v>
      </c>
      <c r="AM272" s="8">
        <f>AI272+AG272+AE272+AC272+AA272+AK272</f>
        <v>46733</v>
      </c>
      <c r="AN272" s="11">
        <f t="shared" ref="AN272:AN283" si="136">AJ272+AH272+AF272+AD272+AB272+AL272</f>
        <v>4586899</v>
      </c>
      <c r="AO272" s="2" t="str">
        <f t="shared" ref="AO272:AO283" si="137">+V272</f>
        <v>IRAPUATO</v>
      </c>
      <c r="AP272" s="37">
        <f t="shared" ref="AP272:AQ283" si="138">+AM272-T272</f>
        <v>0</v>
      </c>
      <c r="AQ272" s="37">
        <f t="shared" si="138"/>
        <v>0</v>
      </c>
    </row>
    <row r="273" spans="1:43" x14ac:dyDescent="0.25">
      <c r="B273" s="2" t="s">
        <v>6</v>
      </c>
      <c r="C273" s="2">
        <v>2026</v>
      </c>
      <c r="D273" s="1">
        <v>1688</v>
      </c>
      <c r="E273" s="11">
        <v>145512</v>
      </c>
      <c r="F273" s="1">
        <v>705</v>
      </c>
      <c r="G273" s="11">
        <v>70002</v>
      </c>
      <c r="H273" s="1">
        <v>562</v>
      </c>
      <c r="I273" s="11">
        <v>43708</v>
      </c>
      <c r="J273" s="1">
        <v>36109</v>
      </c>
      <c r="K273" s="11">
        <v>3652228</v>
      </c>
      <c r="L273" s="1">
        <v>708</v>
      </c>
      <c r="M273" s="11">
        <v>73213</v>
      </c>
      <c r="N273" s="1">
        <v>865</v>
      </c>
      <c r="O273" s="11">
        <v>95697</v>
      </c>
      <c r="P273" s="8">
        <v>41</v>
      </c>
      <c r="Q273" s="11">
        <v>5054</v>
      </c>
      <c r="R273" s="8">
        <v>219</v>
      </c>
      <c r="S273" s="11">
        <v>18763</v>
      </c>
      <c r="T273" s="53">
        <f t="shared" si="133"/>
        <v>40897</v>
      </c>
      <c r="U273" s="54">
        <f t="shared" si="133"/>
        <v>4104177</v>
      </c>
      <c r="V273" s="2" t="s">
        <v>68</v>
      </c>
      <c r="Y273" s="2" t="s">
        <v>6</v>
      </c>
      <c r="Z273" s="2">
        <v>2026</v>
      </c>
      <c r="AA273" s="1">
        <f t="shared" si="134"/>
        <v>2955</v>
      </c>
      <c r="AB273" s="11">
        <f t="shared" si="134"/>
        <v>259222</v>
      </c>
      <c r="AC273" s="1">
        <f t="shared" si="135"/>
        <v>36109</v>
      </c>
      <c r="AD273" s="11">
        <f t="shared" si="135"/>
        <v>3652228</v>
      </c>
      <c r="AE273" s="8">
        <f t="shared" si="135"/>
        <v>708</v>
      </c>
      <c r="AF273" s="11">
        <f t="shared" si="135"/>
        <v>73213</v>
      </c>
      <c r="AG273" s="8">
        <f t="shared" si="135"/>
        <v>865</v>
      </c>
      <c r="AH273" s="11">
        <f t="shared" si="135"/>
        <v>95697</v>
      </c>
      <c r="AI273" s="8">
        <f t="shared" si="135"/>
        <v>41</v>
      </c>
      <c r="AJ273" s="11">
        <f t="shared" si="135"/>
        <v>5054</v>
      </c>
      <c r="AK273" s="11">
        <f t="shared" si="135"/>
        <v>219</v>
      </c>
      <c r="AL273" s="11">
        <f t="shared" si="135"/>
        <v>18763</v>
      </c>
      <c r="AM273" s="8">
        <f t="shared" ref="AM273:AM283" si="139">AI273+AG273+AE273+AC273+AA273+AK273</f>
        <v>40897</v>
      </c>
      <c r="AN273" s="11">
        <f t="shared" si="136"/>
        <v>4104177</v>
      </c>
      <c r="AO273" s="2" t="str">
        <f t="shared" si="137"/>
        <v>IRAPUATO</v>
      </c>
      <c r="AP273" s="37">
        <f t="shared" si="138"/>
        <v>0</v>
      </c>
      <c r="AQ273" s="37">
        <f t="shared" si="138"/>
        <v>0</v>
      </c>
    </row>
    <row r="274" spans="1:43" x14ac:dyDescent="0.25">
      <c r="B274" s="2" t="s">
        <v>7</v>
      </c>
      <c r="C274" s="2">
        <v>2026</v>
      </c>
      <c r="D274" s="1">
        <v>1766</v>
      </c>
      <c r="E274" s="11">
        <v>157258</v>
      </c>
      <c r="F274" s="1">
        <v>761</v>
      </c>
      <c r="G274" s="11">
        <v>74638</v>
      </c>
      <c r="H274" s="1">
        <v>673</v>
      </c>
      <c r="I274" s="11">
        <v>52059</v>
      </c>
      <c r="J274" s="1">
        <v>40706</v>
      </c>
      <c r="K274" s="11">
        <v>4080476</v>
      </c>
      <c r="L274" s="1">
        <v>757</v>
      </c>
      <c r="M274" s="11">
        <v>77531</v>
      </c>
      <c r="N274" s="1">
        <v>992</v>
      </c>
      <c r="O274" s="11">
        <v>105488</v>
      </c>
      <c r="P274" s="8">
        <v>18</v>
      </c>
      <c r="Q274" s="11">
        <v>1914</v>
      </c>
      <c r="R274" s="8">
        <v>302</v>
      </c>
      <c r="S274" s="11">
        <v>27723</v>
      </c>
      <c r="T274" s="53">
        <f t="shared" si="133"/>
        <v>45975</v>
      </c>
      <c r="U274" s="54">
        <f t="shared" si="133"/>
        <v>4577087</v>
      </c>
      <c r="V274" s="2" t="s">
        <v>68</v>
      </c>
      <c r="X274" s="13"/>
      <c r="Y274" s="2" t="s">
        <v>7</v>
      </c>
      <c r="Z274" s="2">
        <v>2026</v>
      </c>
      <c r="AA274" s="1">
        <f t="shared" si="134"/>
        <v>3200</v>
      </c>
      <c r="AB274" s="11">
        <f t="shared" si="134"/>
        <v>283955</v>
      </c>
      <c r="AC274" s="1">
        <f t="shared" si="135"/>
        <v>40706</v>
      </c>
      <c r="AD274" s="11">
        <f t="shared" si="135"/>
        <v>4080476</v>
      </c>
      <c r="AE274" s="8">
        <f t="shared" si="135"/>
        <v>757</v>
      </c>
      <c r="AF274" s="11">
        <f t="shared" si="135"/>
        <v>77531</v>
      </c>
      <c r="AG274" s="8">
        <f t="shared" si="135"/>
        <v>992</v>
      </c>
      <c r="AH274" s="11">
        <f t="shared" si="135"/>
        <v>105488</v>
      </c>
      <c r="AI274" s="8">
        <f t="shared" si="135"/>
        <v>18</v>
      </c>
      <c r="AJ274" s="11">
        <f t="shared" si="135"/>
        <v>1914</v>
      </c>
      <c r="AK274" s="11">
        <f t="shared" si="135"/>
        <v>302</v>
      </c>
      <c r="AL274" s="11">
        <f t="shared" si="135"/>
        <v>27723</v>
      </c>
      <c r="AM274" s="8">
        <f t="shared" si="139"/>
        <v>45975</v>
      </c>
      <c r="AN274" s="11">
        <f t="shared" si="136"/>
        <v>4577087</v>
      </c>
      <c r="AO274" s="2" t="str">
        <f t="shared" si="137"/>
        <v>IRAPUATO</v>
      </c>
      <c r="AP274" s="37">
        <f t="shared" si="138"/>
        <v>0</v>
      </c>
      <c r="AQ274" s="37">
        <f t="shared" si="138"/>
        <v>0</v>
      </c>
    </row>
    <row r="275" spans="1:43" x14ac:dyDescent="0.25">
      <c r="B275" s="2" t="s">
        <v>8</v>
      </c>
      <c r="C275" s="2">
        <v>2026</v>
      </c>
      <c r="D275" s="1">
        <v>1943</v>
      </c>
      <c r="E275" s="11">
        <v>192225</v>
      </c>
      <c r="F275" s="1">
        <v>708</v>
      </c>
      <c r="G275" s="11">
        <v>72774</v>
      </c>
      <c r="H275" s="1">
        <v>564</v>
      </c>
      <c r="I275" s="11">
        <v>49096</v>
      </c>
      <c r="J275" s="1">
        <v>36906</v>
      </c>
      <c r="K275" s="11">
        <v>3781262</v>
      </c>
      <c r="L275" s="1">
        <v>661</v>
      </c>
      <c r="M275" s="11">
        <v>72648</v>
      </c>
      <c r="N275" s="1">
        <v>887</v>
      </c>
      <c r="O275" s="11">
        <v>105272</v>
      </c>
      <c r="P275" s="8">
        <v>20</v>
      </c>
      <c r="Q275" s="11">
        <v>1711</v>
      </c>
      <c r="R275" s="8">
        <v>226</v>
      </c>
      <c r="S275" s="11">
        <v>19698</v>
      </c>
      <c r="T275" s="53">
        <f t="shared" si="133"/>
        <v>41915</v>
      </c>
      <c r="U275" s="54">
        <f t="shared" si="133"/>
        <v>4294686</v>
      </c>
      <c r="V275" s="2" t="s">
        <v>68</v>
      </c>
      <c r="X275" s="13"/>
      <c r="Y275" s="2" t="s">
        <v>8</v>
      </c>
      <c r="Z275" s="2">
        <v>2026</v>
      </c>
      <c r="AA275" s="1">
        <f t="shared" si="134"/>
        <v>3215</v>
      </c>
      <c r="AB275" s="11">
        <f t="shared" si="134"/>
        <v>314095</v>
      </c>
      <c r="AC275" s="1">
        <f t="shared" si="135"/>
        <v>36906</v>
      </c>
      <c r="AD275" s="11">
        <f t="shared" si="135"/>
        <v>3781262</v>
      </c>
      <c r="AE275" s="8">
        <f t="shared" si="135"/>
        <v>661</v>
      </c>
      <c r="AF275" s="11">
        <f t="shared" si="135"/>
        <v>72648</v>
      </c>
      <c r="AG275" s="8">
        <f t="shared" si="135"/>
        <v>887</v>
      </c>
      <c r="AH275" s="11">
        <f t="shared" si="135"/>
        <v>105272</v>
      </c>
      <c r="AI275" s="8">
        <f t="shared" si="135"/>
        <v>20</v>
      </c>
      <c r="AJ275" s="11">
        <f t="shared" si="135"/>
        <v>1711</v>
      </c>
      <c r="AK275" s="11">
        <f t="shared" si="135"/>
        <v>226</v>
      </c>
      <c r="AL275" s="11">
        <f t="shared" si="135"/>
        <v>19698</v>
      </c>
      <c r="AM275" s="8">
        <f t="shared" si="139"/>
        <v>41915</v>
      </c>
      <c r="AN275" s="11">
        <f t="shared" si="136"/>
        <v>4294686</v>
      </c>
      <c r="AO275" s="2" t="str">
        <f t="shared" si="137"/>
        <v>IRAPUATO</v>
      </c>
      <c r="AP275" s="37">
        <f t="shared" si="138"/>
        <v>0</v>
      </c>
      <c r="AQ275" s="37">
        <f t="shared" si="138"/>
        <v>0</v>
      </c>
    </row>
    <row r="276" spans="1:43" x14ac:dyDescent="0.25">
      <c r="B276" s="2" t="s">
        <v>9</v>
      </c>
      <c r="C276" s="2">
        <v>2026</v>
      </c>
      <c r="D276" s="1">
        <v>1782</v>
      </c>
      <c r="E276" s="11">
        <v>177079</v>
      </c>
      <c r="F276" s="1">
        <v>663</v>
      </c>
      <c r="G276" s="11">
        <v>69321</v>
      </c>
      <c r="H276" s="1">
        <v>584</v>
      </c>
      <c r="I276" s="11">
        <v>52172</v>
      </c>
      <c r="J276" s="1">
        <v>35467</v>
      </c>
      <c r="K276" s="11">
        <v>3810587</v>
      </c>
      <c r="L276" s="1">
        <v>634</v>
      </c>
      <c r="M276" s="11">
        <v>67639</v>
      </c>
      <c r="N276" s="1">
        <v>991</v>
      </c>
      <c r="O276" s="11">
        <v>124900</v>
      </c>
      <c r="P276" s="8">
        <v>36</v>
      </c>
      <c r="Q276" s="11">
        <v>2781</v>
      </c>
      <c r="R276" s="8">
        <v>262</v>
      </c>
      <c r="S276" s="11">
        <v>24841</v>
      </c>
      <c r="T276" s="53">
        <f t="shared" si="133"/>
        <v>40419</v>
      </c>
      <c r="U276" s="54">
        <f t="shared" si="133"/>
        <v>4329320</v>
      </c>
      <c r="V276" s="2" t="s">
        <v>68</v>
      </c>
      <c r="X276" s="13"/>
      <c r="Y276" s="2" t="s">
        <v>9</v>
      </c>
      <c r="Z276" s="2">
        <v>2026</v>
      </c>
      <c r="AA276" s="1">
        <f t="shared" si="134"/>
        <v>3029</v>
      </c>
      <c r="AB276" s="11">
        <f t="shared" si="134"/>
        <v>298572</v>
      </c>
      <c r="AC276" s="1">
        <f t="shared" si="135"/>
        <v>35467</v>
      </c>
      <c r="AD276" s="11">
        <f t="shared" si="135"/>
        <v>3810587</v>
      </c>
      <c r="AE276" s="8">
        <f t="shared" si="135"/>
        <v>634</v>
      </c>
      <c r="AF276" s="11">
        <f t="shared" si="135"/>
        <v>67639</v>
      </c>
      <c r="AG276" s="8">
        <f t="shared" si="135"/>
        <v>991</v>
      </c>
      <c r="AH276" s="11">
        <f t="shared" si="135"/>
        <v>124900</v>
      </c>
      <c r="AI276" s="8">
        <f t="shared" si="135"/>
        <v>36</v>
      </c>
      <c r="AJ276" s="11">
        <f t="shared" si="135"/>
        <v>2781</v>
      </c>
      <c r="AK276" s="11">
        <f t="shared" si="135"/>
        <v>262</v>
      </c>
      <c r="AL276" s="11">
        <f t="shared" si="135"/>
        <v>24841</v>
      </c>
      <c r="AM276" s="8">
        <f t="shared" si="139"/>
        <v>40419</v>
      </c>
      <c r="AN276" s="11">
        <f t="shared" si="136"/>
        <v>4329320</v>
      </c>
      <c r="AO276" s="2" t="str">
        <f t="shared" si="137"/>
        <v>IRAPUATO</v>
      </c>
      <c r="AP276" s="37">
        <f t="shared" si="138"/>
        <v>0</v>
      </c>
      <c r="AQ276" s="37">
        <f t="shared" si="138"/>
        <v>0</v>
      </c>
    </row>
    <row r="277" spans="1:43" x14ac:dyDescent="0.25">
      <c r="B277" s="2" t="s">
        <v>10</v>
      </c>
      <c r="C277" s="2">
        <v>2026</v>
      </c>
      <c r="D277" s="1">
        <v>2133</v>
      </c>
      <c r="E277" s="11">
        <v>211208</v>
      </c>
      <c r="F277" s="1">
        <v>638</v>
      </c>
      <c r="G277" s="11">
        <v>67052</v>
      </c>
      <c r="H277" s="1">
        <v>514</v>
      </c>
      <c r="I277" s="11">
        <v>44782</v>
      </c>
      <c r="J277" s="1">
        <v>33687</v>
      </c>
      <c r="K277" s="11">
        <v>3576563</v>
      </c>
      <c r="L277" s="1">
        <v>661</v>
      </c>
      <c r="M277" s="11">
        <v>73471</v>
      </c>
      <c r="N277" s="1">
        <v>896</v>
      </c>
      <c r="O277" s="11">
        <v>116013</v>
      </c>
      <c r="P277" s="8">
        <v>80</v>
      </c>
      <c r="Q277" s="11">
        <v>11812</v>
      </c>
      <c r="R277" s="8">
        <v>335</v>
      </c>
      <c r="S277" s="11">
        <v>30860</v>
      </c>
      <c r="T277" s="53">
        <f t="shared" si="133"/>
        <v>38944</v>
      </c>
      <c r="U277" s="54">
        <f t="shared" si="133"/>
        <v>4131761</v>
      </c>
      <c r="V277" s="2" t="s">
        <v>68</v>
      </c>
      <c r="Y277" s="2" t="s">
        <v>10</v>
      </c>
      <c r="Z277" s="2">
        <v>2026</v>
      </c>
      <c r="AA277" s="1">
        <f t="shared" si="134"/>
        <v>3285</v>
      </c>
      <c r="AB277" s="11">
        <f t="shared" si="134"/>
        <v>323042</v>
      </c>
      <c r="AC277" s="1">
        <f t="shared" si="135"/>
        <v>33687</v>
      </c>
      <c r="AD277" s="11">
        <f t="shared" si="135"/>
        <v>3576563</v>
      </c>
      <c r="AE277" s="8">
        <f t="shared" si="135"/>
        <v>661</v>
      </c>
      <c r="AF277" s="11">
        <f t="shared" si="135"/>
        <v>73471</v>
      </c>
      <c r="AG277" s="8">
        <f t="shared" si="135"/>
        <v>896</v>
      </c>
      <c r="AH277" s="11">
        <f t="shared" si="135"/>
        <v>116013</v>
      </c>
      <c r="AI277" s="8">
        <f t="shared" si="135"/>
        <v>80</v>
      </c>
      <c r="AJ277" s="11">
        <f t="shared" si="135"/>
        <v>11812</v>
      </c>
      <c r="AK277" s="11">
        <f t="shared" si="135"/>
        <v>335</v>
      </c>
      <c r="AL277" s="11">
        <f t="shared" si="135"/>
        <v>30860</v>
      </c>
      <c r="AM277" s="8">
        <f t="shared" si="139"/>
        <v>38944</v>
      </c>
      <c r="AN277" s="11">
        <f t="shared" si="136"/>
        <v>4131761</v>
      </c>
      <c r="AO277" s="2" t="str">
        <f t="shared" si="137"/>
        <v>IRAPUATO</v>
      </c>
      <c r="AP277" s="37">
        <f t="shared" si="138"/>
        <v>0</v>
      </c>
      <c r="AQ277" s="37">
        <f t="shared" si="138"/>
        <v>0</v>
      </c>
    </row>
    <row r="278" spans="1:43" x14ac:dyDescent="0.25">
      <c r="B278" s="2" t="s">
        <v>11</v>
      </c>
      <c r="C278" s="2">
        <v>2026</v>
      </c>
      <c r="D278" s="1"/>
      <c r="E278" s="11"/>
      <c r="F278" s="1"/>
      <c r="G278" s="11"/>
      <c r="H278" s="1"/>
      <c r="I278" s="11"/>
      <c r="J278" s="1"/>
      <c r="K278" s="11"/>
      <c r="L278" s="1"/>
      <c r="M278" s="11"/>
      <c r="N278" s="1"/>
      <c r="O278" s="11"/>
      <c r="P278" s="8"/>
      <c r="Q278" s="11"/>
      <c r="R278" s="8"/>
      <c r="S278" s="11"/>
      <c r="T278" s="53">
        <f t="shared" si="133"/>
        <v>0</v>
      </c>
      <c r="U278" s="54">
        <f t="shared" si="133"/>
        <v>0</v>
      </c>
      <c r="V278" s="2" t="s">
        <v>68</v>
      </c>
      <c r="Y278" s="2" t="s">
        <v>11</v>
      </c>
      <c r="Z278" s="2">
        <v>2026</v>
      </c>
      <c r="AA278" s="1">
        <f t="shared" si="134"/>
        <v>0</v>
      </c>
      <c r="AB278" s="11">
        <f t="shared" si="134"/>
        <v>0</v>
      </c>
      <c r="AC278" s="1">
        <f t="shared" si="135"/>
        <v>0</v>
      </c>
      <c r="AD278" s="11">
        <f t="shared" si="135"/>
        <v>0</v>
      </c>
      <c r="AE278" s="8">
        <f t="shared" si="135"/>
        <v>0</v>
      </c>
      <c r="AF278" s="11">
        <f t="shared" si="135"/>
        <v>0</v>
      </c>
      <c r="AG278" s="8">
        <f t="shared" si="135"/>
        <v>0</v>
      </c>
      <c r="AH278" s="11">
        <f t="shared" si="135"/>
        <v>0</v>
      </c>
      <c r="AI278" s="8">
        <f t="shared" si="135"/>
        <v>0</v>
      </c>
      <c r="AJ278" s="11">
        <f t="shared" si="135"/>
        <v>0</v>
      </c>
      <c r="AK278" s="11">
        <f t="shared" si="135"/>
        <v>0</v>
      </c>
      <c r="AL278" s="11">
        <f t="shared" si="135"/>
        <v>0</v>
      </c>
      <c r="AM278" s="8">
        <f t="shared" si="139"/>
        <v>0</v>
      </c>
      <c r="AN278" s="11">
        <f t="shared" si="136"/>
        <v>0</v>
      </c>
      <c r="AO278" s="2" t="str">
        <f t="shared" si="137"/>
        <v>IRAPUATO</v>
      </c>
      <c r="AP278" s="37">
        <f t="shared" si="138"/>
        <v>0</v>
      </c>
      <c r="AQ278" s="37">
        <f t="shared" si="138"/>
        <v>0</v>
      </c>
    </row>
    <row r="279" spans="1:43" x14ac:dyDescent="0.25">
      <c r="B279" s="2" t="s">
        <v>4</v>
      </c>
      <c r="C279" s="2">
        <v>2026</v>
      </c>
      <c r="D279" s="1"/>
      <c r="E279" s="11"/>
      <c r="F279" s="1"/>
      <c r="G279" s="11"/>
      <c r="H279" s="1"/>
      <c r="I279" s="11"/>
      <c r="J279" s="1"/>
      <c r="K279" s="11"/>
      <c r="L279" s="1"/>
      <c r="M279" s="11"/>
      <c r="N279" s="1"/>
      <c r="O279" s="11"/>
      <c r="P279" s="8"/>
      <c r="Q279" s="11"/>
      <c r="R279" s="8"/>
      <c r="S279" s="11"/>
      <c r="T279" s="53">
        <f t="shared" si="133"/>
        <v>0</v>
      </c>
      <c r="U279" s="54">
        <f t="shared" si="133"/>
        <v>0</v>
      </c>
      <c r="V279" s="2" t="s">
        <v>68</v>
      </c>
      <c r="Y279" s="2" t="s">
        <v>4</v>
      </c>
      <c r="Z279" s="2">
        <v>2026</v>
      </c>
      <c r="AA279" s="1">
        <f t="shared" si="134"/>
        <v>0</v>
      </c>
      <c r="AB279" s="11">
        <f t="shared" si="134"/>
        <v>0</v>
      </c>
      <c r="AC279" s="1">
        <f t="shared" si="135"/>
        <v>0</v>
      </c>
      <c r="AD279" s="11">
        <f t="shared" si="135"/>
        <v>0</v>
      </c>
      <c r="AE279" s="8">
        <f t="shared" si="135"/>
        <v>0</v>
      </c>
      <c r="AF279" s="11">
        <f t="shared" si="135"/>
        <v>0</v>
      </c>
      <c r="AG279" s="8">
        <f t="shared" si="135"/>
        <v>0</v>
      </c>
      <c r="AH279" s="11">
        <f t="shared" si="135"/>
        <v>0</v>
      </c>
      <c r="AI279" s="8">
        <f t="shared" si="135"/>
        <v>0</v>
      </c>
      <c r="AJ279" s="11">
        <f t="shared" si="135"/>
        <v>0</v>
      </c>
      <c r="AK279" s="11">
        <f t="shared" si="135"/>
        <v>0</v>
      </c>
      <c r="AL279" s="11">
        <f t="shared" si="135"/>
        <v>0</v>
      </c>
      <c r="AM279" s="27">
        <f t="shared" si="139"/>
        <v>0</v>
      </c>
      <c r="AN279" s="14">
        <f t="shared" si="136"/>
        <v>0</v>
      </c>
      <c r="AO279" s="2" t="str">
        <f t="shared" si="137"/>
        <v>IRAPUATO</v>
      </c>
      <c r="AP279" s="37">
        <f t="shared" si="138"/>
        <v>0</v>
      </c>
      <c r="AQ279" s="37">
        <f t="shared" si="138"/>
        <v>0</v>
      </c>
    </row>
    <row r="280" spans="1:43" x14ac:dyDescent="0.25">
      <c r="B280" s="2" t="s">
        <v>28</v>
      </c>
      <c r="C280" s="2">
        <v>2026</v>
      </c>
      <c r="D280" s="1"/>
      <c r="E280" s="11"/>
      <c r="F280" s="1"/>
      <c r="G280" s="11"/>
      <c r="H280" s="1"/>
      <c r="I280" s="11"/>
      <c r="J280" s="1"/>
      <c r="K280" s="11"/>
      <c r="L280" s="1"/>
      <c r="M280" s="11"/>
      <c r="N280" s="1"/>
      <c r="O280" s="11"/>
      <c r="P280" s="8"/>
      <c r="Q280" s="11"/>
      <c r="R280" s="8"/>
      <c r="S280" s="11"/>
      <c r="T280" s="53">
        <f t="shared" si="133"/>
        <v>0</v>
      </c>
      <c r="U280" s="54">
        <f t="shared" si="133"/>
        <v>0</v>
      </c>
      <c r="V280" s="2" t="s">
        <v>68</v>
      </c>
      <c r="Y280" s="2" t="s">
        <v>28</v>
      </c>
      <c r="Z280" s="2">
        <v>2026</v>
      </c>
      <c r="AA280" s="1">
        <f t="shared" si="134"/>
        <v>0</v>
      </c>
      <c r="AB280" s="11">
        <f t="shared" si="134"/>
        <v>0</v>
      </c>
      <c r="AC280" s="1">
        <f t="shared" si="135"/>
        <v>0</v>
      </c>
      <c r="AD280" s="11">
        <f t="shared" si="135"/>
        <v>0</v>
      </c>
      <c r="AE280" s="8">
        <f t="shared" si="135"/>
        <v>0</v>
      </c>
      <c r="AF280" s="11">
        <f t="shared" si="135"/>
        <v>0</v>
      </c>
      <c r="AG280" s="8">
        <f t="shared" si="135"/>
        <v>0</v>
      </c>
      <c r="AH280" s="11">
        <f t="shared" si="135"/>
        <v>0</v>
      </c>
      <c r="AI280" s="8">
        <f t="shared" si="135"/>
        <v>0</v>
      </c>
      <c r="AJ280" s="11">
        <f t="shared" si="135"/>
        <v>0</v>
      </c>
      <c r="AK280" s="11">
        <f t="shared" si="135"/>
        <v>0</v>
      </c>
      <c r="AL280" s="11">
        <f t="shared" si="135"/>
        <v>0</v>
      </c>
      <c r="AM280" s="8">
        <f t="shared" si="139"/>
        <v>0</v>
      </c>
      <c r="AN280" s="11">
        <f t="shared" si="136"/>
        <v>0</v>
      </c>
      <c r="AO280" s="2" t="str">
        <f t="shared" si="137"/>
        <v>IRAPUATO</v>
      </c>
      <c r="AP280" s="37">
        <f t="shared" si="138"/>
        <v>0</v>
      </c>
      <c r="AQ280" s="37">
        <f t="shared" si="138"/>
        <v>0</v>
      </c>
    </row>
    <row r="281" spans="1:43" x14ac:dyDescent="0.25">
      <c r="B281" s="2" t="s">
        <v>29</v>
      </c>
      <c r="C281" s="2">
        <v>2026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8"/>
      <c r="Q281" s="11"/>
      <c r="R281" s="8"/>
      <c r="S281" s="11"/>
      <c r="T281" s="53">
        <f>N281+L281+J281+H281+D281+P281+F281+R281</f>
        <v>0</v>
      </c>
      <c r="U281" s="54">
        <f>O281+M281+K281+I281+E281+Q281+G281+S281</f>
        <v>0</v>
      </c>
      <c r="V281" s="2" t="s">
        <v>68</v>
      </c>
      <c r="Y281" s="2" t="s">
        <v>29</v>
      </c>
      <c r="Z281" s="2">
        <v>2026</v>
      </c>
      <c r="AA281" s="1">
        <f t="shared" si="134"/>
        <v>0</v>
      </c>
      <c r="AB281" s="11">
        <f t="shared" si="134"/>
        <v>0</v>
      </c>
      <c r="AC281" s="1">
        <f t="shared" si="135"/>
        <v>0</v>
      </c>
      <c r="AD281" s="11">
        <f t="shared" si="135"/>
        <v>0</v>
      </c>
      <c r="AE281" s="8">
        <f t="shared" si="135"/>
        <v>0</v>
      </c>
      <c r="AF281" s="11">
        <f t="shared" si="135"/>
        <v>0</v>
      </c>
      <c r="AG281" s="8">
        <f t="shared" si="135"/>
        <v>0</v>
      </c>
      <c r="AH281" s="11">
        <f t="shared" si="135"/>
        <v>0</v>
      </c>
      <c r="AI281" s="8">
        <f t="shared" si="135"/>
        <v>0</v>
      </c>
      <c r="AJ281" s="11">
        <f t="shared" si="135"/>
        <v>0</v>
      </c>
      <c r="AK281" s="11">
        <f t="shared" si="135"/>
        <v>0</v>
      </c>
      <c r="AL281" s="11">
        <f t="shared" si="135"/>
        <v>0</v>
      </c>
      <c r="AM281" s="8">
        <f t="shared" si="139"/>
        <v>0</v>
      </c>
      <c r="AN281" s="11">
        <f t="shared" si="136"/>
        <v>0</v>
      </c>
      <c r="AO281" s="2" t="str">
        <f t="shared" si="137"/>
        <v>IRAPUATO</v>
      </c>
      <c r="AP281" s="37">
        <f t="shared" si="138"/>
        <v>0</v>
      </c>
      <c r="AQ281" s="37">
        <f t="shared" si="138"/>
        <v>0</v>
      </c>
    </row>
    <row r="282" spans="1:43" x14ac:dyDescent="0.25">
      <c r="B282" s="2" t="s">
        <v>30</v>
      </c>
      <c r="C282" s="2">
        <v>2026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>
        <f>N282+L282+J282+H282+D282+P282+F282+R282</f>
        <v>0</v>
      </c>
      <c r="U282" s="54">
        <f>O282+M282+K282+I282+E282+Q282+G282+S282</f>
        <v>0</v>
      </c>
      <c r="V282" s="2" t="s">
        <v>68</v>
      </c>
      <c r="Y282" s="2" t="s">
        <v>30</v>
      </c>
      <c r="Z282" s="2">
        <v>2026</v>
      </c>
      <c r="AA282" s="1">
        <f t="shared" si="134"/>
        <v>0</v>
      </c>
      <c r="AB282" s="11">
        <f t="shared" si="134"/>
        <v>0</v>
      </c>
      <c r="AC282" s="1">
        <f t="shared" si="135"/>
        <v>0</v>
      </c>
      <c r="AD282" s="11">
        <f t="shared" si="135"/>
        <v>0</v>
      </c>
      <c r="AE282" s="8">
        <f t="shared" si="135"/>
        <v>0</v>
      </c>
      <c r="AF282" s="11">
        <f t="shared" si="135"/>
        <v>0</v>
      </c>
      <c r="AG282" s="8">
        <f t="shared" si="135"/>
        <v>0</v>
      </c>
      <c r="AH282" s="11">
        <f t="shared" si="135"/>
        <v>0</v>
      </c>
      <c r="AI282" s="8">
        <f t="shared" si="135"/>
        <v>0</v>
      </c>
      <c r="AJ282" s="11">
        <f t="shared" si="135"/>
        <v>0</v>
      </c>
      <c r="AK282" s="11">
        <f t="shared" si="135"/>
        <v>0</v>
      </c>
      <c r="AL282" s="11">
        <f t="shared" si="135"/>
        <v>0</v>
      </c>
      <c r="AM282" s="79">
        <f t="shared" si="139"/>
        <v>0</v>
      </c>
      <c r="AN282" s="80">
        <f t="shared" si="136"/>
        <v>0</v>
      </c>
      <c r="AO282" s="2" t="str">
        <f t="shared" si="137"/>
        <v>IRAPUATO</v>
      </c>
      <c r="AP282" s="37">
        <f t="shared" si="138"/>
        <v>0</v>
      </c>
      <c r="AQ282" s="37">
        <f t="shared" si="138"/>
        <v>0</v>
      </c>
    </row>
    <row r="283" spans="1:43" x14ac:dyDescent="0.25">
      <c r="B283" s="2" t="s">
        <v>31</v>
      </c>
      <c r="C283" s="2">
        <v>2026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>
        <f t="shared" si="133"/>
        <v>0</v>
      </c>
      <c r="U283" s="54">
        <f t="shared" si="133"/>
        <v>0</v>
      </c>
      <c r="V283" s="2" t="s">
        <v>68</v>
      </c>
      <c r="W283" s="13"/>
      <c r="Y283" s="2" t="s">
        <v>31</v>
      </c>
      <c r="Z283" s="2">
        <v>2026</v>
      </c>
      <c r="AA283" s="1">
        <f t="shared" si="134"/>
        <v>0</v>
      </c>
      <c r="AB283" s="11">
        <f t="shared" si="134"/>
        <v>0</v>
      </c>
      <c r="AC283" s="1">
        <f t="shared" si="135"/>
        <v>0</v>
      </c>
      <c r="AD283" s="11">
        <f t="shared" si="135"/>
        <v>0</v>
      </c>
      <c r="AE283" s="8">
        <f t="shared" si="135"/>
        <v>0</v>
      </c>
      <c r="AF283" s="11">
        <f t="shared" si="135"/>
        <v>0</v>
      </c>
      <c r="AG283" s="8">
        <f t="shared" si="135"/>
        <v>0</v>
      </c>
      <c r="AH283" s="11">
        <f t="shared" si="135"/>
        <v>0</v>
      </c>
      <c r="AI283" s="8">
        <f t="shared" si="135"/>
        <v>0</v>
      </c>
      <c r="AJ283" s="11">
        <f t="shared" si="135"/>
        <v>0</v>
      </c>
      <c r="AK283" s="11">
        <f t="shared" si="135"/>
        <v>0</v>
      </c>
      <c r="AL283" s="11">
        <f t="shared" si="135"/>
        <v>0</v>
      </c>
      <c r="AM283" s="8">
        <f t="shared" si="139"/>
        <v>0</v>
      </c>
      <c r="AN283" s="11">
        <f t="shared" si="136"/>
        <v>0</v>
      </c>
      <c r="AO283" s="2" t="str">
        <f t="shared" si="137"/>
        <v>IRAPUATO</v>
      </c>
      <c r="AP283" s="37">
        <f t="shared" si="138"/>
        <v>0</v>
      </c>
      <c r="AQ283" s="37">
        <f t="shared" si="138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140">SUM(D272:D284)</f>
        <v>11581</v>
      </c>
      <c r="E285" s="12">
        <f t="shared" si="140"/>
        <v>1078720</v>
      </c>
      <c r="F285" s="4">
        <f t="shared" si="140"/>
        <v>4451</v>
      </c>
      <c r="G285" s="12">
        <f t="shared" si="140"/>
        <v>427794</v>
      </c>
      <c r="H285" s="4">
        <f t="shared" si="140"/>
        <v>3638</v>
      </c>
      <c r="I285" s="12">
        <f t="shared" si="140"/>
        <v>280992</v>
      </c>
      <c r="J285" s="4">
        <f t="shared" si="140"/>
        <v>223793</v>
      </c>
      <c r="K285" s="12">
        <f t="shared" si="140"/>
        <v>22991138</v>
      </c>
      <c r="L285" s="4">
        <f t="shared" si="140"/>
        <v>3986</v>
      </c>
      <c r="M285" s="12">
        <f t="shared" si="140"/>
        <v>418374</v>
      </c>
      <c r="N285" s="4">
        <f t="shared" si="140"/>
        <v>5678</v>
      </c>
      <c r="O285" s="12">
        <f t="shared" si="140"/>
        <v>662366</v>
      </c>
      <c r="P285" s="4">
        <f>SUM(P272:P284)</f>
        <v>226</v>
      </c>
      <c r="Q285" s="12">
        <f>SUM(Q272:Q284)</f>
        <v>26753</v>
      </c>
      <c r="R285" s="4">
        <f>SUM(R272:R284)</f>
        <v>1530</v>
      </c>
      <c r="S285" s="12">
        <f>SUM(S272:S284)</f>
        <v>137793</v>
      </c>
      <c r="T285" s="4">
        <f t="shared" si="140"/>
        <v>254883</v>
      </c>
      <c r="U285" s="12">
        <f t="shared" si="140"/>
        <v>26023930</v>
      </c>
      <c r="Y285" s="3" t="s">
        <v>12</v>
      </c>
      <c r="Z285" s="3"/>
      <c r="AA285" s="4">
        <f t="shared" ref="AA285:AN285" si="141">SUM(AA272:AA284)</f>
        <v>19670</v>
      </c>
      <c r="AB285" s="12">
        <f t="shared" si="141"/>
        <v>1787506</v>
      </c>
      <c r="AC285" s="4">
        <f t="shared" si="141"/>
        <v>223793</v>
      </c>
      <c r="AD285" s="12">
        <f t="shared" si="141"/>
        <v>22991138</v>
      </c>
      <c r="AE285" s="4">
        <f t="shared" si="141"/>
        <v>3986</v>
      </c>
      <c r="AF285" s="12">
        <f t="shared" si="141"/>
        <v>418374</v>
      </c>
      <c r="AG285" s="4">
        <f t="shared" si="141"/>
        <v>5678</v>
      </c>
      <c r="AH285" s="12">
        <f t="shared" si="141"/>
        <v>662366</v>
      </c>
      <c r="AI285" s="4">
        <f t="shared" si="141"/>
        <v>226</v>
      </c>
      <c r="AJ285" s="12">
        <f t="shared" si="141"/>
        <v>26753</v>
      </c>
      <c r="AK285" s="4">
        <f t="shared" si="141"/>
        <v>1530</v>
      </c>
      <c r="AL285" s="12">
        <f t="shared" si="141"/>
        <v>137793</v>
      </c>
      <c r="AM285" s="4">
        <f t="shared" si="141"/>
        <v>254883</v>
      </c>
      <c r="AN285" s="12">
        <f t="shared" si="141"/>
        <v>26023930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636.5</v>
      </c>
      <c r="M286" s="60">
        <f>AVERAGE(M272:M273)</f>
        <v>63542.5</v>
      </c>
      <c r="T286" s="15">
        <f t="shared" ref="T286:U286" si="142">AVERAGE(T272:T273)</f>
        <v>43815</v>
      </c>
      <c r="U286" s="28">
        <f t="shared" si="142"/>
        <v>4345538</v>
      </c>
    </row>
    <row r="287" spans="1:43" hidden="1" outlineLevel="1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4.2101015980527037E-3</v>
      </c>
      <c r="M287" s="36">
        <f>+M286/$M$371</f>
        <v>2.2863816645346214E-3</v>
      </c>
      <c r="N287" s="18"/>
      <c r="O287" s="19"/>
      <c r="P287" s="19"/>
      <c r="Q287" s="19"/>
      <c r="R287" s="19"/>
      <c r="S287" s="19"/>
      <c r="T287" s="36">
        <f>+L286/T286</f>
        <v>1.4526988474266804E-2</v>
      </c>
      <c r="U287" s="62">
        <f>+M286/U286</f>
        <v>1.4622470221178598E-2</v>
      </c>
    </row>
    <row r="288" spans="1:43" hidden="1" outlineLevel="1" x14ac:dyDescent="0.25">
      <c r="A288" s="67" t="s">
        <v>81</v>
      </c>
      <c r="L288" s="26"/>
      <c r="M288" s="26"/>
    </row>
    <row r="289" spans="1:43" hidden="1" outlineLevel="1" x14ac:dyDescent="0.25">
      <c r="B289" s="5"/>
    </row>
    <row r="290" spans="1:43" hidden="1" outlineLevel="1" x14ac:dyDescent="0.25">
      <c r="D290" s="89" t="s">
        <v>15</v>
      </c>
      <c r="E290" s="90"/>
      <c r="F290" s="89" t="s">
        <v>71</v>
      </c>
      <c r="G290" s="90"/>
      <c r="H290" s="89" t="s">
        <v>16</v>
      </c>
      <c r="I290" s="90"/>
      <c r="J290" s="89" t="s">
        <v>17</v>
      </c>
      <c r="K290" s="93"/>
      <c r="L290" s="89" t="s">
        <v>18</v>
      </c>
      <c r="M290" s="93"/>
      <c r="N290" s="89" t="s">
        <v>13</v>
      </c>
      <c r="O290" s="93"/>
      <c r="P290" s="89" t="s">
        <v>34</v>
      </c>
      <c r="Q290" s="93"/>
      <c r="R290" s="89" t="s">
        <v>87</v>
      </c>
      <c r="S290" s="93"/>
      <c r="T290" s="89" t="s">
        <v>12</v>
      </c>
      <c r="U290" s="93"/>
      <c r="AA290" s="89" t="s">
        <v>69</v>
      </c>
      <c r="AB290" s="90"/>
      <c r="AC290" s="89" t="s">
        <v>17</v>
      </c>
      <c r="AD290" s="93"/>
      <c r="AE290" s="89" t="s">
        <v>18</v>
      </c>
      <c r="AF290" s="93"/>
      <c r="AG290" s="89" t="s">
        <v>13</v>
      </c>
      <c r="AH290" s="93"/>
      <c r="AI290" s="89" t="s">
        <v>34</v>
      </c>
      <c r="AJ290" s="93"/>
      <c r="AK290" s="89" t="s">
        <v>87</v>
      </c>
      <c r="AL290" s="93"/>
      <c r="AM290" s="89" t="s">
        <v>12</v>
      </c>
      <c r="AN290" s="93"/>
    </row>
    <row r="291" spans="1:43" hidden="1" outlineLevel="1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hidden="1" outlineLevel="1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hidden="1" outlineLevel="1" x14ac:dyDescent="0.25">
      <c r="B293" s="2" t="s">
        <v>5</v>
      </c>
      <c r="C293" s="2">
        <v>2026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U304" si="143">N293+L293+J293+H293+D293+P293+F293+R293</f>
        <v>0</v>
      </c>
      <c r="U293" s="54">
        <f t="shared" si="143"/>
        <v>0</v>
      </c>
      <c r="V293" s="2" t="s">
        <v>82</v>
      </c>
      <c r="Y293" s="2" t="s">
        <v>5</v>
      </c>
      <c r="Z293" s="2">
        <v>2026</v>
      </c>
      <c r="AA293" s="1">
        <f t="shared" ref="AA293:AB304" si="144">D293+H293+F293</f>
        <v>0</v>
      </c>
      <c r="AB293" s="11">
        <f t="shared" si="144"/>
        <v>0</v>
      </c>
      <c r="AC293" s="1">
        <f t="shared" ref="AC293:AL304" si="145">+J293</f>
        <v>0</v>
      </c>
      <c r="AD293" s="11">
        <f t="shared" si="145"/>
        <v>0</v>
      </c>
      <c r="AE293" s="8">
        <f t="shared" si="145"/>
        <v>0</v>
      </c>
      <c r="AF293" s="11">
        <f t="shared" si="145"/>
        <v>0</v>
      </c>
      <c r="AG293" s="8">
        <f t="shared" si="145"/>
        <v>0</v>
      </c>
      <c r="AH293" s="11">
        <f t="shared" si="145"/>
        <v>0</v>
      </c>
      <c r="AI293" s="8">
        <f t="shared" si="145"/>
        <v>0</v>
      </c>
      <c r="AJ293" s="11">
        <f t="shared" si="145"/>
        <v>0</v>
      </c>
      <c r="AK293" s="11">
        <f t="shared" si="145"/>
        <v>0</v>
      </c>
      <c r="AL293" s="11">
        <f t="shared" si="145"/>
        <v>0</v>
      </c>
      <c r="AM293" s="8">
        <f>AI293+AG293+AE293+AC293+AA293+AK293</f>
        <v>0</v>
      </c>
      <c r="AN293" s="11">
        <f t="shared" ref="AN293:AN304" si="146">AJ293+AH293+AF293+AD293+AB293+AL293</f>
        <v>0</v>
      </c>
      <c r="AO293" s="2" t="str">
        <f t="shared" ref="AO293:AO304" si="147">+V293</f>
        <v>META</v>
      </c>
      <c r="AP293" s="37">
        <f t="shared" ref="AP293:AQ304" si="148">+AM293-T293</f>
        <v>0</v>
      </c>
      <c r="AQ293" s="37">
        <f t="shared" si="148"/>
        <v>0</v>
      </c>
    </row>
    <row r="294" spans="1:43" hidden="1" outlineLevel="1" x14ac:dyDescent="0.25">
      <c r="B294" s="2" t="s">
        <v>6</v>
      </c>
      <c r="C294" s="2">
        <v>2026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143"/>
        <v>0</v>
      </c>
      <c r="U294" s="54">
        <f t="shared" si="143"/>
        <v>0</v>
      </c>
      <c r="V294" s="2" t="s">
        <v>82</v>
      </c>
      <c r="Y294" s="2" t="s">
        <v>6</v>
      </c>
      <c r="Z294" s="2">
        <v>2026</v>
      </c>
      <c r="AA294" s="1">
        <f t="shared" si="144"/>
        <v>0</v>
      </c>
      <c r="AB294" s="11">
        <f t="shared" si="144"/>
        <v>0</v>
      </c>
      <c r="AC294" s="1">
        <f t="shared" si="145"/>
        <v>0</v>
      </c>
      <c r="AD294" s="11">
        <f t="shared" si="145"/>
        <v>0</v>
      </c>
      <c r="AE294" s="8">
        <f t="shared" si="145"/>
        <v>0</v>
      </c>
      <c r="AF294" s="11">
        <f t="shared" si="145"/>
        <v>0</v>
      </c>
      <c r="AG294" s="8">
        <f t="shared" si="145"/>
        <v>0</v>
      </c>
      <c r="AH294" s="11">
        <f t="shared" si="145"/>
        <v>0</v>
      </c>
      <c r="AI294" s="8">
        <f t="shared" si="145"/>
        <v>0</v>
      </c>
      <c r="AJ294" s="11">
        <f t="shared" si="145"/>
        <v>0</v>
      </c>
      <c r="AK294" s="11">
        <f t="shared" si="145"/>
        <v>0</v>
      </c>
      <c r="AL294" s="11">
        <f t="shared" si="145"/>
        <v>0</v>
      </c>
      <c r="AM294" s="8">
        <f t="shared" ref="AM294:AM304" si="149">AI294+AG294+AE294+AC294+AA294+AK294</f>
        <v>0</v>
      </c>
      <c r="AN294" s="11">
        <f t="shared" si="146"/>
        <v>0</v>
      </c>
      <c r="AO294" s="2" t="str">
        <f t="shared" si="147"/>
        <v>META</v>
      </c>
      <c r="AP294" s="37">
        <f t="shared" si="148"/>
        <v>0</v>
      </c>
      <c r="AQ294" s="37">
        <f t="shared" si="148"/>
        <v>0</v>
      </c>
    </row>
    <row r="295" spans="1:43" hidden="1" outlineLevel="1" x14ac:dyDescent="0.25">
      <c r="B295" s="2" t="s">
        <v>7</v>
      </c>
      <c r="C295" s="2">
        <v>2026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143"/>
        <v>0</v>
      </c>
      <c r="U295" s="54">
        <f t="shared" si="143"/>
        <v>0</v>
      </c>
      <c r="V295" s="2" t="s">
        <v>82</v>
      </c>
      <c r="X295" s="13"/>
      <c r="Y295" s="2" t="s">
        <v>7</v>
      </c>
      <c r="Z295" s="2">
        <v>2026</v>
      </c>
      <c r="AA295" s="1">
        <f t="shared" si="144"/>
        <v>0</v>
      </c>
      <c r="AB295" s="11">
        <f t="shared" si="144"/>
        <v>0</v>
      </c>
      <c r="AC295" s="1">
        <f t="shared" si="145"/>
        <v>0</v>
      </c>
      <c r="AD295" s="11">
        <f t="shared" si="145"/>
        <v>0</v>
      </c>
      <c r="AE295" s="8">
        <f t="shared" si="145"/>
        <v>0</v>
      </c>
      <c r="AF295" s="11">
        <f t="shared" si="145"/>
        <v>0</v>
      </c>
      <c r="AG295" s="8">
        <f t="shared" si="145"/>
        <v>0</v>
      </c>
      <c r="AH295" s="11">
        <f t="shared" si="145"/>
        <v>0</v>
      </c>
      <c r="AI295" s="8">
        <f t="shared" si="145"/>
        <v>0</v>
      </c>
      <c r="AJ295" s="11">
        <f t="shared" si="145"/>
        <v>0</v>
      </c>
      <c r="AK295" s="11">
        <f t="shared" si="145"/>
        <v>0</v>
      </c>
      <c r="AL295" s="11">
        <f t="shared" si="145"/>
        <v>0</v>
      </c>
      <c r="AM295" s="8">
        <f t="shared" si="149"/>
        <v>0</v>
      </c>
      <c r="AN295" s="11">
        <f t="shared" si="146"/>
        <v>0</v>
      </c>
      <c r="AO295" s="2" t="str">
        <f t="shared" si="147"/>
        <v>META</v>
      </c>
      <c r="AP295" s="37">
        <f t="shared" si="148"/>
        <v>0</v>
      </c>
      <c r="AQ295" s="37">
        <f t="shared" si="148"/>
        <v>0</v>
      </c>
    </row>
    <row r="296" spans="1:43" hidden="1" outlineLevel="1" x14ac:dyDescent="0.25">
      <c r="B296" s="2" t="s">
        <v>8</v>
      </c>
      <c r="C296" s="2">
        <v>2026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143"/>
        <v>0</v>
      </c>
      <c r="U296" s="54">
        <f t="shared" si="143"/>
        <v>0</v>
      </c>
      <c r="V296" s="2" t="s">
        <v>82</v>
      </c>
      <c r="X296" s="13"/>
      <c r="Y296" s="2" t="s">
        <v>8</v>
      </c>
      <c r="Z296" s="2">
        <v>2026</v>
      </c>
      <c r="AA296" s="1">
        <f t="shared" si="144"/>
        <v>0</v>
      </c>
      <c r="AB296" s="11">
        <f t="shared" si="144"/>
        <v>0</v>
      </c>
      <c r="AC296" s="1">
        <f t="shared" si="145"/>
        <v>0</v>
      </c>
      <c r="AD296" s="11">
        <f t="shared" si="145"/>
        <v>0</v>
      </c>
      <c r="AE296" s="8">
        <f t="shared" si="145"/>
        <v>0</v>
      </c>
      <c r="AF296" s="11">
        <f t="shared" si="145"/>
        <v>0</v>
      </c>
      <c r="AG296" s="8">
        <f t="shared" si="145"/>
        <v>0</v>
      </c>
      <c r="AH296" s="11">
        <f t="shared" si="145"/>
        <v>0</v>
      </c>
      <c r="AI296" s="8">
        <f t="shared" si="145"/>
        <v>0</v>
      </c>
      <c r="AJ296" s="11">
        <f t="shared" si="145"/>
        <v>0</v>
      </c>
      <c r="AK296" s="11">
        <f t="shared" si="145"/>
        <v>0</v>
      </c>
      <c r="AL296" s="11">
        <f t="shared" si="145"/>
        <v>0</v>
      </c>
      <c r="AM296" s="8">
        <f t="shared" si="149"/>
        <v>0</v>
      </c>
      <c r="AN296" s="11">
        <f t="shared" si="146"/>
        <v>0</v>
      </c>
      <c r="AO296" s="2" t="str">
        <f t="shared" si="147"/>
        <v>META</v>
      </c>
      <c r="AP296" s="37">
        <f t="shared" si="148"/>
        <v>0</v>
      </c>
      <c r="AQ296" s="37">
        <f t="shared" si="148"/>
        <v>0</v>
      </c>
    </row>
    <row r="297" spans="1:43" hidden="1" outlineLevel="1" x14ac:dyDescent="0.25">
      <c r="B297" s="2" t="s">
        <v>9</v>
      </c>
      <c r="C297" s="2">
        <v>2026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143"/>
        <v>0</v>
      </c>
      <c r="U297" s="54">
        <f t="shared" si="143"/>
        <v>0</v>
      </c>
      <c r="V297" s="2" t="s">
        <v>82</v>
      </c>
      <c r="X297" s="13"/>
      <c r="Y297" s="2" t="s">
        <v>9</v>
      </c>
      <c r="Z297" s="2">
        <v>2026</v>
      </c>
      <c r="AA297" s="1">
        <f t="shared" si="144"/>
        <v>0</v>
      </c>
      <c r="AB297" s="11">
        <f t="shared" si="144"/>
        <v>0</v>
      </c>
      <c r="AC297" s="1">
        <f t="shared" si="145"/>
        <v>0</v>
      </c>
      <c r="AD297" s="11">
        <f t="shared" si="145"/>
        <v>0</v>
      </c>
      <c r="AE297" s="8">
        <f t="shared" si="145"/>
        <v>0</v>
      </c>
      <c r="AF297" s="11">
        <f t="shared" si="145"/>
        <v>0</v>
      </c>
      <c r="AG297" s="8">
        <f t="shared" si="145"/>
        <v>0</v>
      </c>
      <c r="AH297" s="11">
        <f t="shared" si="145"/>
        <v>0</v>
      </c>
      <c r="AI297" s="8">
        <f t="shared" si="145"/>
        <v>0</v>
      </c>
      <c r="AJ297" s="11">
        <f t="shared" si="145"/>
        <v>0</v>
      </c>
      <c r="AK297" s="11">
        <f t="shared" si="145"/>
        <v>0</v>
      </c>
      <c r="AL297" s="11">
        <f t="shared" si="145"/>
        <v>0</v>
      </c>
      <c r="AM297" s="8">
        <f t="shared" si="149"/>
        <v>0</v>
      </c>
      <c r="AN297" s="11">
        <f t="shared" si="146"/>
        <v>0</v>
      </c>
      <c r="AO297" s="2" t="str">
        <f t="shared" si="147"/>
        <v>META</v>
      </c>
      <c r="AP297" s="37">
        <f t="shared" si="148"/>
        <v>0</v>
      </c>
      <c r="AQ297" s="37">
        <f t="shared" si="148"/>
        <v>0</v>
      </c>
    </row>
    <row r="298" spans="1:43" hidden="1" outlineLevel="1" x14ac:dyDescent="0.25">
      <c r="B298" s="2" t="s">
        <v>10</v>
      </c>
      <c r="C298" s="2">
        <v>2026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143"/>
        <v>0</v>
      </c>
      <c r="U298" s="54">
        <f t="shared" si="143"/>
        <v>0</v>
      </c>
      <c r="V298" s="2" t="s">
        <v>82</v>
      </c>
      <c r="Y298" s="2" t="s">
        <v>10</v>
      </c>
      <c r="Z298" s="2">
        <v>2026</v>
      </c>
      <c r="AA298" s="1">
        <f t="shared" si="144"/>
        <v>0</v>
      </c>
      <c r="AB298" s="11">
        <f t="shared" si="144"/>
        <v>0</v>
      </c>
      <c r="AC298" s="1">
        <f t="shared" si="145"/>
        <v>0</v>
      </c>
      <c r="AD298" s="11">
        <f t="shared" si="145"/>
        <v>0</v>
      </c>
      <c r="AE298" s="8">
        <f t="shared" si="145"/>
        <v>0</v>
      </c>
      <c r="AF298" s="11">
        <f t="shared" si="145"/>
        <v>0</v>
      </c>
      <c r="AG298" s="8">
        <f t="shared" si="145"/>
        <v>0</v>
      </c>
      <c r="AH298" s="11">
        <f t="shared" si="145"/>
        <v>0</v>
      </c>
      <c r="AI298" s="8">
        <f t="shared" si="145"/>
        <v>0</v>
      </c>
      <c r="AJ298" s="11">
        <f t="shared" si="145"/>
        <v>0</v>
      </c>
      <c r="AK298" s="11">
        <f t="shared" si="145"/>
        <v>0</v>
      </c>
      <c r="AL298" s="11">
        <f t="shared" si="145"/>
        <v>0</v>
      </c>
      <c r="AM298" s="8">
        <f t="shared" si="149"/>
        <v>0</v>
      </c>
      <c r="AN298" s="11">
        <f t="shared" si="146"/>
        <v>0</v>
      </c>
      <c r="AO298" s="2" t="str">
        <f t="shared" si="147"/>
        <v>META</v>
      </c>
      <c r="AP298" s="37">
        <f t="shared" si="148"/>
        <v>0</v>
      </c>
      <c r="AQ298" s="37">
        <f t="shared" si="148"/>
        <v>0</v>
      </c>
    </row>
    <row r="299" spans="1:43" hidden="1" outlineLevel="1" x14ac:dyDescent="0.25">
      <c r="B299" s="2" t="s">
        <v>11</v>
      </c>
      <c r="C299" s="2">
        <v>2026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143"/>
        <v>0</v>
      </c>
      <c r="U299" s="54">
        <f t="shared" si="143"/>
        <v>0</v>
      </c>
      <c r="V299" s="2" t="s">
        <v>82</v>
      </c>
      <c r="Y299" s="2" t="s">
        <v>11</v>
      </c>
      <c r="Z299" s="2">
        <v>2026</v>
      </c>
      <c r="AA299" s="1">
        <f t="shared" si="144"/>
        <v>0</v>
      </c>
      <c r="AB299" s="11">
        <f t="shared" si="144"/>
        <v>0</v>
      </c>
      <c r="AC299" s="1">
        <f t="shared" si="145"/>
        <v>0</v>
      </c>
      <c r="AD299" s="11">
        <f t="shared" si="145"/>
        <v>0</v>
      </c>
      <c r="AE299" s="8">
        <f t="shared" si="145"/>
        <v>0</v>
      </c>
      <c r="AF299" s="11">
        <f t="shared" si="145"/>
        <v>0</v>
      </c>
      <c r="AG299" s="8">
        <f t="shared" si="145"/>
        <v>0</v>
      </c>
      <c r="AH299" s="11">
        <f t="shared" si="145"/>
        <v>0</v>
      </c>
      <c r="AI299" s="8">
        <f t="shared" si="145"/>
        <v>0</v>
      </c>
      <c r="AJ299" s="11">
        <f t="shared" si="145"/>
        <v>0</v>
      </c>
      <c r="AK299" s="11">
        <f t="shared" si="145"/>
        <v>0</v>
      </c>
      <c r="AL299" s="11">
        <f t="shared" si="145"/>
        <v>0</v>
      </c>
      <c r="AM299" s="8">
        <f t="shared" si="149"/>
        <v>0</v>
      </c>
      <c r="AN299" s="11">
        <f t="shared" si="146"/>
        <v>0</v>
      </c>
      <c r="AO299" s="2" t="str">
        <f t="shared" si="147"/>
        <v>META</v>
      </c>
      <c r="AP299" s="37">
        <f t="shared" si="148"/>
        <v>0</v>
      </c>
      <c r="AQ299" s="37">
        <f t="shared" si="148"/>
        <v>0</v>
      </c>
    </row>
    <row r="300" spans="1:43" hidden="1" outlineLevel="1" x14ac:dyDescent="0.25">
      <c r="B300" s="2" t="s">
        <v>4</v>
      </c>
      <c r="C300" s="2">
        <v>2026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143"/>
        <v>0</v>
      </c>
      <c r="U300" s="54">
        <f t="shared" si="143"/>
        <v>0</v>
      </c>
      <c r="V300" s="2" t="s">
        <v>82</v>
      </c>
      <c r="Y300" s="2" t="s">
        <v>4</v>
      </c>
      <c r="Z300" s="2">
        <v>2026</v>
      </c>
      <c r="AA300" s="1">
        <f t="shared" si="144"/>
        <v>0</v>
      </c>
      <c r="AB300" s="11">
        <f t="shared" si="144"/>
        <v>0</v>
      </c>
      <c r="AC300" s="1">
        <f t="shared" si="145"/>
        <v>0</v>
      </c>
      <c r="AD300" s="11">
        <f t="shared" si="145"/>
        <v>0</v>
      </c>
      <c r="AE300" s="8">
        <f t="shared" si="145"/>
        <v>0</v>
      </c>
      <c r="AF300" s="11">
        <f t="shared" si="145"/>
        <v>0</v>
      </c>
      <c r="AG300" s="8">
        <f t="shared" si="145"/>
        <v>0</v>
      </c>
      <c r="AH300" s="11">
        <f t="shared" si="145"/>
        <v>0</v>
      </c>
      <c r="AI300" s="8">
        <f t="shared" si="145"/>
        <v>0</v>
      </c>
      <c r="AJ300" s="11">
        <f t="shared" si="145"/>
        <v>0</v>
      </c>
      <c r="AK300" s="11">
        <f t="shared" si="145"/>
        <v>0</v>
      </c>
      <c r="AL300" s="11">
        <f t="shared" si="145"/>
        <v>0</v>
      </c>
      <c r="AM300" s="27">
        <f t="shared" si="149"/>
        <v>0</v>
      </c>
      <c r="AN300" s="14">
        <f t="shared" si="146"/>
        <v>0</v>
      </c>
      <c r="AO300" s="2" t="str">
        <f t="shared" si="147"/>
        <v>META</v>
      </c>
      <c r="AP300" s="37">
        <f t="shared" si="148"/>
        <v>0</v>
      </c>
      <c r="AQ300" s="37">
        <f t="shared" si="148"/>
        <v>0</v>
      </c>
    </row>
    <row r="301" spans="1:43" hidden="1" outlineLevel="1" x14ac:dyDescent="0.25">
      <c r="B301" s="2" t="s">
        <v>28</v>
      </c>
      <c r="C301" s="2">
        <v>2026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143"/>
        <v>0</v>
      </c>
      <c r="U301" s="54">
        <f t="shared" si="143"/>
        <v>0</v>
      </c>
      <c r="V301" s="2" t="s">
        <v>82</v>
      </c>
      <c r="Y301" s="2" t="s">
        <v>28</v>
      </c>
      <c r="Z301" s="2">
        <v>2026</v>
      </c>
      <c r="AA301" s="1">
        <f t="shared" si="144"/>
        <v>0</v>
      </c>
      <c r="AB301" s="11">
        <f t="shared" si="144"/>
        <v>0</v>
      </c>
      <c r="AC301" s="1">
        <f t="shared" si="145"/>
        <v>0</v>
      </c>
      <c r="AD301" s="11">
        <f t="shared" si="145"/>
        <v>0</v>
      </c>
      <c r="AE301" s="8">
        <f t="shared" si="145"/>
        <v>0</v>
      </c>
      <c r="AF301" s="11">
        <f t="shared" si="145"/>
        <v>0</v>
      </c>
      <c r="AG301" s="8">
        <f t="shared" si="145"/>
        <v>0</v>
      </c>
      <c r="AH301" s="11">
        <f t="shared" si="145"/>
        <v>0</v>
      </c>
      <c r="AI301" s="8">
        <f t="shared" si="145"/>
        <v>0</v>
      </c>
      <c r="AJ301" s="11">
        <f t="shared" si="145"/>
        <v>0</v>
      </c>
      <c r="AK301" s="11">
        <f t="shared" si="145"/>
        <v>0</v>
      </c>
      <c r="AL301" s="11">
        <f t="shared" si="145"/>
        <v>0</v>
      </c>
      <c r="AM301" s="8">
        <f t="shared" si="149"/>
        <v>0</v>
      </c>
      <c r="AN301" s="11">
        <f t="shared" si="146"/>
        <v>0</v>
      </c>
      <c r="AO301" s="2" t="str">
        <f t="shared" si="147"/>
        <v>META</v>
      </c>
      <c r="AP301" s="37">
        <f t="shared" si="148"/>
        <v>0</v>
      </c>
      <c r="AQ301" s="37">
        <f t="shared" si="148"/>
        <v>0</v>
      </c>
    </row>
    <row r="302" spans="1:43" hidden="1" outlineLevel="1" x14ac:dyDescent="0.25">
      <c r="B302" s="2" t="s">
        <v>29</v>
      </c>
      <c r="C302" s="2">
        <v>2026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143"/>
        <v>0</v>
      </c>
      <c r="U302" s="54">
        <f t="shared" si="143"/>
        <v>0</v>
      </c>
      <c r="V302" s="2" t="s">
        <v>82</v>
      </c>
      <c r="Y302" s="2" t="s">
        <v>29</v>
      </c>
      <c r="Z302" s="2">
        <v>2026</v>
      </c>
      <c r="AA302" s="1">
        <f t="shared" si="144"/>
        <v>0</v>
      </c>
      <c r="AB302" s="11">
        <f t="shared" si="144"/>
        <v>0</v>
      </c>
      <c r="AC302" s="1">
        <f t="shared" si="145"/>
        <v>0</v>
      </c>
      <c r="AD302" s="11">
        <f t="shared" si="145"/>
        <v>0</v>
      </c>
      <c r="AE302" s="8">
        <f t="shared" si="145"/>
        <v>0</v>
      </c>
      <c r="AF302" s="11">
        <f t="shared" si="145"/>
        <v>0</v>
      </c>
      <c r="AG302" s="8">
        <f t="shared" si="145"/>
        <v>0</v>
      </c>
      <c r="AH302" s="11">
        <f t="shared" si="145"/>
        <v>0</v>
      </c>
      <c r="AI302" s="8">
        <f t="shared" si="145"/>
        <v>0</v>
      </c>
      <c r="AJ302" s="11">
        <f t="shared" si="145"/>
        <v>0</v>
      </c>
      <c r="AK302" s="11">
        <f t="shared" si="145"/>
        <v>0</v>
      </c>
      <c r="AL302" s="11">
        <f t="shared" si="145"/>
        <v>0</v>
      </c>
      <c r="AM302" s="8">
        <f t="shared" si="149"/>
        <v>0</v>
      </c>
      <c r="AN302" s="11">
        <f t="shared" si="146"/>
        <v>0</v>
      </c>
      <c r="AO302" s="2" t="str">
        <f t="shared" si="147"/>
        <v>META</v>
      </c>
      <c r="AP302" s="37">
        <f t="shared" si="148"/>
        <v>0</v>
      </c>
      <c r="AQ302" s="37">
        <f t="shared" si="148"/>
        <v>0</v>
      </c>
    </row>
    <row r="303" spans="1:43" hidden="1" outlineLevel="1" x14ac:dyDescent="0.25">
      <c r="B303" s="2" t="s">
        <v>30</v>
      </c>
      <c r="C303" s="2">
        <v>2026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143"/>
        <v>0</v>
      </c>
      <c r="U303" s="48">
        <f t="shared" si="143"/>
        <v>0</v>
      </c>
      <c r="V303" s="2" t="s">
        <v>82</v>
      </c>
      <c r="Y303" s="2" t="s">
        <v>30</v>
      </c>
      <c r="Z303" s="2">
        <v>2026</v>
      </c>
      <c r="AA303" s="1">
        <f t="shared" si="144"/>
        <v>0</v>
      </c>
      <c r="AB303" s="11">
        <f t="shared" si="144"/>
        <v>0</v>
      </c>
      <c r="AC303" s="1">
        <f t="shared" si="145"/>
        <v>0</v>
      </c>
      <c r="AD303" s="11">
        <f t="shared" si="145"/>
        <v>0</v>
      </c>
      <c r="AE303" s="8">
        <f t="shared" si="145"/>
        <v>0</v>
      </c>
      <c r="AF303" s="11">
        <f t="shared" si="145"/>
        <v>0</v>
      </c>
      <c r="AG303" s="8">
        <f t="shared" si="145"/>
        <v>0</v>
      </c>
      <c r="AH303" s="11">
        <f t="shared" si="145"/>
        <v>0</v>
      </c>
      <c r="AI303" s="8">
        <f t="shared" si="145"/>
        <v>0</v>
      </c>
      <c r="AJ303" s="11">
        <f t="shared" si="145"/>
        <v>0</v>
      </c>
      <c r="AK303" s="11">
        <f t="shared" si="145"/>
        <v>0</v>
      </c>
      <c r="AL303" s="11">
        <f t="shared" si="145"/>
        <v>0</v>
      </c>
      <c r="AM303" s="79">
        <f t="shared" si="149"/>
        <v>0</v>
      </c>
      <c r="AN303" s="80">
        <f t="shared" si="146"/>
        <v>0</v>
      </c>
      <c r="AO303" s="2" t="str">
        <f t="shared" si="147"/>
        <v>META</v>
      </c>
      <c r="AP303" s="37">
        <f t="shared" si="148"/>
        <v>0</v>
      </c>
      <c r="AQ303" s="37">
        <f t="shared" si="148"/>
        <v>0</v>
      </c>
    </row>
    <row r="304" spans="1:43" hidden="1" outlineLevel="1" x14ac:dyDescent="0.25">
      <c r="B304" s="2" t="s">
        <v>31</v>
      </c>
      <c r="C304" s="2">
        <v>2026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143"/>
        <v>0</v>
      </c>
      <c r="U304" s="48">
        <f t="shared" si="143"/>
        <v>0</v>
      </c>
      <c r="V304" s="2" t="s">
        <v>82</v>
      </c>
      <c r="Y304" s="2" t="s">
        <v>31</v>
      </c>
      <c r="Z304" s="2">
        <v>2026</v>
      </c>
      <c r="AA304" s="1">
        <f t="shared" si="144"/>
        <v>0</v>
      </c>
      <c r="AB304" s="11">
        <f t="shared" si="144"/>
        <v>0</v>
      </c>
      <c r="AC304" s="1">
        <f t="shared" si="145"/>
        <v>0</v>
      </c>
      <c r="AD304" s="11">
        <f t="shared" si="145"/>
        <v>0</v>
      </c>
      <c r="AE304" s="8">
        <f t="shared" si="145"/>
        <v>0</v>
      </c>
      <c r="AF304" s="11">
        <f t="shared" si="145"/>
        <v>0</v>
      </c>
      <c r="AG304" s="8">
        <f t="shared" si="145"/>
        <v>0</v>
      </c>
      <c r="AH304" s="11">
        <f t="shared" si="145"/>
        <v>0</v>
      </c>
      <c r="AI304" s="8">
        <f t="shared" si="145"/>
        <v>0</v>
      </c>
      <c r="AJ304" s="11">
        <f t="shared" si="145"/>
        <v>0</v>
      </c>
      <c r="AK304" s="11">
        <f t="shared" si="145"/>
        <v>0</v>
      </c>
      <c r="AL304" s="11">
        <f t="shared" si="145"/>
        <v>0</v>
      </c>
      <c r="AM304" s="8">
        <f t="shared" si="149"/>
        <v>0</v>
      </c>
      <c r="AN304" s="11">
        <f t="shared" si="146"/>
        <v>0</v>
      </c>
      <c r="AO304" s="2" t="str">
        <f t="shared" si="147"/>
        <v>META</v>
      </c>
      <c r="AP304" s="37">
        <f t="shared" si="148"/>
        <v>0</v>
      </c>
      <c r="AQ304" s="37">
        <f t="shared" si="148"/>
        <v>0</v>
      </c>
    </row>
    <row r="305" spans="1:43" hidden="1" outlineLevel="1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hidden="1" outlineLevel="1" x14ac:dyDescent="0.25">
      <c r="B306" s="3" t="s">
        <v>12</v>
      </c>
      <c r="C306" s="3"/>
      <c r="D306" s="4">
        <f t="shared" ref="D306:U306" si="150">SUM(D293:D305)</f>
        <v>0</v>
      </c>
      <c r="E306" s="12">
        <f t="shared" si="150"/>
        <v>0</v>
      </c>
      <c r="F306" s="4">
        <f t="shared" si="150"/>
        <v>0</v>
      </c>
      <c r="G306" s="12">
        <f t="shared" si="150"/>
        <v>0</v>
      </c>
      <c r="H306" s="4">
        <f t="shared" si="150"/>
        <v>0</v>
      </c>
      <c r="I306" s="12">
        <f t="shared" si="150"/>
        <v>0</v>
      </c>
      <c r="J306" s="4">
        <f t="shared" si="150"/>
        <v>0</v>
      </c>
      <c r="K306" s="12">
        <f t="shared" si="150"/>
        <v>0</v>
      </c>
      <c r="L306" s="4">
        <f t="shared" si="150"/>
        <v>0</v>
      </c>
      <c r="M306" s="12">
        <f t="shared" si="150"/>
        <v>0</v>
      </c>
      <c r="N306" s="4">
        <f t="shared" si="150"/>
        <v>0</v>
      </c>
      <c r="O306" s="12">
        <f t="shared" si="150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150"/>
        <v>0</v>
      </c>
      <c r="U306" s="12">
        <f t="shared" si="150"/>
        <v>0</v>
      </c>
      <c r="Y306" s="3" t="s">
        <v>12</v>
      </c>
      <c r="Z306" s="3"/>
      <c r="AA306" s="4">
        <f t="shared" ref="AA306:AN306" si="151">SUM(AA293:AA305)</f>
        <v>0</v>
      </c>
      <c r="AB306" s="12">
        <f t="shared" si="151"/>
        <v>0</v>
      </c>
      <c r="AC306" s="4">
        <f t="shared" si="151"/>
        <v>0</v>
      </c>
      <c r="AD306" s="12">
        <f t="shared" si="151"/>
        <v>0</v>
      </c>
      <c r="AE306" s="4">
        <f t="shared" si="151"/>
        <v>0</v>
      </c>
      <c r="AF306" s="12">
        <f t="shared" si="151"/>
        <v>0</v>
      </c>
      <c r="AG306" s="4">
        <f t="shared" si="151"/>
        <v>0</v>
      </c>
      <c r="AH306" s="12">
        <f t="shared" si="151"/>
        <v>0</v>
      </c>
      <c r="AI306" s="4">
        <f t="shared" si="151"/>
        <v>0</v>
      </c>
      <c r="AJ306" s="12">
        <f t="shared" si="151"/>
        <v>0</v>
      </c>
      <c r="AK306" s="4">
        <f t="shared" si="151"/>
        <v>0</v>
      </c>
      <c r="AL306" s="12">
        <f t="shared" si="151"/>
        <v>0</v>
      </c>
      <c r="AM306" s="4">
        <f t="shared" si="151"/>
        <v>0</v>
      </c>
      <c r="AN306" s="12">
        <f t="shared" si="151"/>
        <v>0</v>
      </c>
    </row>
    <row r="307" spans="1:43" hidden="1" outlineLevel="1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collapsed="1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0"/>
      <c r="F311" s="89" t="s">
        <v>71</v>
      </c>
      <c r="G311" s="90"/>
      <c r="H311" s="89" t="s">
        <v>16</v>
      </c>
      <c r="I311" s="90"/>
      <c r="J311" s="89" t="s">
        <v>17</v>
      </c>
      <c r="K311" s="93"/>
      <c r="L311" s="89" t="s">
        <v>18</v>
      </c>
      <c r="M311" s="93"/>
      <c r="N311" s="89" t="s">
        <v>13</v>
      </c>
      <c r="O311" s="93"/>
      <c r="P311" s="89" t="s">
        <v>34</v>
      </c>
      <c r="Q311" s="93"/>
      <c r="R311" s="89" t="s">
        <v>87</v>
      </c>
      <c r="S311" s="93"/>
      <c r="T311" s="89" t="s">
        <v>12</v>
      </c>
      <c r="U311" s="93"/>
      <c r="AA311" s="89" t="s">
        <v>69</v>
      </c>
      <c r="AB311" s="90"/>
      <c r="AC311" s="89" t="s">
        <v>17</v>
      </c>
      <c r="AD311" s="93"/>
      <c r="AE311" s="89" t="s">
        <v>18</v>
      </c>
      <c r="AF311" s="93"/>
      <c r="AG311" s="89" t="s">
        <v>13</v>
      </c>
      <c r="AH311" s="93"/>
      <c r="AI311" s="89" t="s">
        <v>34</v>
      </c>
      <c r="AJ311" s="93"/>
      <c r="AK311" s="89" t="s">
        <v>87</v>
      </c>
      <c r="AL311" s="93"/>
      <c r="AM311" s="89" t="s">
        <v>12</v>
      </c>
      <c r="AN311" s="93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2026</v>
      </c>
      <c r="D314" s="1">
        <v>361</v>
      </c>
      <c r="E314" s="11">
        <v>44393</v>
      </c>
      <c r="F314" s="1">
        <v>79</v>
      </c>
      <c r="G314" s="11">
        <v>7844</v>
      </c>
      <c r="H314" s="1">
        <v>371</v>
      </c>
      <c r="I314" s="11">
        <v>78985</v>
      </c>
      <c r="J314" s="1">
        <v>9126</v>
      </c>
      <c r="K314" s="11">
        <v>1057054</v>
      </c>
      <c r="L314" s="1">
        <v>107</v>
      </c>
      <c r="M314" s="11">
        <v>19710</v>
      </c>
      <c r="N314" s="1">
        <v>86</v>
      </c>
      <c r="O314" s="11">
        <v>12913</v>
      </c>
      <c r="P314" s="8">
        <v>0</v>
      </c>
      <c r="Q314" s="11">
        <v>0</v>
      </c>
      <c r="R314" s="8">
        <v>207</v>
      </c>
      <c r="S314" s="11">
        <v>21952</v>
      </c>
      <c r="T314" s="53">
        <f t="shared" ref="T314:U325" si="152">N314+L314+J314+H314+D314+P314+F314+R314</f>
        <v>10337</v>
      </c>
      <c r="U314" s="54">
        <f t="shared" si="152"/>
        <v>1242851</v>
      </c>
      <c r="V314" s="2" t="s">
        <v>90</v>
      </c>
      <c r="Y314" s="2" t="s">
        <v>5</v>
      </c>
      <c r="Z314" s="2">
        <v>2026</v>
      </c>
      <c r="AA314" s="1">
        <f t="shared" ref="AA314:AB325" si="153">D314+H314+F314</f>
        <v>811</v>
      </c>
      <c r="AB314" s="11">
        <f t="shared" si="153"/>
        <v>131222</v>
      </c>
      <c r="AC314" s="1">
        <f t="shared" ref="AC314:AL325" si="154">+J314</f>
        <v>9126</v>
      </c>
      <c r="AD314" s="11">
        <f t="shared" si="154"/>
        <v>1057054</v>
      </c>
      <c r="AE314" s="8">
        <f t="shared" si="154"/>
        <v>107</v>
      </c>
      <c r="AF314" s="11">
        <f t="shared" si="154"/>
        <v>19710</v>
      </c>
      <c r="AG314" s="8">
        <f t="shared" si="154"/>
        <v>86</v>
      </c>
      <c r="AH314" s="11">
        <f t="shared" si="154"/>
        <v>12913</v>
      </c>
      <c r="AI314" s="8">
        <f t="shared" si="154"/>
        <v>0</v>
      </c>
      <c r="AJ314" s="11">
        <f t="shared" si="154"/>
        <v>0</v>
      </c>
      <c r="AK314" s="11">
        <f t="shared" si="154"/>
        <v>207</v>
      </c>
      <c r="AL314" s="11">
        <f t="shared" si="154"/>
        <v>21952</v>
      </c>
      <c r="AM314" s="8">
        <f>AI314+AG314+AE314+AC314+AA314+AK314</f>
        <v>10337</v>
      </c>
      <c r="AN314" s="11">
        <f t="shared" ref="AN314:AN325" si="155">AJ314+AH314+AF314+AD314+AB314+AL314</f>
        <v>1242851</v>
      </c>
      <c r="AO314" s="2" t="str">
        <f t="shared" ref="AO314:AO325" si="156">+V314</f>
        <v>COTESA</v>
      </c>
      <c r="AP314" s="37">
        <f t="shared" ref="AP314:AQ325" si="157">+AM314-T314</f>
        <v>0</v>
      </c>
      <c r="AQ314" s="37">
        <f t="shared" si="157"/>
        <v>0</v>
      </c>
    </row>
    <row r="315" spans="1:43" x14ac:dyDescent="0.25">
      <c r="B315" s="2" t="s">
        <v>6</v>
      </c>
      <c r="C315" s="2">
        <v>2026</v>
      </c>
      <c r="D315" s="1">
        <v>270</v>
      </c>
      <c r="E315" s="11">
        <v>35960</v>
      </c>
      <c r="F315" s="1">
        <v>54</v>
      </c>
      <c r="G315" s="11">
        <v>5964</v>
      </c>
      <c r="H315" s="1">
        <v>298</v>
      </c>
      <c r="I315" s="11">
        <v>63383</v>
      </c>
      <c r="J315" s="1">
        <v>7421</v>
      </c>
      <c r="K315" s="11">
        <v>870059</v>
      </c>
      <c r="L315" s="1">
        <v>71</v>
      </c>
      <c r="M315" s="11">
        <v>16011</v>
      </c>
      <c r="N315" s="1">
        <v>52</v>
      </c>
      <c r="O315" s="11">
        <v>7750</v>
      </c>
      <c r="P315" s="8">
        <v>0</v>
      </c>
      <c r="Q315" s="11">
        <v>0</v>
      </c>
      <c r="R315" s="8">
        <v>149</v>
      </c>
      <c r="S315" s="11">
        <v>15924</v>
      </c>
      <c r="T315" s="53">
        <f t="shared" si="152"/>
        <v>8315</v>
      </c>
      <c r="U315" s="54">
        <f t="shared" si="152"/>
        <v>1015051</v>
      </c>
      <c r="V315" s="2" t="s">
        <v>90</v>
      </c>
      <c r="Y315" s="2" t="s">
        <v>6</v>
      </c>
      <c r="Z315" s="2">
        <v>2026</v>
      </c>
      <c r="AA315" s="1">
        <f t="shared" si="153"/>
        <v>622</v>
      </c>
      <c r="AB315" s="11">
        <f t="shared" si="153"/>
        <v>105307</v>
      </c>
      <c r="AC315" s="1">
        <f t="shared" si="154"/>
        <v>7421</v>
      </c>
      <c r="AD315" s="11">
        <f t="shared" si="154"/>
        <v>870059</v>
      </c>
      <c r="AE315" s="8">
        <f t="shared" si="154"/>
        <v>71</v>
      </c>
      <c r="AF315" s="11">
        <f t="shared" si="154"/>
        <v>16011</v>
      </c>
      <c r="AG315" s="8">
        <f t="shared" si="154"/>
        <v>52</v>
      </c>
      <c r="AH315" s="11">
        <f t="shared" si="154"/>
        <v>7750</v>
      </c>
      <c r="AI315" s="8">
        <f t="shared" si="154"/>
        <v>0</v>
      </c>
      <c r="AJ315" s="11">
        <f t="shared" si="154"/>
        <v>0</v>
      </c>
      <c r="AK315" s="11">
        <f t="shared" si="154"/>
        <v>149</v>
      </c>
      <c r="AL315" s="11">
        <f t="shared" si="154"/>
        <v>15924</v>
      </c>
      <c r="AM315" s="8">
        <f t="shared" ref="AM315:AM325" si="158">AI315+AG315+AE315+AC315+AA315+AK315</f>
        <v>8315</v>
      </c>
      <c r="AN315" s="11">
        <f t="shared" si="155"/>
        <v>1015051</v>
      </c>
      <c r="AO315" s="2" t="str">
        <f t="shared" si="156"/>
        <v>COTESA</v>
      </c>
      <c r="AP315" s="37">
        <f t="shared" si="157"/>
        <v>0</v>
      </c>
      <c r="AQ315" s="37">
        <f t="shared" si="157"/>
        <v>0</v>
      </c>
    </row>
    <row r="316" spans="1:43" x14ac:dyDescent="0.25">
      <c r="B316" s="2" t="s">
        <v>7</v>
      </c>
      <c r="C316" s="2">
        <v>2026</v>
      </c>
      <c r="D316" s="1">
        <v>296</v>
      </c>
      <c r="E316" s="11">
        <v>37831</v>
      </c>
      <c r="F316" s="1">
        <v>53</v>
      </c>
      <c r="G316" s="11">
        <v>6484</v>
      </c>
      <c r="H316" s="1">
        <v>553</v>
      </c>
      <c r="I316" s="11">
        <v>119370</v>
      </c>
      <c r="J316" s="1">
        <v>9440</v>
      </c>
      <c r="K316" s="11">
        <v>1092227</v>
      </c>
      <c r="L316" s="1">
        <v>111</v>
      </c>
      <c r="M316" s="11">
        <v>24632</v>
      </c>
      <c r="N316" s="1">
        <v>45</v>
      </c>
      <c r="O316" s="11">
        <v>6462</v>
      </c>
      <c r="P316" s="8">
        <v>0</v>
      </c>
      <c r="Q316" s="11">
        <v>0</v>
      </c>
      <c r="R316" s="8">
        <v>264</v>
      </c>
      <c r="S316" s="11">
        <v>27607</v>
      </c>
      <c r="T316" s="53">
        <f t="shared" si="152"/>
        <v>10762</v>
      </c>
      <c r="U316" s="54">
        <f t="shared" si="152"/>
        <v>1314613</v>
      </c>
      <c r="V316" s="2" t="s">
        <v>90</v>
      </c>
      <c r="Y316" s="2" t="s">
        <v>7</v>
      </c>
      <c r="Z316" s="2">
        <v>2026</v>
      </c>
      <c r="AA316" s="1">
        <f t="shared" si="153"/>
        <v>902</v>
      </c>
      <c r="AB316" s="11">
        <f t="shared" si="153"/>
        <v>163685</v>
      </c>
      <c r="AC316" s="1">
        <f t="shared" si="154"/>
        <v>9440</v>
      </c>
      <c r="AD316" s="11">
        <f t="shared" si="154"/>
        <v>1092227</v>
      </c>
      <c r="AE316" s="8">
        <f t="shared" si="154"/>
        <v>111</v>
      </c>
      <c r="AF316" s="11">
        <f t="shared" si="154"/>
        <v>24632</v>
      </c>
      <c r="AG316" s="8">
        <f t="shared" si="154"/>
        <v>45</v>
      </c>
      <c r="AH316" s="11">
        <f t="shared" si="154"/>
        <v>6462</v>
      </c>
      <c r="AI316" s="8">
        <f t="shared" si="154"/>
        <v>0</v>
      </c>
      <c r="AJ316" s="11">
        <f t="shared" si="154"/>
        <v>0</v>
      </c>
      <c r="AK316" s="11">
        <f t="shared" si="154"/>
        <v>264</v>
      </c>
      <c r="AL316" s="11">
        <f t="shared" si="154"/>
        <v>27607</v>
      </c>
      <c r="AM316" s="8">
        <f t="shared" si="158"/>
        <v>10762</v>
      </c>
      <c r="AN316" s="11">
        <f t="shared" si="155"/>
        <v>1314613</v>
      </c>
      <c r="AO316" s="2" t="str">
        <f t="shared" si="156"/>
        <v>COTESA</v>
      </c>
      <c r="AP316" s="37">
        <f t="shared" si="157"/>
        <v>0</v>
      </c>
      <c r="AQ316" s="37">
        <f t="shared" si="157"/>
        <v>0</v>
      </c>
    </row>
    <row r="317" spans="1:43" x14ac:dyDescent="0.25">
      <c r="B317" s="2" t="s">
        <v>8</v>
      </c>
      <c r="C317" s="2">
        <v>2026</v>
      </c>
      <c r="D317" s="1">
        <v>464</v>
      </c>
      <c r="E317" s="11">
        <v>59043</v>
      </c>
      <c r="F317" s="1">
        <v>59</v>
      </c>
      <c r="G317" s="11">
        <v>6696</v>
      </c>
      <c r="H317" s="1">
        <v>740</v>
      </c>
      <c r="I317" s="11">
        <v>165473</v>
      </c>
      <c r="J317" s="1">
        <v>10819</v>
      </c>
      <c r="K317" s="11">
        <v>1260482</v>
      </c>
      <c r="L317" s="1">
        <v>130</v>
      </c>
      <c r="M317" s="11">
        <v>23889</v>
      </c>
      <c r="N317" s="1">
        <v>47</v>
      </c>
      <c r="O317" s="11">
        <v>5114</v>
      </c>
      <c r="P317" s="8">
        <v>4</v>
      </c>
      <c r="Q317" s="11">
        <v>524</v>
      </c>
      <c r="R317" s="8">
        <v>298</v>
      </c>
      <c r="S317" s="11">
        <v>31972</v>
      </c>
      <c r="T317" s="53">
        <f t="shared" si="152"/>
        <v>12561</v>
      </c>
      <c r="U317" s="54">
        <f t="shared" si="152"/>
        <v>1553193</v>
      </c>
      <c r="V317" s="2" t="s">
        <v>90</v>
      </c>
      <c r="X317" s="13"/>
      <c r="Y317" s="2" t="s">
        <v>8</v>
      </c>
      <c r="Z317" s="2">
        <v>2026</v>
      </c>
      <c r="AA317" s="1">
        <f t="shared" si="153"/>
        <v>1263</v>
      </c>
      <c r="AB317" s="11">
        <f t="shared" si="153"/>
        <v>231212</v>
      </c>
      <c r="AC317" s="1">
        <f t="shared" si="154"/>
        <v>10819</v>
      </c>
      <c r="AD317" s="11">
        <f t="shared" si="154"/>
        <v>1260482</v>
      </c>
      <c r="AE317" s="8">
        <f t="shared" si="154"/>
        <v>130</v>
      </c>
      <c r="AF317" s="11">
        <f t="shared" si="154"/>
        <v>23889</v>
      </c>
      <c r="AG317" s="8">
        <f t="shared" si="154"/>
        <v>47</v>
      </c>
      <c r="AH317" s="11">
        <f t="shared" si="154"/>
        <v>5114</v>
      </c>
      <c r="AI317" s="8">
        <f t="shared" si="154"/>
        <v>4</v>
      </c>
      <c r="AJ317" s="11">
        <f t="shared" si="154"/>
        <v>524</v>
      </c>
      <c r="AK317" s="11">
        <f t="shared" si="154"/>
        <v>298</v>
      </c>
      <c r="AL317" s="11">
        <f t="shared" si="154"/>
        <v>31972</v>
      </c>
      <c r="AM317" s="8">
        <f t="shared" si="158"/>
        <v>12561</v>
      </c>
      <c r="AN317" s="11">
        <f t="shared" si="155"/>
        <v>1553193</v>
      </c>
      <c r="AO317" s="2" t="str">
        <f t="shared" si="156"/>
        <v>COTESA</v>
      </c>
      <c r="AP317" s="37">
        <f t="shared" si="157"/>
        <v>0</v>
      </c>
      <c r="AQ317" s="37">
        <f t="shared" si="157"/>
        <v>0</v>
      </c>
    </row>
    <row r="318" spans="1:43" x14ac:dyDescent="0.25">
      <c r="B318" s="2" t="s">
        <v>9</v>
      </c>
      <c r="C318" s="2">
        <v>2026</v>
      </c>
      <c r="D318" s="1">
        <v>312</v>
      </c>
      <c r="E318" s="11">
        <v>43107</v>
      </c>
      <c r="F318" s="1">
        <v>39</v>
      </c>
      <c r="G318" s="11">
        <v>5464</v>
      </c>
      <c r="H318" s="1">
        <v>733</v>
      </c>
      <c r="I318" s="11">
        <v>165424</v>
      </c>
      <c r="J318" s="1">
        <v>9690</v>
      </c>
      <c r="K318" s="11">
        <v>1179317</v>
      </c>
      <c r="L318" s="1">
        <v>132</v>
      </c>
      <c r="M318" s="11">
        <v>24726</v>
      </c>
      <c r="N318" s="1">
        <v>57</v>
      </c>
      <c r="O318" s="11">
        <v>7417</v>
      </c>
      <c r="P318" s="8">
        <v>2</v>
      </c>
      <c r="Q318" s="11">
        <v>710</v>
      </c>
      <c r="R318" s="8">
        <v>243</v>
      </c>
      <c r="S318" s="11">
        <v>26919</v>
      </c>
      <c r="T318" s="53">
        <f t="shared" si="152"/>
        <v>11208</v>
      </c>
      <c r="U318" s="54">
        <f t="shared" si="152"/>
        <v>1453084</v>
      </c>
      <c r="V318" s="2" t="s">
        <v>90</v>
      </c>
      <c r="X318" s="13"/>
      <c r="Y318" s="2" t="s">
        <v>9</v>
      </c>
      <c r="Z318" s="2">
        <v>2026</v>
      </c>
      <c r="AA318" s="1">
        <f t="shared" si="153"/>
        <v>1084</v>
      </c>
      <c r="AB318" s="11">
        <f t="shared" si="153"/>
        <v>213995</v>
      </c>
      <c r="AC318" s="1">
        <f t="shared" si="154"/>
        <v>9690</v>
      </c>
      <c r="AD318" s="11">
        <f t="shared" si="154"/>
        <v>1179317</v>
      </c>
      <c r="AE318" s="8">
        <f t="shared" si="154"/>
        <v>132</v>
      </c>
      <c r="AF318" s="11">
        <f t="shared" si="154"/>
        <v>24726</v>
      </c>
      <c r="AG318" s="8">
        <f t="shared" si="154"/>
        <v>57</v>
      </c>
      <c r="AH318" s="11">
        <f t="shared" si="154"/>
        <v>7417</v>
      </c>
      <c r="AI318" s="8">
        <f t="shared" si="154"/>
        <v>2</v>
      </c>
      <c r="AJ318" s="11">
        <f t="shared" si="154"/>
        <v>710</v>
      </c>
      <c r="AK318" s="11">
        <f t="shared" si="154"/>
        <v>243</v>
      </c>
      <c r="AL318" s="11">
        <f t="shared" si="154"/>
        <v>26919</v>
      </c>
      <c r="AM318" s="8">
        <f t="shared" si="158"/>
        <v>11208</v>
      </c>
      <c r="AN318" s="11">
        <f t="shared" si="155"/>
        <v>1453084</v>
      </c>
      <c r="AO318" s="2" t="str">
        <f t="shared" si="156"/>
        <v>COTESA</v>
      </c>
      <c r="AP318" s="37">
        <f t="shared" si="157"/>
        <v>0</v>
      </c>
      <c r="AQ318" s="37">
        <f t="shared" si="157"/>
        <v>0</v>
      </c>
    </row>
    <row r="319" spans="1:43" x14ac:dyDescent="0.25">
      <c r="B319" s="2" t="s">
        <v>10</v>
      </c>
      <c r="C319" s="2">
        <v>2026</v>
      </c>
      <c r="D319" s="1">
        <v>193</v>
      </c>
      <c r="E319" s="11">
        <v>32223</v>
      </c>
      <c r="F319" s="1">
        <v>42</v>
      </c>
      <c r="G319" s="11">
        <v>6308</v>
      </c>
      <c r="H319" s="1">
        <v>768</v>
      </c>
      <c r="I319" s="11">
        <v>172340</v>
      </c>
      <c r="J319" s="1">
        <v>8608</v>
      </c>
      <c r="K319" s="11">
        <v>1077341</v>
      </c>
      <c r="L319" s="1">
        <v>147</v>
      </c>
      <c r="M319" s="11">
        <v>29865</v>
      </c>
      <c r="N319" s="1">
        <v>60</v>
      </c>
      <c r="O319" s="11">
        <v>8227</v>
      </c>
      <c r="P319" s="8">
        <v>0</v>
      </c>
      <c r="Q319" s="11">
        <v>0</v>
      </c>
      <c r="R319" s="8">
        <v>203</v>
      </c>
      <c r="S319" s="11">
        <v>24397</v>
      </c>
      <c r="T319" s="53">
        <f t="shared" si="152"/>
        <v>10021</v>
      </c>
      <c r="U319" s="54">
        <f t="shared" si="152"/>
        <v>1350701</v>
      </c>
      <c r="V319" s="2" t="s">
        <v>90</v>
      </c>
      <c r="Y319" s="2" t="s">
        <v>10</v>
      </c>
      <c r="Z319" s="2">
        <v>2026</v>
      </c>
      <c r="AA319" s="1">
        <f t="shared" si="153"/>
        <v>1003</v>
      </c>
      <c r="AB319" s="11">
        <f t="shared" si="153"/>
        <v>210871</v>
      </c>
      <c r="AC319" s="1">
        <f t="shared" si="154"/>
        <v>8608</v>
      </c>
      <c r="AD319" s="11">
        <f t="shared" si="154"/>
        <v>1077341</v>
      </c>
      <c r="AE319" s="8">
        <f t="shared" si="154"/>
        <v>147</v>
      </c>
      <c r="AF319" s="11">
        <f t="shared" si="154"/>
        <v>29865</v>
      </c>
      <c r="AG319" s="8">
        <f t="shared" si="154"/>
        <v>60</v>
      </c>
      <c r="AH319" s="11">
        <f t="shared" si="154"/>
        <v>8227</v>
      </c>
      <c r="AI319" s="8">
        <f t="shared" si="154"/>
        <v>0</v>
      </c>
      <c r="AJ319" s="11">
        <f t="shared" si="154"/>
        <v>0</v>
      </c>
      <c r="AK319" s="11">
        <f t="shared" si="154"/>
        <v>203</v>
      </c>
      <c r="AL319" s="11">
        <f t="shared" si="154"/>
        <v>24397</v>
      </c>
      <c r="AM319" s="8">
        <f t="shared" si="158"/>
        <v>10021</v>
      </c>
      <c r="AN319" s="11">
        <f t="shared" si="155"/>
        <v>1350701</v>
      </c>
      <c r="AO319" s="2" t="str">
        <f t="shared" si="156"/>
        <v>COTESA</v>
      </c>
      <c r="AP319" s="37">
        <f t="shared" si="157"/>
        <v>0</v>
      </c>
      <c r="AQ319" s="37">
        <f t="shared" si="157"/>
        <v>0</v>
      </c>
    </row>
    <row r="320" spans="1:43" x14ac:dyDescent="0.25">
      <c r="B320" s="2" t="s">
        <v>11</v>
      </c>
      <c r="C320" s="2">
        <v>2026</v>
      </c>
      <c r="D320" s="1"/>
      <c r="E320" s="11"/>
      <c r="F320" s="1"/>
      <c r="G320" s="11"/>
      <c r="H320" s="1"/>
      <c r="I320" s="11"/>
      <c r="J320" s="1"/>
      <c r="K320" s="11"/>
      <c r="L320" s="1"/>
      <c r="M320" s="11"/>
      <c r="N320" s="1"/>
      <c r="O320" s="11"/>
      <c r="P320" s="8"/>
      <c r="Q320" s="11"/>
      <c r="R320" s="8"/>
      <c r="S320" s="11"/>
      <c r="T320" s="53">
        <f t="shared" si="152"/>
        <v>0</v>
      </c>
      <c r="U320" s="54">
        <f t="shared" si="152"/>
        <v>0</v>
      </c>
      <c r="V320" s="2" t="s">
        <v>90</v>
      </c>
      <c r="Y320" s="2" t="s">
        <v>11</v>
      </c>
      <c r="Z320" s="2">
        <v>2026</v>
      </c>
      <c r="AA320" s="1">
        <f t="shared" si="153"/>
        <v>0</v>
      </c>
      <c r="AB320" s="11">
        <f t="shared" si="153"/>
        <v>0</v>
      </c>
      <c r="AC320" s="1">
        <f t="shared" si="154"/>
        <v>0</v>
      </c>
      <c r="AD320" s="11">
        <f t="shared" si="154"/>
        <v>0</v>
      </c>
      <c r="AE320" s="8">
        <f t="shared" si="154"/>
        <v>0</v>
      </c>
      <c r="AF320" s="11">
        <f t="shared" si="154"/>
        <v>0</v>
      </c>
      <c r="AG320" s="8">
        <f t="shared" si="154"/>
        <v>0</v>
      </c>
      <c r="AH320" s="11">
        <f t="shared" si="154"/>
        <v>0</v>
      </c>
      <c r="AI320" s="8">
        <f t="shared" si="154"/>
        <v>0</v>
      </c>
      <c r="AJ320" s="11">
        <f t="shared" si="154"/>
        <v>0</v>
      </c>
      <c r="AK320" s="11">
        <f t="shared" si="154"/>
        <v>0</v>
      </c>
      <c r="AL320" s="11">
        <f t="shared" si="154"/>
        <v>0</v>
      </c>
      <c r="AM320" s="8">
        <f t="shared" si="158"/>
        <v>0</v>
      </c>
      <c r="AN320" s="11">
        <f t="shared" si="155"/>
        <v>0</v>
      </c>
      <c r="AO320" s="2" t="str">
        <f t="shared" si="156"/>
        <v>COTESA</v>
      </c>
      <c r="AP320" s="37">
        <f t="shared" si="157"/>
        <v>0</v>
      </c>
      <c r="AQ320" s="37">
        <f t="shared" si="157"/>
        <v>0</v>
      </c>
    </row>
    <row r="321" spans="1:43" x14ac:dyDescent="0.25">
      <c r="B321" s="2" t="s">
        <v>4</v>
      </c>
      <c r="C321" s="2">
        <v>2026</v>
      </c>
      <c r="D321" s="1"/>
      <c r="E321" s="11"/>
      <c r="F321" s="1"/>
      <c r="G321" s="11"/>
      <c r="H321" s="1"/>
      <c r="I321" s="11"/>
      <c r="J321" s="1"/>
      <c r="K321" s="11"/>
      <c r="L321" s="1"/>
      <c r="M321" s="11"/>
      <c r="N321" s="1"/>
      <c r="O321" s="11"/>
      <c r="P321" s="8"/>
      <c r="Q321" s="11"/>
      <c r="R321" s="8"/>
      <c r="S321" s="11"/>
      <c r="T321" s="53">
        <f t="shared" si="152"/>
        <v>0</v>
      </c>
      <c r="U321" s="54">
        <f t="shared" si="152"/>
        <v>0</v>
      </c>
      <c r="V321" s="2" t="s">
        <v>90</v>
      </c>
      <c r="Y321" s="2" t="s">
        <v>4</v>
      </c>
      <c r="Z321" s="2">
        <v>2026</v>
      </c>
      <c r="AA321" s="1">
        <f t="shared" si="153"/>
        <v>0</v>
      </c>
      <c r="AB321" s="11">
        <f t="shared" si="153"/>
        <v>0</v>
      </c>
      <c r="AC321" s="1">
        <f t="shared" si="154"/>
        <v>0</v>
      </c>
      <c r="AD321" s="11">
        <f t="shared" si="154"/>
        <v>0</v>
      </c>
      <c r="AE321" s="8">
        <f t="shared" si="154"/>
        <v>0</v>
      </c>
      <c r="AF321" s="11">
        <f t="shared" si="154"/>
        <v>0</v>
      </c>
      <c r="AG321" s="8">
        <f t="shared" si="154"/>
        <v>0</v>
      </c>
      <c r="AH321" s="11">
        <f t="shared" si="154"/>
        <v>0</v>
      </c>
      <c r="AI321" s="8">
        <f t="shared" si="154"/>
        <v>0</v>
      </c>
      <c r="AJ321" s="11">
        <f t="shared" si="154"/>
        <v>0</v>
      </c>
      <c r="AK321" s="11">
        <f t="shared" si="154"/>
        <v>0</v>
      </c>
      <c r="AL321" s="11">
        <f t="shared" si="154"/>
        <v>0</v>
      </c>
      <c r="AM321" s="27">
        <f t="shared" si="158"/>
        <v>0</v>
      </c>
      <c r="AN321" s="14">
        <f t="shared" si="155"/>
        <v>0</v>
      </c>
      <c r="AO321" s="2" t="str">
        <f t="shared" si="156"/>
        <v>COTESA</v>
      </c>
      <c r="AP321" s="37">
        <f t="shared" si="157"/>
        <v>0</v>
      </c>
      <c r="AQ321" s="37">
        <f t="shared" si="157"/>
        <v>0</v>
      </c>
    </row>
    <row r="322" spans="1:43" x14ac:dyDescent="0.25">
      <c r="B322" s="2" t="s">
        <v>28</v>
      </c>
      <c r="C322" s="2">
        <v>2026</v>
      </c>
      <c r="D322" s="1"/>
      <c r="E322" s="11"/>
      <c r="F322" s="1"/>
      <c r="G322" s="11"/>
      <c r="H322" s="1"/>
      <c r="I322" s="11"/>
      <c r="J322" s="1"/>
      <c r="K322" s="11"/>
      <c r="L322" s="1"/>
      <c r="M322" s="11"/>
      <c r="N322" s="1"/>
      <c r="O322" s="11"/>
      <c r="P322" s="8"/>
      <c r="Q322" s="11"/>
      <c r="R322" s="8"/>
      <c r="S322" s="11"/>
      <c r="T322" s="53">
        <f t="shared" si="152"/>
        <v>0</v>
      </c>
      <c r="U322" s="54">
        <f t="shared" si="152"/>
        <v>0</v>
      </c>
      <c r="V322" s="2" t="s">
        <v>90</v>
      </c>
      <c r="Y322" s="2" t="s">
        <v>28</v>
      </c>
      <c r="Z322" s="2">
        <v>2026</v>
      </c>
      <c r="AA322" s="1">
        <f t="shared" si="153"/>
        <v>0</v>
      </c>
      <c r="AB322" s="11">
        <f t="shared" si="153"/>
        <v>0</v>
      </c>
      <c r="AC322" s="1">
        <f t="shared" si="154"/>
        <v>0</v>
      </c>
      <c r="AD322" s="11">
        <f t="shared" si="154"/>
        <v>0</v>
      </c>
      <c r="AE322" s="8">
        <f t="shared" si="154"/>
        <v>0</v>
      </c>
      <c r="AF322" s="11">
        <f t="shared" si="154"/>
        <v>0</v>
      </c>
      <c r="AG322" s="8">
        <f t="shared" si="154"/>
        <v>0</v>
      </c>
      <c r="AH322" s="11">
        <f t="shared" si="154"/>
        <v>0</v>
      </c>
      <c r="AI322" s="8">
        <f t="shared" si="154"/>
        <v>0</v>
      </c>
      <c r="AJ322" s="11">
        <f t="shared" si="154"/>
        <v>0</v>
      </c>
      <c r="AK322" s="11">
        <f t="shared" si="154"/>
        <v>0</v>
      </c>
      <c r="AL322" s="11">
        <f t="shared" si="154"/>
        <v>0</v>
      </c>
      <c r="AM322" s="8">
        <f t="shared" si="158"/>
        <v>0</v>
      </c>
      <c r="AN322" s="11">
        <f t="shared" si="155"/>
        <v>0</v>
      </c>
      <c r="AO322" s="2" t="str">
        <f t="shared" si="156"/>
        <v>COTESA</v>
      </c>
      <c r="AP322" s="37">
        <f t="shared" si="157"/>
        <v>0</v>
      </c>
      <c r="AQ322" s="37">
        <f t="shared" si="157"/>
        <v>0</v>
      </c>
    </row>
    <row r="323" spans="1:43" x14ac:dyDescent="0.25">
      <c r="B323" s="2" t="s">
        <v>29</v>
      </c>
      <c r="C323" s="2">
        <v>2026</v>
      </c>
      <c r="D323" s="1"/>
      <c r="E323" s="11"/>
      <c r="F323" s="1"/>
      <c r="G323" s="11"/>
      <c r="H323" s="1"/>
      <c r="I323" s="11"/>
      <c r="J323" s="1"/>
      <c r="K323" s="11"/>
      <c r="L323" s="1"/>
      <c r="M323" s="11"/>
      <c r="N323" s="1"/>
      <c r="O323" s="11"/>
      <c r="P323" s="8"/>
      <c r="Q323" s="11"/>
      <c r="R323" s="8"/>
      <c r="S323" s="11"/>
      <c r="T323" s="53">
        <f t="shared" si="152"/>
        <v>0</v>
      </c>
      <c r="U323" s="54">
        <f t="shared" si="152"/>
        <v>0</v>
      </c>
      <c r="V323" s="2" t="s">
        <v>90</v>
      </c>
      <c r="Y323" s="2" t="s">
        <v>29</v>
      </c>
      <c r="Z323" s="2">
        <v>2026</v>
      </c>
      <c r="AA323" s="1">
        <f t="shared" si="153"/>
        <v>0</v>
      </c>
      <c r="AB323" s="11">
        <f t="shared" si="153"/>
        <v>0</v>
      </c>
      <c r="AC323" s="1">
        <f t="shared" si="154"/>
        <v>0</v>
      </c>
      <c r="AD323" s="11">
        <f t="shared" si="154"/>
        <v>0</v>
      </c>
      <c r="AE323" s="8">
        <f t="shared" si="154"/>
        <v>0</v>
      </c>
      <c r="AF323" s="11">
        <f t="shared" si="154"/>
        <v>0</v>
      </c>
      <c r="AG323" s="8">
        <f t="shared" si="154"/>
        <v>0</v>
      </c>
      <c r="AH323" s="11">
        <f t="shared" si="154"/>
        <v>0</v>
      </c>
      <c r="AI323" s="8">
        <f t="shared" si="154"/>
        <v>0</v>
      </c>
      <c r="AJ323" s="11">
        <f t="shared" si="154"/>
        <v>0</v>
      </c>
      <c r="AK323" s="11">
        <f t="shared" si="154"/>
        <v>0</v>
      </c>
      <c r="AL323" s="11">
        <f t="shared" si="154"/>
        <v>0</v>
      </c>
      <c r="AM323" s="8">
        <f t="shared" si="158"/>
        <v>0</v>
      </c>
      <c r="AN323" s="11">
        <f t="shared" si="155"/>
        <v>0</v>
      </c>
      <c r="AO323" s="2" t="str">
        <f t="shared" si="156"/>
        <v>COTESA</v>
      </c>
      <c r="AP323" s="37">
        <f t="shared" si="157"/>
        <v>0</v>
      </c>
      <c r="AQ323" s="37">
        <f t="shared" si="157"/>
        <v>0</v>
      </c>
    </row>
    <row r="324" spans="1:43" x14ac:dyDescent="0.25">
      <c r="B324" s="2" t="s">
        <v>30</v>
      </c>
      <c r="C324" s="2">
        <v>2026</v>
      </c>
      <c r="D324" s="1"/>
      <c r="E324" s="11"/>
      <c r="F324" s="1"/>
      <c r="G324" s="11"/>
      <c r="H324" s="1"/>
      <c r="I324" s="11"/>
      <c r="J324" s="1"/>
      <c r="K324" s="11"/>
      <c r="L324" s="1"/>
      <c r="M324" s="11"/>
      <c r="N324" s="1"/>
      <c r="O324" s="11"/>
      <c r="P324" s="8"/>
      <c r="Q324" s="11"/>
      <c r="R324" s="11"/>
      <c r="S324" s="11"/>
      <c r="T324" s="53">
        <f t="shared" si="152"/>
        <v>0</v>
      </c>
      <c r="U324" s="54">
        <f t="shared" si="152"/>
        <v>0</v>
      </c>
      <c r="V324" s="2" t="s">
        <v>90</v>
      </c>
      <c r="Y324" s="2" t="s">
        <v>30</v>
      </c>
      <c r="Z324" s="2">
        <v>2026</v>
      </c>
      <c r="AA324" s="1">
        <f t="shared" si="153"/>
        <v>0</v>
      </c>
      <c r="AB324" s="11">
        <f t="shared" si="153"/>
        <v>0</v>
      </c>
      <c r="AC324" s="1">
        <f t="shared" si="154"/>
        <v>0</v>
      </c>
      <c r="AD324" s="11">
        <f t="shared" si="154"/>
        <v>0</v>
      </c>
      <c r="AE324" s="8">
        <f t="shared" si="154"/>
        <v>0</v>
      </c>
      <c r="AF324" s="11">
        <f t="shared" si="154"/>
        <v>0</v>
      </c>
      <c r="AG324" s="8">
        <f t="shared" si="154"/>
        <v>0</v>
      </c>
      <c r="AH324" s="11">
        <f t="shared" si="154"/>
        <v>0</v>
      </c>
      <c r="AI324" s="8">
        <f t="shared" si="154"/>
        <v>0</v>
      </c>
      <c r="AJ324" s="11">
        <f t="shared" si="154"/>
        <v>0</v>
      </c>
      <c r="AK324" s="11">
        <f t="shared" si="154"/>
        <v>0</v>
      </c>
      <c r="AL324" s="11">
        <f t="shared" si="154"/>
        <v>0</v>
      </c>
      <c r="AM324" s="79">
        <f t="shared" si="158"/>
        <v>0</v>
      </c>
      <c r="AN324" s="80">
        <f t="shared" si="155"/>
        <v>0</v>
      </c>
      <c r="AO324" s="2" t="str">
        <f t="shared" si="156"/>
        <v>COTESA</v>
      </c>
      <c r="AP324" s="37">
        <f t="shared" si="157"/>
        <v>0</v>
      </c>
      <c r="AQ324" s="37">
        <f t="shared" si="157"/>
        <v>0</v>
      </c>
    </row>
    <row r="325" spans="1:43" x14ac:dyDescent="0.25">
      <c r="B325" s="2" t="s">
        <v>31</v>
      </c>
      <c r="C325" s="2">
        <v>2026</v>
      </c>
      <c r="D325" s="1"/>
      <c r="E325" s="11"/>
      <c r="F325" s="1"/>
      <c r="G325" s="11"/>
      <c r="H325" s="1"/>
      <c r="I325" s="11"/>
      <c r="J325" s="1"/>
      <c r="K325" s="11"/>
      <c r="L325" s="1"/>
      <c r="M325" s="11"/>
      <c r="N325" s="1"/>
      <c r="O325" s="11"/>
      <c r="P325" s="8"/>
      <c r="Q325" s="11"/>
      <c r="R325" s="11"/>
      <c r="S325" s="11"/>
      <c r="T325" s="53">
        <f t="shared" si="152"/>
        <v>0</v>
      </c>
      <c r="U325" s="54">
        <f t="shared" si="152"/>
        <v>0</v>
      </c>
      <c r="V325" s="2" t="s">
        <v>90</v>
      </c>
      <c r="W325" s="13"/>
      <c r="Y325" s="2" t="s">
        <v>31</v>
      </c>
      <c r="Z325" s="2">
        <v>2026</v>
      </c>
      <c r="AA325" s="1">
        <f t="shared" si="153"/>
        <v>0</v>
      </c>
      <c r="AB325" s="11">
        <f t="shared" si="153"/>
        <v>0</v>
      </c>
      <c r="AC325" s="1">
        <f t="shared" si="154"/>
        <v>0</v>
      </c>
      <c r="AD325" s="11">
        <f t="shared" si="154"/>
        <v>0</v>
      </c>
      <c r="AE325" s="8">
        <f t="shared" si="154"/>
        <v>0</v>
      </c>
      <c r="AF325" s="11">
        <f t="shared" si="154"/>
        <v>0</v>
      </c>
      <c r="AG325" s="8">
        <f t="shared" si="154"/>
        <v>0</v>
      </c>
      <c r="AH325" s="11">
        <f t="shared" si="154"/>
        <v>0</v>
      </c>
      <c r="AI325" s="8">
        <f t="shared" si="154"/>
        <v>0</v>
      </c>
      <c r="AJ325" s="11">
        <f t="shared" si="154"/>
        <v>0</v>
      </c>
      <c r="AK325" s="11">
        <f t="shared" si="154"/>
        <v>0</v>
      </c>
      <c r="AL325" s="11">
        <f t="shared" si="154"/>
        <v>0</v>
      </c>
      <c r="AM325" s="8">
        <f t="shared" si="158"/>
        <v>0</v>
      </c>
      <c r="AN325" s="11">
        <f t="shared" si="155"/>
        <v>0</v>
      </c>
      <c r="AO325" s="2" t="str">
        <f t="shared" si="156"/>
        <v>COTESA</v>
      </c>
      <c r="AP325" s="37">
        <f t="shared" si="157"/>
        <v>0</v>
      </c>
      <c r="AQ325" s="37">
        <f t="shared" si="157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159">SUM(D314:D326)</f>
        <v>1896</v>
      </c>
      <c r="E327" s="12">
        <f t="shared" si="159"/>
        <v>252557</v>
      </c>
      <c r="F327" s="4">
        <f t="shared" si="159"/>
        <v>326</v>
      </c>
      <c r="G327" s="12">
        <f t="shared" si="159"/>
        <v>38760</v>
      </c>
      <c r="H327" s="4">
        <f t="shared" si="159"/>
        <v>3463</v>
      </c>
      <c r="I327" s="12">
        <f t="shared" si="159"/>
        <v>764975</v>
      </c>
      <c r="J327" s="4">
        <f t="shared" si="159"/>
        <v>55104</v>
      </c>
      <c r="K327" s="12">
        <f t="shared" si="159"/>
        <v>6536480</v>
      </c>
      <c r="L327" s="4">
        <f t="shared" si="159"/>
        <v>698</v>
      </c>
      <c r="M327" s="12">
        <f t="shared" si="159"/>
        <v>138833</v>
      </c>
      <c r="N327" s="4">
        <f t="shared" si="159"/>
        <v>347</v>
      </c>
      <c r="O327" s="12">
        <f t="shared" si="159"/>
        <v>47883</v>
      </c>
      <c r="P327" s="4">
        <f>SUM(P314:P326)</f>
        <v>6</v>
      </c>
      <c r="Q327" s="12">
        <f>SUM(Q314:Q326)</f>
        <v>1234</v>
      </c>
      <c r="R327" s="4">
        <f>SUM(R314:R326)</f>
        <v>1364</v>
      </c>
      <c r="S327" s="12">
        <f>SUM(S314:S326)</f>
        <v>148771</v>
      </c>
      <c r="T327" s="4">
        <f t="shared" ref="T327:U327" si="160">SUM(T314:T326)</f>
        <v>63204</v>
      </c>
      <c r="U327" s="12">
        <f t="shared" si="160"/>
        <v>7929493</v>
      </c>
      <c r="Y327" s="3" t="s">
        <v>12</v>
      </c>
      <c r="Z327" s="3"/>
      <c r="AA327" s="4">
        <f t="shared" ref="AA327:AN327" si="161">SUM(AA314:AA326)</f>
        <v>5685</v>
      </c>
      <c r="AB327" s="12">
        <f t="shared" si="161"/>
        <v>1056292</v>
      </c>
      <c r="AC327" s="4">
        <f t="shared" si="161"/>
        <v>55104</v>
      </c>
      <c r="AD327" s="12">
        <f t="shared" si="161"/>
        <v>6536480</v>
      </c>
      <c r="AE327" s="4">
        <f t="shared" si="161"/>
        <v>698</v>
      </c>
      <c r="AF327" s="12">
        <f t="shared" si="161"/>
        <v>138833</v>
      </c>
      <c r="AG327" s="4">
        <f t="shared" si="161"/>
        <v>347</v>
      </c>
      <c r="AH327" s="12">
        <f t="shared" si="161"/>
        <v>47883</v>
      </c>
      <c r="AI327" s="4">
        <f t="shared" si="161"/>
        <v>6</v>
      </c>
      <c r="AJ327" s="12">
        <f t="shared" si="161"/>
        <v>1234</v>
      </c>
      <c r="AK327" s="4">
        <f t="shared" si="161"/>
        <v>1364</v>
      </c>
      <c r="AL327" s="12">
        <f t="shared" si="161"/>
        <v>148771</v>
      </c>
      <c r="AM327" s="4">
        <f t="shared" si="161"/>
        <v>63204</v>
      </c>
      <c r="AN327" s="12">
        <f t="shared" si="161"/>
        <v>7929493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89</v>
      </c>
      <c r="M328" s="60">
        <f>AVERAGE(M314:M315)</f>
        <v>17860.5</v>
      </c>
      <c r="T328" s="15">
        <f>AVERAGE(T314:T315)</f>
        <v>9326</v>
      </c>
      <c r="U328" s="28">
        <f>AVERAGE(U314:U315)</f>
        <v>1128951</v>
      </c>
      <c r="V328" s="29"/>
    </row>
    <row r="329" spans="1:43" hidden="1" outlineLevel="1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5.8868663350619113E-4</v>
      </c>
      <c r="M329" s="36">
        <f>+M328/$M$371</f>
        <v>6.426552263354544E-4</v>
      </c>
      <c r="T329" s="15"/>
      <c r="U329" s="28"/>
      <c r="V329" s="29"/>
    </row>
    <row r="330" spans="1:43" hidden="1" outlineLevel="1" x14ac:dyDescent="0.25">
      <c r="A330" s="67" t="s">
        <v>106</v>
      </c>
      <c r="L330" s="26"/>
      <c r="M330" s="26"/>
    </row>
    <row r="331" spans="1:43" hidden="1" outlineLevel="1" x14ac:dyDescent="0.25">
      <c r="B331" s="5"/>
    </row>
    <row r="332" spans="1:43" hidden="1" outlineLevel="1" x14ac:dyDescent="0.25">
      <c r="D332" s="89" t="s">
        <v>15</v>
      </c>
      <c r="E332" s="90"/>
      <c r="F332" s="89" t="s">
        <v>71</v>
      </c>
      <c r="G332" s="90"/>
      <c r="H332" s="89" t="s">
        <v>16</v>
      </c>
      <c r="I332" s="90"/>
      <c r="J332" s="89" t="s">
        <v>17</v>
      </c>
      <c r="K332" s="93"/>
      <c r="L332" s="89" t="s">
        <v>18</v>
      </c>
      <c r="M332" s="93"/>
      <c r="N332" s="89" t="s">
        <v>13</v>
      </c>
      <c r="O332" s="93"/>
      <c r="P332" s="89" t="s">
        <v>34</v>
      </c>
      <c r="Q332" s="93"/>
      <c r="R332" s="89" t="s">
        <v>87</v>
      </c>
      <c r="S332" s="93"/>
      <c r="T332" s="89" t="s">
        <v>12</v>
      </c>
      <c r="U332" s="93"/>
      <c r="AA332" s="89" t="s">
        <v>69</v>
      </c>
      <c r="AB332" s="90"/>
      <c r="AC332" s="89" t="s">
        <v>17</v>
      </c>
      <c r="AD332" s="93"/>
      <c r="AE332" s="89" t="s">
        <v>18</v>
      </c>
      <c r="AF332" s="93"/>
      <c r="AG332" s="89" t="s">
        <v>13</v>
      </c>
      <c r="AH332" s="93"/>
      <c r="AI332" s="89" t="s">
        <v>34</v>
      </c>
      <c r="AJ332" s="93"/>
      <c r="AK332" s="89" t="s">
        <v>87</v>
      </c>
      <c r="AL332" s="93"/>
      <c r="AM332" s="89" t="s">
        <v>12</v>
      </c>
      <c r="AN332" s="93"/>
    </row>
    <row r="333" spans="1:43" hidden="1" outlineLevel="1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hidden="1" outlineLevel="1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hidden="1" outlineLevel="1" x14ac:dyDescent="0.25">
      <c r="B335" s="2" t="s">
        <v>5</v>
      </c>
      <c r="C335" s="2">
        <v>2026</v>
      </c>
      <c r="D335" s="1"/>
      <c r="E335" s="11"/>
      <c r="F335" s="1"/>
      <c r="G335" s="11"/>
      <c r="H335" s="1"/>
      <c r="I335" s="11"/>
      <c r="J335" s="1"/>
      <c r="K335" s="11"/>
      <c r="L335" s="1"/>
      <c r="M335" s="11"/>
      <c r="N335" s="1"/>
      <c r="O335" s="11"/>
      <c r="P335" s="8"/>
      <c r="Q335" s="11"/>
      <c r="R335" s="8"/>
      <c r="S335" s="11"/>
      <c r="T335" s="53">
        <f t="shared" ref="T335:U346" si="162">N335+L335+J335+H335+D335+P335+F335+R335</f>
        <v>0</v>
      </c>
      <c r="U335" s="54">
        <f t="shared" si="162"/>
        <v>0</v>
      </c>
      <c r="V335" s="2" t="s">
        <v>107</v>
      </c>
      <c r="Y335" s="2" t="s">
        <v>5</v>
      </c>
      <c r="Z335" s="2">
        <v>2026</v>
      </c>
      <c r="AA335" s="1">
        <f t="shared" ref="AA335:AB346" si="163">D335+H335+F335</f>
        <v>0</v>
      </c>
      <c r="AB335" s="11">
        <f t="shared" si="163"/>
        <v>0</v>
      </c>
      <c r="AC335" s="1">
        <f t="shared" ref="AC335:AL346" si="164">+J335</f>
        <v>0</v>
      </c>
      <c r="AD335" s="11">
        <f t="shared" si="164"/>
        <v>0</v>
      </c>
      <c r="AE335" s="8">
        <f t="shared" si="164"/>
        <v>0</v>
      </c>
      <c r="AF335" s="11">
        <f t="shared" si="164"/>
        <v>0</v>
      </c>
      <c r="AG335" s="8">
        <f t="shared" si="164"/>
        <v>0</v>
      </c>
      <c r="AH335" s="11">
        <f t="shared" si="164"/>
        <v>0</v>
      </c>
      <c r="AI335" s="8">
        <f t="shared" si="164"/>
        <v>0</v>
      </c>
      <c r="AJ335" s="11">
        <f t="shared" si="164"/>
        <v>0</v>
      </c>
      <c r="AK335" s="11">
        <f t="shared" si="164"/>
        <v>0</v>
      </c>
      <c r="AL335" s="11">
        <f t="shared" si="164"/>
        <v>0</v>
      </c>
      <c r="AM335" s="8">
        <f>AI335+AG335+AE335+AC335+AA335+AK335</f>
        <v>0</v>
      </c>
      <c r="AN335" s="11">
        <f t="shared" ref="AN335:AN346" si="165">AJ335+AH335+AF335+AD335+AB335+AL335</f>
        <v>0</v>
      </c>
      <c r="AO335" s="2" t="str">
        <f t="shared" ref="AO335:AO346" si="166">+V335</f>
        <v>VET</v>
      </c>
      <c r="AP335" s="37">
        <f t="shared" ref="AP335:AQ346" si="167">+AM335-T335</f>
        <v>0</v>
      </c>
      <c r="AQ335" s="37">
        <f t="shared" si="167"/>
        <v>0</v>
      </c>
    </row>
    <row r="336" spans="1:43" hidden="1" outlineLevel="1" x14ac:dyDescent="0.25">
      <c r="B336" s="2" t="s">
        <v>6</v>
      </c>
      <c r="C336" s="2">
        <v>2026</v>
      </c>
      <c r="D336" s="1"/>
      <c r="E336" s="11"/>
      <c r="F336" s="1"/>
      <c r="G336" s="11"/>
      <c r="H336" s="1"/>
      <c r="I336" s="11"/>
      <c r="J336" s="1"/>
      <c r="K336" s="11"/>
      <c r="L336" s="1"/>
      <c r="M336" s="11"/>
      <c r="N336" s="1"/>
      <c r="O336" s="11"/>
      <c r="P336" s="8"/>
      <c r="Q336" s="11"/>
      <c r="R336" s="8"/>
      <c r="S336" s="11"/>
      <c r="T336" s="53">
        <f t="shared" si="162"/>
        <v>0</v>
      </c>
      <c r="U336" s="54">
        <f t="shared" si="162"/>
        <v>0</v>
      </c>
      <c r="V336" s="2" t="s">
        <v>107</v>
      </c>
      <c r="Y336" s="2" t="s">
        <v>6</v>
      </c>
      <c r="Z336" s="2">
        <v>2026</v>
      </c>
      <c r="AA336" s="1">
        <f t="shared" si="163"/>
        <v>0</v>
      </c>
      <c r="AB336" s="11">
        <f t="shared" si="163"/>
        <v>0</v>
      </c>
      <c r="AC336" s="1">
        <f t="shared" si="164"/>
        <v>0</v>
      </c>
      <c r="AD336" s="11">
        <f t="shared" si="164"/>
        <v>0</v>
      </c>
      <c r="AE336" s="8">
        <f t="shared" si="164"/>
        <v>0</v>
      </c>
      <c r="AF336" s="11">
        <f t="shared" si="164"/>
        <v>0</v>
      </c>
      <c r="AG336" s="8">
        <f t="shared" si="164"/>
        <v>0</v>
      </c>
      <c r="AH336" s="11">
        <f t="shared" si="164"/>
        <v>0</v>
      </c>
      <c r="AI336" s="8">
        <f t="shared" si="164"/>
        <v>0</v>
      </c>
      <c r="AJ336" s="11">
        <f t="shared" si="164"/>
        <v>0</v>
      </c>
      <c r="AK336" s="11">
        <f t="shared" si="164"/>
        <v>0</v>
      </c>
      <c r="AL336" s="11">
        <f t="shared" si="164"/>
        <v>0</v>
      </c>
      <c r="AM336" s="8">
        <f t="shared" ref="AM336:AM346" si="168">AI336+AG336+AE336+AC336+AA336+AK336</f>
        <v>0</v>
      </c>
      <c r="AN336" s="11">
        <f t="shared" si="165"/>
        <v>0</v>
      </c>
      <c r="AO336" s="2" t="str">
        <f t="shared" si="166"/>
        <v>VET</v>
      </c>
      <c r="AP336" s="37">
        <f t="shared" si="167"/>
        <v>0</v>
      </c>
      <c r="AQ336" s="37">
        <f t="shared" si="167"/>
        <v>0</v>
      </c>
    </row>
    <row r="337" spans="1:43" hidden="1" outlineLevel="1" x14ac:dyDescent="0.25">
      <c r="B337" s="2" t="s">
        <v>7</v>
      </c>
      <c r="C337" s="2">
        <v>2026</v>
      </c>
      <c r="D337" s="1"/>
      <c r="E337" s="11"/>
      <c r="F337" s="1"/>
      <c r="G337" s="11"/>
      <c r="H337" s="1"/>
      <c r="I337" s="11"/>
      <c r="J337" s="1"/>
      <c r="K337" s="11"/>
      <c r="L337" s="1"/>
      <c r="M337" s="11"/>
      <c r="N337" s="1"/>
      <c r="O337" s="11"/>
      <c r="P337" s="8"/>
      <c r="Q337" s="11"/>
      <c r="R337" s="8"/>
      <c r="S337" s="11"/>
      <c r="T337" s="53">
        <f t="shared" si="162"/>
        <v>0</v>
      </c>
      <c r="U337" s="54">
        <f t="shared" si="162"/>
        <v>0</v>
      </c>
      <c r="V337" s="2" t="s">
        <v>107</v>
      </c>
      <c r="Y337" s="2" t="s">
        <v>7</v>
      </c>
      <c r="Z337" s="2">
        <v>2026</v>
      </c>
      <c r="AA337" s="1">
        <f t="shared" si="163"/>
        <v>0</v>
      </c>
      <c r="AB337" s="11">
        <f t="shared" si="163"/>
        <v>0</v>
      </c>
      <c r="AC337" s="1">
        <f t="shared" si="164"/>
        <v>0</v>
      </c>
      <c r="AD337" s="11">
        <f t="shared" si="164"/>
        <v>0</v>
      </c>
      <c r="AE337" s="8">
        <f t="shared" si="164"/>
        <v>0</v>
      </c>
      <c r="AF337" s="11">
        <f t="shared" si="164"/>
        <v>0</v>
      </c>
      <c r="AG337" s="8">
        <f t="shared" si="164"/>
        <v>0</v>
      </c>
      <c r="AH337" s="11">
        <f t="shared" si="164"/>
        <v>0</v>
      </c>
      <c r="AI337" s="8">
        <f t="shared" si="164"/>
        <v>0</v>
      </c>
      <c r="AJ337" s="11">
        <f t="shared" si="164"/>
        <v>0</v>
      </c>
      <c r="AK337" s="11">
        <f t="shared" si="164"/>
        <v>0</v>
      </c>
      <c r="AL337" s="11">
        <f t="shared" si="164"/>
        <v>0</v>
      </c>
      <c r="AM337" s="8">
        <f t="shared" si="168"/>
        <v>0</v>
      </c>
      <c r="AN337" s="11">
        <f t="shared" si="165"/>
        <v>0</v>
      </c>
      <c r="AO337" s="2" t="str">
        <f t="shared" si="166"/>
        <v>VET</v>
      </c>
      <c r="AP337" s="37">
        <f t="shared" si="167"/>
        <v>0</v>
      </c>
      <c r="AQ337" s="37">
        <f t="shared" si="167"/>
        <v>0</v>
      </c>
    </row>
    <row r="338" spans="1:43" hidden="1" outlineLevel="1" x14ac:dyDescent="0.25">
      <c r="B338" s="2" t="s">
        <v>8</v>
      </c>
      <c r="C338" s="2">
        <v>2026</v>
      </c>
      <c r="D338" s="1"/>
      <c r="E338" s="11"/>
      <c r="F338" s="1"/>
      <c r="G338" s="11"/>
      <c r="H338" s="1"/>
      <c r="I338" s="11"/>
      <c r="J338" s="1"/>
      <c r="K338" s="11"/>
      <c r="L338" s="1"/>
      <c r="M338" s="11"/>
      <c r="N338" s="1"/>
      <c r="O338" s="11"/>
      <c r="P338" s="8"/>
      <c r="Q338" s="11"/>
      <c r="R338" s="8"/>
      <c r="S338" s="11"/>
      <c r="T338" s="53">
        <f t="shared" si="162"/>
        <v>0</v>
      </c>
      <c r="U338" s="54">
        <f t="shared" si="162"/>
        <v>0</v>
      </c>
      <c r="V338" s="2" t="s">
        <v>107</v>
      </c>
      <c r="X338" s="13"/>
      <c r="Y338" s="2" t="s">
        <v>8</v>
      </c>
      <c r="Z338" s="2">
        <v>2026</v>
      </c>
      <c r="AA338" s="1">
        <f t="shared" si="163"/>
        <v>0</v>
      </c>
      <c r="AB338" s="11">
        <f t="shared" si="163"/>
        <v>0</v>
      </c>
      <c r="AC338" s="1">
        <f t="shared" si="164"/>
        <v>0</v>
      </c>
      <c r="AD338" s="11">
        <f t="shared" si="164"/>
        <v>0</v>
      </c>
      <c r="AE338" s="8">
        <f t="shared" si="164"/>
        <v>0</v>
      </c>
      <c r="AF338" s="11">
        <f t="shared" si="164"/>
        <v>0</v>
      </c>
      <c r="AG338" s="8">
        <f t="shared" si="164"/>
        <v>0</v>
      </c>
      <c r="AH338" s="11">
        <f t="shared" si="164"/>
        <v>0</v>
      </c>
      <c r="AI338" s="8">
        <f t="shared" si="164"/>
        <v>0</v>
      </c>
      <c r="AJ338" s="11">
        <f t="shared" si="164"/>
        <v>0</v>
      </c>
      <c r="AK338" s="11">
        <f t="shared" si="164"/>
        <v>0</v>
      </c>
      <c r="AL338" s="11">
        <f t="shared" si="164"/>
        <v>0</v>
      </c>
      <c r="AM338" s="8">
        <f t="shared" si="168"/>
        <v>0</v>
      </c>
      <c r="AN338" s="11">
        <f t="shared" si="165"/>
        <v>0</v>
      </c>
      <c r="AO338" s="2" t="str">
        <f t="shared" si="166"/>
        <v>VET</v>
      </c>
      <c r="AP338" s="37">
        <f t="shared" si="167"/>
        <v>0</v>
      </c>
      <c r="AQ338" s="37">
        <f t="shared" si="167"/>
        <v>0</v>
      </c>
    </row>
    <row r="339" spans="1:43" hidden="1" outlineLevel="1" x14ac:dyDescent="0.25">
      <c r="B339" s="2" t="s">
        <v>9</v>
      </c>
      <c r="C339" s="2">
        <v>2026</v>
      </c>
      <c r="D339" s="1"/>
      <c r="E339" s="11"/>
      <c r="F339" s="1"/>
      <c r="G339" s="11"/>
      <c r="H339" s="1"/>
      <c r="I339" s="11"/>
      <c r="J339" s="1"/>
      <c r="K339" s="11"/>
      <c r="L339" s="1"/>
      <c r="M339" s="11"/>
      <c r="N339" s="8"/>
      <c r="O339" s="11"/>
      <c r="P339" s="8"/>
      <c r="Q339" s="11"/>
      <c r="R339" s="8"/>
      <c r="S339" s="11"/>
      <c r="T339" s="53">
        <f t="shared" si="162"/>
        <v>0</v>
      </c>
      <c r="U339" s="54">
        <f t="shared" si="162"/>
        <v>0</v>
      </c>
      <c r="V339" s="2" t="s">
        <v>107</v>
      </c>
      <c r="X339" s="13"/>
      <c r="Y339" s="2" t="s">
        <v>9</v>
      </c>
      <c r="Z339" s="2">
        <v>2026</v>
      </c>
      <c r="AA339" s="1">
        <f t="shared" si="163"/>
        <v>0</v>
      </c>
      <c r="AB339" s="11">
        <f t="shared" si="163"/>
        <v>0</v>
      </c>
      <c r="AC339" s="1">
        <f t="shared" si="164"/>
        <v>0</v>
      </c>
      <c r="AD339" s="11">
        <f t="shared" si="164"/>
        <v>0</v>
      </c>
      <c r="AE339" s="8">
        <f t="shared" si="164"/>
        <v>0</v>
      </c>
      <c r="AF339" s="11">
        <f t="shared" si="164"/>
        <v>0</v>
      </c>
      <c r="AG339" s="8">
        <f t="shared" si="164"/>
        <v>0</v>
      </c>
      <c r="AH339" s="11">
        <f t="shared" si="164"/>
        <v>0</v>
      </c>
      <c r="AI339" s="8">
        <f t="shared" si="164"/>
        <v>0</v>
      </c>
      <c r="AJ339" s="11">
        <f t="shared" si="164"/>
        <v>0</v>
      </c>
      <c r="AK339" s="11">
        <f t="shared" si="164"/>
        <v>0</v>
      </c>
      <c r="AL339" s="11">
        <f t="shared" si="164"/>
        <v>0</v>
      </c>
      <c r="AM339" s="8">
        <f t="shared" si="168"/>
        <v>0</v>
      </c>
      <c r="AN339" s="11">
        <f t="shared" si="165"/>
        <v>0</v>
      </c>
      <c r="AO339" s="2" t="str">
        <f t="shared" si="166"/>
        <v>VET</v>
      </c>
      <c r="AP339" s="37">
        <f t="shared" si="167"/>
        <v>0</v>
      </c>
      <c r="AQ339" s="37">
        <f t="shared" si="167"/>
        <v>0</v>
      </c>
    </row>
    <row r="340" spans="1:43" hidden="1" outlineLevel="1" x14ac:dyDescent="0.25">
      <c r="B340" s="2" t="s">
        <v>10</v>
      </c>
      <c r="C340" s="2">
        <v>2026</v>
      </c>
      <c r="D340" s="1"/>
      <c r="E340" s="11"/>
      <c r="F340" s="1"/>
      <c r="G340" s="11"/>
      <c r="H340" s="1"/>
      <c r="I340" s="11"/>
      <c r="J340" s="1"/>
      <c r="K340" s="11"/>
      <c r="L340" s="1"/>
      <c r="M340" s="11"/>
      <c r="N340" s="1"/>
      <c r="O340" s="11"/>
      <c r="P340" s="8"/>
      <c r="Q340" s="11"/>
      <c r="R340" s="8"/>
      <c r="S340" s="11"/>
      <c r="T340" s="53">
        <f t="shared" si="162"/>
        <v>0</v>
      </c>
      <c r="U340" s="54">
        <f t="shared" si="162"/>
        <v>0</v>
      </c>
      <c r="V340" s="2" t="s">
        <v>107</v>
      </c>
      <c r="Y340" s="2" t="s">
        <v>10</v>
      </c>
      <c r="Z340" s="2">
        <v>2026</v>
      </c>
      <c r="AA340" s="1">
        <f t="shared" si="163"/>
        <v>0</v>
      </c>
      <c r="AB340" s="11">
        <f t="shared" si="163"/>
        <v>0</v>
      </c>
      <c r="AC340" s="1">
        <f t="shared" si="164"/>
        <v>0</v>
      </c>
      <c r="AD340" s="11">
        <f t="shared" si="164"/>
        <v>0</v>
      </c>
      <c r="AE340" s="8">
        <f t="shared" si="164"/>
        <v>0</v>
      </c>
      <c r="AF340" s="11">
        <f t="shared" si="164"/>
        <v>0</v>
      </c>
      <c r="AG340" s="8">
        <f t="shared" si="164"/>
        <v>0</v>
      </c>
      <c r="AH340" s="11">
        <f t="shared" si="164"/>
        <v>0</v>
      </c>
      <c r="AI340" s="8">
        <f t="shared" si="164"/>
        <v>0</v>
      </c>
      <c r="AJ340" s="11">
        <f t="shared" si="164"/>
        <v>0</v>
      </c>
      <c r="AK340" s="11">
        <f t="shared" si="164"/>
        <v>0</v>
      </c>
      <c r="AL340" s="11">
        <f t="shared" si="164"/>
        <v>0</v>
      </c>
      <c r="AM340" s="8">
        <f t="shared" si="168"/>
        <v>0</v>
      </c>
      <c r="AN340" s="11">
        <f t="shared" si="165"/>
        <v>0</v>
      </c>
      <c r="AO340" s="2" t="str">
        <f t="shared" si="166"/>
        <v>VET</v>
      </c>
      <c r="AP340" s="37">
        <f t="shared" si="167"/>
        <v>0</v>
      </c>
      <c r="AQ340" s="37">
        <f t="shared" si="167"/>
        <v>0</v>
      </c>
    </row>
    <row r="341" spans="1:43" hidden="1" outlineLevel="1" x14ac:dyDescent="0.25">
      <c r="B341" s="2" t="s">
        <v>11</v>
      </c>
      <c r="C341" s="2">
        <v>2026</v>
      </c>
      <c r="D341" s="1"/>
      <c r="E341" s="11"/>
      <c r="F341" s="1"/>
      <c r="G341" s="11"/>
      <c r="H341" s="1"/>
      <c r="I341" s="11"/>
      <c r="J341" s="1"/>
      <c r="K341" s="11"/>
      <c r="L341" s="1"/>
      <c r="M341" s="11"/>
      <c r="N341" s="1"/>
      <c r="O341" s="11"/>
      <c r="P341" s="8"/>
      <c r="Q341" s="11"/>
      <c r="R341" s="8"/>
      <c r="S341" s="11"/>
      <c r="T341" s="53">
        <f t="shared" si="162"/>
        <v>0</v>
      </c>
      <c r="U341" s="54">
        <f t="shared" si="162"/>
        <v>0</v>
      </c>
      <c r="V341" s="2" t="s">
        <v>107</v>
      </c>
      <c r="Y341" s="2" t="s">
        <v>11</v>
      </c>
      <c r="Z341" s="2">
        <v>2026</v>
      </c>
      <c r="AA341" s="1">
        <f t="shared" si="163"/>
        <v>0</v>
      </c>
      <c r="AB341" s="11">
        <f t="shared" si="163"/>
        <v>0</v>
      </c>
      <c r="AC341" s="1">
        <f t="shared" si="164"/>
        <v>0</v>
      </c>
      <c r="AD341" s="11">
        <f t="shared" si="164"/>
        <v>0</v>
      </c>
      <c r="AE341" s="8">
        <f t="shared" si="164"/>
        <v>0</v>
      </c>
      <c r="AF341" s="11">
        <f t="shared" si="164"/>
        <v>0</v>
      </c>
      <c r="AG341" s="8">
        <f t="shared" si="164"/>
        <v>0</v>
      </c>
      <c r="AH341" s="11">
        <f t="shared" si="164"/>
        <v>0</v>
      </c>
      <c r="AI341" s="8">
        <f t="shared" si="164"/>
        <v>0</v>
      </c>
      <c r="AJ341" s="11">
        <f t="shared" si="164"/>
        <v>0</v>
      </c>
      <c r="AK341" s="11">
        <f t="shared" si="164"/>
        <v>0</v>
      </c>
      <c r="AL341" s="11">
        <f t="shared" si="164"/>
        <v>0</v>
      </c>
      <c r="AM341" s="8">
        <f t="shared" si="168"/>
        <v>0</v>
      </c>
      <c r="AN341" s="11">
        <f t="shared" si="165"/>
        <v>0</v>
      </c>
      <c r="AO341" s="2" t="str">
        <f t="shared" si="166"/>
        <v>VET</v>
      </c>
      <c r="AP341" s="37">
        <f t="shared" si="167"/>
        <v>0</v>
      </c>
      <c r="AQ341" s="37">
        <f t="shared" si="167"/>
        <v>0</v>
      </c>
    </row>
    <row r="342" spans="1:43" hidden="1" outlineLevel="1" x14ac:dyDescent="0.25">
      <c r="B342" s="2" t="s">
        <v>4</v>
      </c>
      <c r="C342" s="2">
        <v>2026</v>
      </c>
      <c r="D342" s="1"/>
      <c r="E342" s="11"/>
      <c r="F342" s="1"/>
      <c r="G342" s="11"/>
      <c r="H342" s="1"/>
      <c r="I342" s="11"/>
      <c r="J342" s="1"/>
      <c r="K342" s="11"/>
      <c r="L342" s="1"/>
      <c r="M342" s="11"/>
      <c r="N342" s="1"/>
      <c r="O342" s="11"/>
      <c r="P342" s="8"/>
      <c r="Q342" s="11"/>
      <c r="R342" s="8"/>
      <c r="S342" s="11"/>
      <c r="T342" s="53">
        <f t="shared" si="162"/>
        <v>0</v>
      </c>
      <c r="U342" s="54">
        <f t="shared" si="162"/>
        <v>0</v>
      </c>
      <c r="V342" s="2" t="s">
        <v>107</v>
      </c>
      <c r="Y342" s="2" t="s">
        <v>4</v>
      </c>
      <c r="Z342" s="2">
        <v>2026</v>
      </c>
      <c r="AA342" s="1">
        <f t="shared" si="163"/>
        <v>0</v>
      </c>
      <c r="AB342" s="11">
        <f t="shared" si="163"/>
        <v>0</v>
      </c>
      <c r="AC342" s="1">
        <f t="shared" si="164"/>
        <v>0</v>
      </c>
      <c r="AD342" s="11">
        <f t="shared" si="164"/>
        <v>0</v>
      </c>
      <c r="AE342" s="8">
        <f t="shared" si="164"/>
        <v>0</v>
      </c>
      <c r="AF342" s="11">
        <f t="shared" si="164"/>
        <v>0</v>
      </c>
      <c r="AG342" s="8">
        <f t="shared" si="164"/>
        <v>0</v>
      </c>
      <c r="AH342" s="11">
        <f t="shared" si="164"/>
        <v>0</v>
      </c>
      <c r="AI342" s="8">
        <f t="shared" si="164"/>
        <v>0</v>
      </c>
      <c r="AJ342" s="11">
        <f t="shared" si="164"/>
        <v>0</v>
      </c>
      <c r="AK342" s="11">
        <f t="shared" si="164"/>
        <v>0</v>
      </c>
      <c r="AL342" s="11">
        <f t="shared" si="164"/>
        <v>0</v>
      </c>
      <c r="AM342" s="27">
        <f t="shared" si="168"/>
        <v>0</v>
      </c>
      <c r="AN342" s="14">
        <f t="shared" si="165"/>
        <v>0</v>
      </c>
      <c r="AO342" s="2" t="str">
        <f t="shared" si="166"/>
        <v>VET</v>
      </c>
      <c r="AP342" s="37">
        <f t="shared" si="167"/>
        <v>0</v>
      </c>
      <c r="AQ342" s="37">
        <f t="shared" si="167"/>
        <v>0</v>
      </c>
    </row>
    <row r="343" spans="1:43" hidden="1" outlineLevel="1" x14ac:dyDescent="0.25">
      <c r="B343" s="2" t="s">
        <v>28</v>
      </c>
      <c r="C343" s="2">
        <v>2026</v>
      </c>
      <c r="D343" s="1"/>
      <c r="E343" s="11"/>
      <c r="F343" s="1"/>
      <c r="G343" s="11"/>
      <c r="H343" s="1"/>
      <c r="I343" s="11"/>
      <c r="J343" s="1"/>
      <c r="K343" s="11"/>
      <c r="L343" s="1"/>
      <c r="M343" s="11"/>
      <c r="N343" s="1"/>
      <c r="O343" s="11"/>
      <c r="P343" s="8"/>
      <c r="Q343" s="11"/>
      <c r="R343" s="8"/>
      <c r="S343" s="11"/>
      <c r="T343" s="53">
        <f t="shared" si="162"/>
        <v>0</v>
      </c>
      <c r="U343" s="54">
        <f t="shared" si="162"/>
        <v>0</v>
      </c>
      <c r="V343" s="2" t="s">
        <v>107</v>
      </c>
      <c r="Y343" s="2" t="s">
        <v>28</v>
      </c>
      <c r="Z343" s="2">
        <v>2026</v>
      </c>
      <c r="AA343" s="1">
        <f t="shared" si="163"/>
        <v>0</v>
      </c>
      <c r="AB343" s="11">
        <f t="shared" si="163"/>
        <v>0</v>
      </c>
      <c r="AC343" s="1">
        <f t="shared" si="164"/>
        <v>0</v>
      </c>
      <c r="AD343" s="11">
        <f t="shared" si="164"/>
        <v>0</v>
      </c>
      <c r="AE343" s="8">
        <f t="shared" si="164"/>
        <v>0</v>
      </c>
      <c r="AF343" s="11">
        <f t="shared" si="164"/>
        <v>0</v>
      </c>
      <c r="AG343" s="8">
        <f t="shared" si="164"/>
        <v>0</v>
      </c>
      <c r="AH343" s="11">
        <f t="shared" si="164"/>
        <v>0</v>
      </c>
      <c r="AI343" s="8">
        <f t="shared" si="164"/>
        <v>0</v>
      </c>
      <c r="AJ343" s="11">
        <f t="shared" si="164"/>
        <v>0</v>
      </c>
      <c r="AK343" s="11">
        <f t="shared" si="164"/>
        <v>0</v>
      </c>
      <c r="AL343" s="11">
        <f t="shared" si="164"/>
        <v>0</v>
      </c>
      <c r="AM343" s="8">
        <f t="shared" si="168"/>
        <v>0</v>
      </c>
      <c r="AN343" s="11">
        <f t="shared" si="165"/>
        <v>0</v>
      </c>
      <c r="AO343" s="2" t="str">
        <f t="shared" si="166"/>
        <v>VET</v>
      </c>
      <c r="AP343" s="37">
        <f t="shared" si="167"/>
        <v>0</v>
      </c>
      <c r="AQ343" s="37">
        <f t="shared" si="167"/>
        <v>0</v>
      </c>
    </row>
    <row r="344" spans="1:43" hidden="1" outlineLevel="1" x14ac:dyDescent="0.25">
      <c r="B344" s="2" t="s">
        <v>29</v>
      </c>
      <c r="C344" s="2">
        <v>2026</v>
      </c>
      <c r="D344" s="1"/>
      <c r="E344" s="11"/>
      <c r="F344" s="1"/>
      <c r="G344" s="11"/>
      <c r="H344" s="1"/>
      <c r="I344" s="11"/>
      <c r="J344" s="1"/>
      <c r="K344" s="11"/>
      <c r="L344" s="1"/>
      <c r="M344" s="11"/>
      <c r="N344" s="1"/>
      <c r="O344" s="11"/>
      <c r="P344" s="8"/>
      <c r="Q344" s="11"/>
      <c r="R344" s="8"/>
      <c r="S344" s="11"/>
      <c r="T344" s="53">
        <f t="shared" si="162"/>
        <v>0</v>
      </c>
      <c r="U344" s="54">
        <f t="shared" si="162"/>
        <v>0</v>
      </c>
      <c r="V344" s="2" t="s">
        <v>107</v>
      </c>
      <c r="Y344" s="2" t="s">
        <v>29</v>
      </c>
      <c r="Z344" s="2">
        <v>2026</v>
      </c>
      <c r="AA344" s="1">
        <f t="shared" si="163"/>
        <v>0</v>
      </c>
      <c r="AB344" s="11">
        <f t="shared" si="163"/>
        <v>0</v>
      </c>
      <c r="AC344" s="1">
        <f t="shared" si="164"/>
        <v>0</v>
      </c>
      <c r="AD344" s="11">
        <f t="shared" si="164"/>
        <v>0</v>
      </c>
      <c r="AE344" s="8">
        <f t="shared" si="164"/>
        <v>0</v>
      </c>
      <c r="AF344" s="11">
        <f t="shared" si="164"/>
        <v>0</v>
      </c>
      <c r="AG344" s="8">
        <f t="shared" si="164"/>
        <v>0</v>
      </c>
      <c r="AH344" s="11">
        <f t="shared" si="164"/>
        <v>0</v>
      </c>
      <c r="AI344" s="8">
        <f t="shared" si="164"/>
        <v>0</v>
      </c>
      <c r="AJ344" s="11">
        <f t="shared" si="164"/>
        <v>0</v>
      </c>
      <c r="AK344" s="11">
        <f t="shared" si="164"/>
        <v>0</v>
      </c>
      <c r="AL344" s="11">
        <f t="shared" si="164"/>
        <v>0</v>
      </c>
      <c r="AM344" s="8">
        <f t="shared" si="168"/>
        <v>0</v>
      </c>
      <c r="AN344" s="11">
        <f t="shared" si="165"/>
        <v>0</v>
      </c>
      <c r="AO344" s="2" t="str">
        <f t="shared" si="166"/>
        <v>VET</v>
      </c>
      <c r="AP344" s="37">
        <f t="shared" si="167"/>
        <v>0</v>
      </c>
      <c r="AQ344" s="37">
        <f t="shared" si="167"/>
        <v>0</v>
      </c>
    </row>
    <row r="345" spans="1:43" hidden="1" outlineLevel="1" x14ac:dyDescent="0.25">
      <c r="B345" s="2" t="s">
        <v>30</v>
      </c>
      <c r="C345" s="2">
        <v>2026</v>
      </c>
      <c r="D345" s="1"/>
      <c r="E345" s="11"/>
      <c r="F345" s="1"/>
      <c r="G345" s="11"/>
      <c r="H345" s="1"/>
      <c r="I345" s="11"/>
      <c r="J345" s="1"/>
      <c r="K345" s="11"/>
      <c r="L345" s="1"/>
      <c r="M345" s="11"/>
      <c r="N345" s="1"/>
      <c r="O345" s="11"/>
      <c r="P345" s="8"/>
      <c r="Q345" s="11"/>
      <c r="R345" s="8"/>
      <c r="S345" s="11"/>
      <c r="T345" s="53">
        <f t="shared" si="162"/>
        <v>0</v>
      </c>
      <c r="U345" s="54">
        <f t="shared" si="162"/>
        <v>0</v>
      </c>
      <c r="V345" s="2" t="s">
        <v>107</v>
      </c>
      <c r="Y345" s="2" t="s">
        <v>30</v>
      </c>
      <c r="Z345" s="2">
        <v>2026</v>
      </c>
      <c r="AA345" s="1">
        <f t="shared" si="163"/>
        <v>0</v>
      </c>
      <c r="AB345" s="11">
        <f t="shared" si="163"/>
        <v>0</v>
      </c>
      <c r="AC345" s="1">
        <f t="shared" si="164"/>
        <v>0</v>
      </c>
      <c r="AD345" s="11">
        <f t="shared" si="164"/>
        <v>0</v>
      </c>
      <c r="AE345" s="8">
        <f t="shared" si="164"/>
        <v>0</v>
      </c>
      <c r="AF345" s="11">
        <f t="shared" si="164"/>
        <v>0</v>
      </c>
      <c r="AG345" s="8">
        <f t="shared" si="164"/>
        <v>0</v>
      </c>
      <c r="AH345" s="11">
        <f t="shared" si="164"/>
        <v>0</v>
      </c>
      <c r="AI345" s="8">
        <f t="shared" si="164"/>
        <v>0</v>
      </c>
      <c r="AJ345" s="11">
        <f t="shared" si="164"/>
        <v>0</v>
      </c>
      <c r="AK345" s="11">
        <f t="shared" si="164"/>
        <v>0</v>
      </c>
      <c r="AL345" s="11">
        <f t="shared" si="164"/>
        <v>0</v>
      </c>
      <c r="AM345" s="79">
        <f t="shared" si="168"/>
        <v>0</v>
      </c>
      <c r="AN345" s="80">
        <f t="shared" si="165"/>
        <v>0</v>
      </c>
      <c r="AO345" s="2" t="str">
        <f t="shared" si="166"/>
        <v>VET</v>
      </c>
      <c r="AP345" s="37">
        <f t="shared" si="167"/>
        <v>0</v>
      </c>
      <c r="AQ345" s="37">
        <f t="shared" si="167"/>
        <v>0</v>
      </c>
    </row>
    <row r="346" spans="1:43" hidden="1" outlineLevel="1" x14ac:dyDescent="0.25">
      <c r="B346" s="2" t="s">
        <v>31</v>
      </c>
      <c r="C346" s="2">
        <v>2026</v>
      </c>
      <c r="D346" s="1"/>
      <c r="E346" s="11"/>
      <c r="F346" s="1"/>
      <c r="G346" s="11"/>
      <c r="H346" s="1"/>
      <c r="I346" s="11"/>
      <c r="J346" s="1"/>
      <c r="K346" s="11"/>
      <c r="L346" s="1"/>
      <c r="M346" s="11"/>
      <c r="N346" s="1"/>
      <c r="O346" s="11"/>
      <c r="P346" s="8"/>
      <c r="Q346" s="11"/>
      <c r="R346" s="8"/>
      <c r="S346" s="11"/>
      <c r="T346" s="53">
        <f t="shared" si="162"/>
        <v>0</v>
      </c>
      <c r="U346" s="54">
        <f t="shared" si="162"/>
        <v>0</v>
      </c>
      <c r="V346" s="2" t="s">
        <v>107</v>
      </c>
      <c r="W346" s="13"/>
      <c r="Y346" s="2" t="s">
        <v>31</v>
      </c>
      <c r="Z346" s="2">
        <v>2026</v>
      </c>
      <c r="AA346" s="1">
        <f t="shared" si="163"/>
        <v>0</v>
      </c>
      <c r="AB346" s="11">
        <f t="shared" si="163"/>
        <v>0</v>
      </c>
      <c r="AC346" s="1">
        <f t="shared" si="164"/>
        <v>0</v>
      </c>
      <c r="AD346" s="11">
        <f t="shared" si="164"/>
        <v>0</v>
      </c>
      <c r="AE346" s="8">
        <f t="shared" si="164"/>
        <v>0</v>
      </c>
      <c r="AF346" s="11">
        <f t="shared" si="164"/>
        <v>0</v>
      </c>
      <c r="AG346" s="8">
        <f t="shared" si="164"/>
        <v>0</v>
      </c>
      <c r="AH346" s="11">
        <f t="shared" si="164"/>
        <v>0</v>
      </c>
      <c r="AI346" s="8">
        <f t="shared" si="164"/>
        <v>0</v>
      </c>
      <c r="AJ346" s="11">
        <f t="shared" si="164"/>
        <v>0</v>
      </c>
      <c r="AK346" s="11">
        <f t="shared" si="164"/>
        <v>0</v>
      </c>
      <c r="AL346" s="11">
        <f t="shared" si="164"/>
        <v>0</v>
      </c>
      <c r="AM346" s="8">
        <f t="shared" si="168"/>
        <v>0</v>
      </c>
      <c r="AN346" s="11">
        <f t="shared" si="165"/>
        <v>0</v>
      </c>
      <c r="AO346" s="2" t="str">
        <f t="shared" si="166"/>
        <v>VET</v>
      </c>
      <c r="AP346" s="37">
        <f t="shared" si="167"/>
        <v>0</v>
      </c>
      <c r="AQ346" s="37">
        <f t="shared" si="167"/>
        <v>0</v>
      </c>
    </row>
    <row r="347" spans="1:43" hidden="1" outlineLevel="1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hidden="1" outlineLevel="1" x14ac:dyDescent="0.25">
      <c r="B348" s="3" t="s">
        <v>12</v>
      </c>
      <c r="C348" s="3"/>
      <c r="D348" s="4">
        <f t="shared" ref="D348:O348" si="169">SUM(D335:D347)</f>
        <v>0</v>
      </c>
      <c r="E348" s="12">
        <f t="shared" si="169"/>
        <v>0</v>
      </c>
      <c r="F348" s="4">
        <f t="shared" si="169"/>
        <v>0</v>
      </c>
      <c r="G348" s="12">
        <f t="shared" si="169"/>
        <v>0</v>
      </c>
      <c r="H348" s="4">
        <f t="shared" si="169"/>
        <v>0</v>
      </c>
      <c r="I348" s="12">
        <f t="shared" si="169"/>
        <v>0</v>
      </c>
      <c r="J348" s="4">
        <f t="shared" si="169"/>
        <v>0</v>
      </c>
      <c r="K348" s="12">
        <f t="shared" si="169"/>
        <v>0</v>
      </c>
      <c r="L348" s="4">
        <f t="shared" si="169"/>
        <v>0</v>
      </c>
      <c r="M348" s="12">
        <f t="shared" si="169"/>
        <v>0</v>
      </c>
      <c r="N348" s="4">
        <f t="shared" si="169"/>
        <v>0</v>
      </c>
      <c r="O348" s="12">
        <f t="shared" si="169"/>
        <v>0</v>
      </c>
      <c r="P348" s="4">
        <f>SUM(P335:P347)</f>
        <v>0</v>
      </c>
      <c r="Q348" s="12">
        <f>SUM(Q335:Q347)</f>
        <v>0</v>
      </c>
      <c r="R348" s="4">
        <f>SUM(R335:R347)</f>
        <v>0</v>
      </c>
      <c r="S348" s="12">
        <f>SUM(S335:S347)</f>
        <v>0</v>
      </c>
      <c r="T348" s="4">
        <f t="shared" ref="T348:U348" si="170">SUM(T335:T347)</f>
        <v>0</v>
      </c>
      <c r="U348" s="12">
        <f t="shared" si="170"/>
        <v>0</v>
      </c>
      <c r="Y348" s="3" t="s">
        <v>12</v>
      </c>
      <c r="Z348" s="3"/>
      <c r="AA348" s="4">
        <f t="shared" ref="AA348:AN348" si="171">SUM(AA335:AA347)</f>
        <v>0</v>
      </c>
      <c r="AB348" s="12">
        <f t="shared" si="171"/>
        <v>0</v>
      </c>
      <c r="AC348" s="4">
        <f t="shared" si="171"/>
        <v>0</v>
      </c>
      <c r="AD348" s="12">
        <f t="shared" si="171"/>
        <v>0</v>
      </c>
      <c r="AE348" s="4">
        <f t="shared" si="171"/>
        <v>0</v>
      </c>
      <c r="AF348" s="12">
        <f t="shared" si="171"/>
        <v>0</v>
      </c>
      <c r="AG348" s="4">
        <f t="shared" si="171"/>
        <v>0</v>
      </c>
      <c r="AH348" s="12">
        <f t="shared" si="171"/>
        <v>0</v>
      </c>
      <c r="AI348" s="4">
        <f t="shared" si="171"/>
        <v>0</v>
      </c>
      <c r="AJ348" s="12">
        <f t="shared" si="171"/>
        <v>0</v>
      </c>
      <c r="AK348" s="4">
        <f t="shared" si="171"/>
        <v>0</v>
      </c>
      <c r="AL348" s="12">
        <f t="shared" si="171"/>
        <v>0</v>
      </c>
      <c r="AM348" s="4">
        <f t="shared" si="171"/>
        <v>0</v>
      </c>
      <c r="AN348" s="12">
        <f t="shared" si="171"/>
        <v>0</v>
      </c>
    </row>
    <row r="349" spans="1:43" hidden="1" outlineLevel="1" x14ac:dyDescent="0.25">
      <c r="J349" s="46" t="str">
        <f>+$A$309</f>
        <v>Aforo e Ingreso - COTESA</v>
      </c>
      <c r="K349" s="9" t="s">
        <v>84</v>
      </c>
      <c r="L349" s="15" t="e">
        <f>AVERAGE(L335:L336)</f>
        <v>#DIV/0!</v>
      </c>
      <c r="M349" s="60" t="e">
        <f>AVERAGE(M335:M336)</f>
        <v>#DIV/0!</v>
      </c>
      <c r="T349" s="15">
        <f>AVERAGE(T335:T336)</f>
        <v>0</v>
      </c>
      <c r="U349" s="28">
        <f>AVERAGE(U335:U336)</f>
        <v>0</v>
      </c>
      <c r="V349" s="29"/>
    </row>
    <row r="350" spans="1:43" hidden="1" outlineLevel="1" x14ac:dyDescent="0.25">
      <c r="J350" s="46" t="str">
        <f>+$A$309</f>
        <v>Aforo e Ingreso - COTESA</v>
      </c>
      <c r="K350" s="9" t="s">
        <v>85</v>
      </c>
      <c r="L350" s="26" t="e">
        <f>+L349/$L$371</f>
        <v>#DIV/0!</v>
      </c>
      <c r="M350" s="36" t="e">
        <f>+M349/$M$371</f>
        <v>#DIV/0!</v>
      </c>
      <c r="T350" s="15"/>
      <c r="U350" s="28"/>
      <c r="V350" s="29"/>
    </row>
    <row r="351" spans="1:43" collapsed="1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9.543212524126099E-3</v>
      </c>
      <c r="U351" s="62">
        <f>+M328/U328</f>
        <v>1.5820438619568077E-2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0"/>
      <c r="F354" s="89" t="s">
        <v>71</v>
      </c>
      <c r="G354" s="90"/>
      <c r="H354" s="89" t="s">
        <v>16</v>
      </c>
      <c r="I354" s="90"/>
      <c r="J354" s="89" t="s">
        <v>17</v>
      </c>
      <c r="K354" s="93"/>
      <c r="L354" s="89" t="s">
        <v>18</v>
      </c>
      <c r="M354" s="93"/>
      <c r="N354" s="89" t="s">
        <v>13</v>
      </c>
      <c r="O354" s="93"/>
      <c r="P354" s="89" t="s">
        <v>34</v>
      </c>
      <c r="Q354" s="93"/>
      <c r="R354" s="89" t="s">
        <v>87</v>
      </c>
      <c r="S354" s="93"/>
      <c r="T354" s="89" t="s">
        <v>44</v>
      </c>
      <c r="U354" s="93"/>
      <c r="AA354" s="89" t="s">
        <v>69</v>
      </c>
      <c r="AB354" s="90"/>
      <c r="AC354" s="89" t="s">
        <v>17</v>
      </c>
      <c r="AD354" s="93"/>
      <c r="AE354" s="89" t="s">
        <v>18</v>
      </c>
      <c r="AF354" s="93"/>
      <c r="AG354" s="89" t="s">
        <v>13</v>
      </c>
      <c r="AH354" s="93"/>
      <c r="AI354" s="89" t="s">
        <v>34</v>
      </c>
      <c r="AJ354" s="93"/>
      <c r="AK354" s="89" t="s">
        <v>87</v>
      </c>
      <c r="AL354" s="93"/>
      <c r="AM354" s="89" t="s">
        <v>12</v>
      </c>
      <c r="AN354" s="93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1" t="s">
        <v>100</v>
      </c>
      <c r="AT355" s="92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2026</v>
      </c>
      <c r="D357" s="1">
        <f>+D125+D71+D50+D29+D8+D146+D167+D188+D209+D230+D251+D272+D293+D314+D335+D96</f>
        <v>2050322</v>
      </c>
      <c r="E357" s="1">
        <f>+E125+E71+E50+E29+E8+E146+E167+E188+E209+E230+E251+E272+E293+E314+E335+E96</f>
        <v>141834043.77000001</v>
      </c>
      <c r="F357" s="1">
        <f t="shared" ref="F357:S357" si="172">+F125+F71+F50+F29+F8+F146+F167+F188+F209+F230+F251+F272+F293+F314+F335+F93</f>
        <v>1112213</v>
      </c>
      <c r="G357" s="1">
        <f t="shared" si="172"/>
        <v>77004532.159999996</v>
      </c>
      <c r="H357" s="1">
        <f t="shared" si="172"/>
        <v>336464</v>
      </c>
      <c r="I357" s="1">
        <f t="shared" si="172"/>
        <v>47861620.390000001</v>
      </c>
      <c r="J357" s="1">
        <f t="shared" si="172"/>
        <v>11142466</v>
      </c>
      <c r="K357" s="1">
        <f t="shared" si="172"/>
        <v>1114347036.8499999</v>
      </c>
      <c r="L357" s="1">
        <f t="shared" si="172"/>
        <v>155650</v>
      </c>
      <c r="M357" s="1">
        <f t="shared" si="172"/>
        <v>28399015.16</v>
      </c>
      <c r="N357" s="1">
        <f t="shared" si="172"/>
        <v>370185</v>
      </c>
      <c r="O357" s="1">
        <f t="shared" si="172"/>
        <v>63874972.809999995</v>
      </c>
      <c r="P357" s="1">
        <f t="shared" si="172"/>
        <v>1647</v>
      </c>
      <c r="Q357" s="1">
        <f t="shared" si="172"/>
        <v>379120.53</v>
      </c>
      <c r="R357" s="1">
        <f t="shared" si="172"/>
        <v>148085</v>
      </c>
      <c r="S357" s="1">
        <f t="shared" si="172"/>
        <v>14814466.17</v>
      </c>
      <c r="T357" s="53">
        <f>N357+L357+J357+H357+D357+P357+F357+R357</f>
        <v>15317032</v>
      </c>
      <c r="U357" s="54">
        <f t="shared" ref="T357:U368" si="173">O357+M357+K357+I357+E357+Q357+G357+S357</f>
        <v>1488514807.8400002</v>
      </c>
      <c r="V357" s="2" t="s">
        <v>80</v>
      </c>
      <c r="W357" s="66"/>
      <c r="X357" s="13"/>
      <c r="Y357" s="2" t="s">
        <v>5</v>
      </c>
      <c r="Z357" s="2">
        <v>2026</v>
      </c>
      <c r="AA357" s="1">
        <f t="shared" ref="AA357:AB368" si="174">D357+H357+F357</f>
        <v>3498999</v>
      </c>
      <c r="AB357" s="11">
        <f t="shared" si="174"/>
        <v>266700196.32000002</v>
      </c>
      <c r="AC357" s="1">
        <f t="shared" ref="AC357:AL368" si="175">+J357</f>
        <v>11142466</v>
      </c>
      <c r="AD357" s="11">
        <f t="shared" si="175"/>
        <v>1114347036.8499999</v>
      </c>
      <c r="AE357" s="8">
        <f t="shared" si="175"/>
        <v>155650</v>
      </c>
      <c r="AF357" s="11">
        <f t="shared" si="175"/>
        <v>28399015.16</v>
      </c>
      <c r="AG357" s="8">
        <f t="shared" si="175"/>
        <v>370185</v>
      </c>
      <c r="AH357" s="11">
        <f t="shared" si="175"/>
        <v>63874972.809999995</v>
      </c>
      <c r="AI357" s="8">
        <f t="shared" si="175"/>
        <v>1647</v>
      </c>
      <c r="AJ357" s="11">
        <f t="shared" si="175"/>
        <v>379120.53</v>
      </c>
      <c r="AK357" s="11">
        <f t="shared" si="175"/>
        <v>148085</v>
      </c>
      <c r="AL357" s="11">
        <f t="shared" si="175"/>
        <v>14814466.17</v>
      </c>
      <c r="AM357" s="8">
        <f>AI357+AG357+AE357+AC357+AA357+AK357</f>
        <v>15317032</v>
      </c>
      <c r="AN357" s="11">
        <f t="shared" ref="AN357:AN368" si="176">AJ357+AH357+AF357+AD357+AB357+AL357</f>
        <v>1488514807.8399999</v>
      </c>
      <c r="AO357" s="2" t="s">
        <v>70</v>
      </c>
      <c r="AP357" s="37">
        <f t="shared" ref="AP357:AQ368" si="177">+AM357-T357</f>
        <v>0</v>
      </c>
      <c r="AQ357" s="37">
        <f t="shared" si="177"/>
        <v>0</v>
      </c>
      <c r="AR357" s="13"/>
      <c r="AS357" s="15">
        <f>+AM357-AA357</f>
        <v>11818033</v>
      </c>
      <c r="AT357" s="9">
        <f>+AN357-AB357</f>
        <v>1221814611.52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2026</v>
      </c>
      <c r="D358" s="1">
        <f>+D126+D72+D51+D30+D9+D147+D168+D189+D210+D231+D252+D273+D294+D315+D336+D95</f>
        <v>1833385</v>
      </c>
      <c r="E358" s="1">
        <f t="shared" ref="E358:S358" si="178">+E126+E72+E51+E30+E9+E147+E168+E189+E210+E231+E252+E273+E294+E315+E336+E95</f>
        <v>131501766.16</v>
      </c>
      <c r="F358" s="1">
        <f t="shared" si="178"/>
        <v>1050907</v>
      </c>
      <c r="G358" s="1">
        <f t="shared" si="178"/>
        <v>73858537.180000007</v>
      </c>
      <c r="H358" s="1">
        <f t="shared" si="178"/>
        <v>310953</v>
      </c>
      <c r="I358" s="1">
        <f t="shared" si="178"/>
        <v>43521308.049999997</v>
      </c>
      <c r="J358" s="1">
        <f t="shared" si="178"/>
        <v>10532852</v>
      </c>
      <c r="K358" s="1">
        <f t="shared" si="178"/>
        <v>1067282611.1199999</v>
      </c>
      <c r="L358" s="1">
        <f t="shared" si="178"/>
        <v>146718</v>
      </c>
      <c r="M358" s="1">
        <f t="shared" si="178"/>
        <v>27184443.18</v>
      </c>
      <c r="N358" s="1">
        <f t="shared" si="178"/>
        <v>347425</v>
      </c>
      <c r="O358" s="1">
        <f t="shared" si="178"/>
        <v>60345265.369999997</v>
      </c>
      <c r="P358" s="1">
        <f t="shared" si="178"/>
        <v>1656</v>
      </c>
      <c r="Q358" s="1">
        <f t="shared" si="178"/>
        <v>382914.58</v>
      </c>
      <c r="R358" s="1">
        <f t="shared" si="178"/>
        <v>135177</v>
      </c>
      <c r="S358" s="1">
        <f t="shared" si="178"/>
        <v>13949002.35</v>
      </c>
      <c r="T358" s="53">
        <f t="shared" si="173"/>
        <v>14359073</v>
      </c>
      <c r="U358" s="54">
        <f t="shared" si="173"/>
        <v>1418025847.9899998</v>
      </c>
      <c r="V358" s="2" t="s">
        <v>80</v>
      </c>
      <c r="W358" s="66"/>
      <c r="X358" s="13"/>
      <c r="Y358" s="2" t="s">
        <v>6</v>
      </c>
      <c r="Z358" s="2">
        <v>2026</v>
      </c>
      <c r="AA358" s="1">
        <f t="shared" si="174"/>
        <v>3195245</v>
      </c>
      <c r="AB358" s="11">
        <f t="shared" si="174"/>
        <v>248881611.38999999</v>
      </c>
      <c r="AC358" s="1">
        <f t="shared" si="175"/>
        <v>10532852</v>
      </c>
      <c r="AD358" s="11">
        <f t="shared" si="175"/>
        <v>1067282611.1199999</v>
      </c>
      <c r="AE358" s="8">
        <f t="shared" si="175"/>
        <v>146718</v>
      </c>
      <c r="AF358" s="11">
        <f t="shared" si="175"/>
        <v>27184443.18</v>
      </c>
      <c r="AG358" s="8">
        <f t="shared" si="175"/>
        <v>347425</v>
      </c>
      <c r="AH358" s="11">
        <f t="shared" si="175"/>
        <v>60345265.369999997</v>
      </c>
      <c r="AI358" s="8">
        <f t="shared" si="175"/>
        <v>1656</v>
      </c>
      <c r="AJ358" s="11">
        <f t="shared" si="175"/>
        <v>382914.58</v>
      </c>
      <c r="AK358" s="11">
        <f t="shared" si="175"/>
        <v>135177</v>
      </c>
      <c r="AL358" s="11">
        <f t="shared" si="175"/>
        <v>13949002.35</v>
      </c>
      <c r="AM358" s="8">
        <f t="shared" ref="AM358:AM368" si="179">AI358+AG358+AE358+AC358+AA358+AK358</f>
        <v>14359073</v>
      </c>
      <c r="AN358" s="11">
        <f t="shared" si="176"/>
        <v>1418025847.9899998</v>
      </c>
      <c r="AO358" s="2" t="s">
        <v>70</v>
      </c>
      <c r="AP358" s="37">
        <f t="shared" si="177"/>
        <v>0</v>
      </c>
      <c r="AQ358" s="37">
        <f t="shared" si="177"/>
        <v>0</v>
      </c>
      <c r="AR358" s="13"/>
      <c r="AS358" s="15">
        <f t="shared" ref="AS358:AT359" si="180">+AM358-AA358</f>
        <v>11163828</v>
      </c>
      <c r="AT358" s="9">
        <f t="shared" si="180"/>
        <v>1169144236.5999999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2026</v>
      </c>
      <c r="D359" s="1">
        <f>+D127+D73+D52+D31+D10+D148+D169+D190+D211+D232+D253+D274+D295+D316+D337+D97</f>
        <v>2021369</v>
      </c>
      <c r="E359" s="1">
        <f t="shared" ref="E359:S359" si="181">+E127+E73+E52+E31+E10+E148+E169+E190+E211+E232+E253+E274+E295+E316+E337+E97</f>
        <v>149440144.28999999</v>
      </c>
      <c r="F359" s="1">
        <f t="shared" si="181"/>
        <v>1139187</v>
      </c>
      <c r="G359" s="1">
        <f t="shared" si="181"/>
        <v>81881878.080000013</v>
      </c>
      <c r="H359" s="1">
        <f t="shared" si="181"/>
        <v>359293</v>
      </c>
      <c r="I359" s="1">
        <f t="shared" si="181"/>
        <v>51147666.150000006</v>
      </c>
      <c r="J359" s="1">
        <f t="shared" si="181"/>
        <v>11694654</v>
      </c>
      <c r="K359" s="1">
        <f t="shared" si="181"/>
        <v>1178337704.22</v>
      </c>
      <c r="L359" s="1">
        <f t="shared" si="181"/>
        <v>166424</v>
      </c>
      <c r="M359" s="1">
        <f t="shared" si="181"/>
        <v>31153193.91</v>
      </c>
      <c r="N359" s="1">
        <f t="shared" si="181"/>
        <v>387744</v>
      </c>
      <c r="O359" s="1">
        <f t="shared" si="181"/>
        <v>66452910.950000003</v>
      </c>
      <c r="P359" s="1">
        <f t="shared" si="181"/>
        <v>1790</v>
      </c>
      <c r="Q359" s="1">
        <f t="shared" si="181"/>
        <v>402878.5</v>
      </c>
      <c r="R359" s="1">
        <f t="shared" si="181"/>
        <v>150914</v>
      </c>
      <c r="S359" s="1">
        <f t="shared" si="181"/>
        <v>15380824.210000001</v>
      </c>
      <c r="T359" s="53">
        <f t="shared" si="173"/>
        <v>15921375</v>
      </c>
      <c r="U359" s="54">
        <f t="shared" si="173"/>
        <v>1574197200.3099999</v>
      </c>
      <c r="V359" s="2" t="s">
        <v>80</v>
      </c>
      <c r="W359" s="66"/>
      <c r="X359" s="13"/>
      <c r="Y359" s="2" t="s">
        <v>7</v>
      </c>
      <c r="Z359" s="2">
        <v>2026</v>
      </c>
      <c r="AA359" s="1">
        <f t="shared" si="174"/>
        <v>3519849</v>
      </c>
      <c r="AB359" s="11">
        <f t="shared" si="174"/>
        <v>282469688.51999998</v>
      </c>
      <c r="AC359" s="1">
        <f t="shared" si="175"/>
        <v>11694654</v>
      </c>
      <c r="AD359" s="11">
        <f t="shared" si="175"/>
        <v>1178337704.22</v>
      </c>
      <c r="AE359" s="8">
        <f t="shared" si="175"/>
        <v>166424</v>
      </c>
      <c r="AF359" s="11">
        <f t="shared" si="175"/>
        <v>31153193.91</v>
      </c>
      <c r="AG359" s="8">
        <f t="shared" si="175"/>
        <v>387744</v>
      </c>
      <c r="AH359" s="11">
        <f t="shared" si="175"/>
        <v>66452910.950000003</v>
      </c>
      <c r="AI359" s="8">
        <f t="shared" si="175"/>
        <v>1790</v>
      </c>
      <c r="AJ359" s="11">
        <f t="shared" si="175"/>
        <v>402878.5</v>
      </c>
      <c r="AK359" s="11">
        <f t="shared" si="175"/>
        <v>150914</v>
      </c>
      <c r="AL359" s="11">
        <f t="shared" si="175"/>
        <v>15380824.210000001</v>
      </c>
      <c r="AM359" s="8">
        <f t="shared" si="179"/>
        <v>15921375</v>
      </c>
      <c r="AN359" s="11">
        <f t="shared" si="176"/>
        <v>1574197200.3099999</v>
      </c>
      <c r="AO359" s="2" t="s">
        <v>70</v>
      </c>
      <c r="AP359" s="37">
        <f t="shared" si="177"/>
        <v>0</v>
      </c>
      <c r="AQ359" s="37">
        <f t="shared" si="177"/>
        <v>0</v>
      </c>
      <c r="AR359" s="13"/>
      <c r="AS359" s="15">
        <f t="shared" si="180"/>
        <v>12401526</v>
      </c>
      <c r="AT359" s="9">
        <f t="shared" si="180"/>
        <v>1291727511.79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2026</v>
      </c>
      <c r="D360" s="1">
        <f>+D128+D74+D53+D32+D11+D149+D170+D191+D212+D233+D254+D275+D296+D317+D338+D99</f>
        <v>1954675</v>
      </c>
      <c r="E360" s="1">
        <f t="shared" ref="E360:S360" si="182">+E128+E74+E53+E32+E11+E149+E170+E191+E212+E233+E254+E275+E296+E317+E338+E99</f>
        <v>149529101.20999998</v>
      </c>
      <c r="F360" s="1">
        <f t="shared" si="182"/>
        <v>1034699</v>
      </c>
      <c r="G360" s="1">
        <f t="shared" si="182"/>
        <v>75714977.090000004</v>
      </c>
      <c r="H360" s="1">
        <f t="shared" si="182"/>
        <v>352025</v>
      </c>
      <c r="I360" s="1">
        <f t="shared" si="182"/>
        <v>51702212</v>
      </c>
      <c r="J360" s="1">
        <f t="shared" si="182"/>
        <v>11327775</v>
      </c>
      <c r="K360" s="1">
        <f t="shared" si="182"/>
        <v>1228217531.3400002</v>
      </c>
      <c r="L360" s="1">
        <f t="shared" si="182"/>
        <v>167863</v>
      </c>
      <c r="M360" s="1">
        <f t="shared" si="182"/>
        <v>32874937.969999999</v>
      </c>
      <c r="N360" s="1">
        <f t="shared" si="182"/>
        <v>390928</v>
      </c>
      <c r="O360" s="1">
        <f t="shared" si="182"/>
        <v>71413619.770000011</v>
      </c>
      <c r="P360" s="1">
        <f t="shared" si="182"/>
        <v>1875</v>
      </c>
      <c r="Q360" s="1">
        <f t="shared" si="182"/>
        <v>411324.35</v>
      </c>
      <c r="R360" s="1">
        <f t="shared" si="182"/>
        <v>154608</v>
      </c>
      <c r="S360" s="1">
        <f t="shared" si="182"/>
        <v>16801515.789999999</v>
      </c>
      <c r="T360" s="53">
        <f t="shared" si="173"/>
        <v>15384448</v>
      </c>
      <c r="U360" s="54">
        <f t="shared" si="173"/>
        <v>1626665219.52</v>
      </c>
      <c r="V360" s="2" t="s">
        <v>80</v>
      </c>
      <c r="W360" s="66"/>
      <c r="X360" s="13"/>
      <c r="Y360" s="2" t="s">
        <v>8</v>
      </c>
      <c r="Z360" s="2">
        <v>2026</v>
      </c>
      <c r="AA360" s="1">
        <f t="shared" si="174"/>
        <v>3341399</v>
      </c>
      <c r="AB360" s="11">
        <f t="shared" si="174"/>
        <v>276946290.29999995</v>
      </c>
      <c r="AC360" s="1">
        <f t="shared" si="175"/>
        <v>11327775</v>
      </c>
      <c r="AD360" s="11">
        <f t="shared" si="175"/>
        <v>1228217531.3400002</v>
      </c>
      <c r="AE360" s="8">
        <f t="shared" si="175"/>
        <v>167863</v>
      </c>
      <c r="AF360" s="11">
        <f t="shared" si="175"/>
        <v>32874937.969999999</v>
      </c>
      <c r="AG360" s="8">
        <f t="shared" si="175"/>
        <v>390928</v>
      </c>
      <c r="AH360" s="11">
        <f t="shared" si="175"/>
        <v>71413619.770000011</v>
      </c>
      <c r="AI360" s="8">
        <f t="shared" si="175"/>
        <v>1875</v>
      </c>
      <c r="AJ360" s="11">
        <f t="shared" si="175"/>
        <v>411324.35</v>
      </c>
      <c r="AK360" s="11">
        <f t="shared" si="175"/>
        <v>154608</v>
      </c>
      <c r="AL360" s="11">
        <f t="shared" si="175"/>
        <v>16801515.789999999</v>
      </c>
      <c r="AM360" s="8">
        <f t="shared" si="179"/>
        <v>15384448</v>
      </c>
      <c r="AN360" s="11">
        <f t="shared" si="176"/>
        <v>1626665219.52</v>
      </c>
      <c r="AO360" s="2" t="s">
        <v>70</v>
      </c>
      <c r="AP360" s="37">
        <f t="shared" si="177"/>
        <v>0</v>
      </c>
      <c r="AQ360" s="37">
        <f t="shared" si="177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2026</v>
      </c>
      <c r="D361" s="1">
        <f>+D129+D75+D54+D33+D12+D150+D171+D192+D213+D234+D255+D276+D297+D318+D339+D101</f>
        <v>1986398</v>
      </c>
      <c r="E361" s="1">
        <f t="shared" ref="E361:S361" si="183">+E129+E75+E54+E33+E12+E150+E171+E192+E213+E234+E255+E276+E297+E318+E339+E101</f>
        <v>148375059.43000001</v>
      </c>
      <c r="F361" s="1">
        <f t="shared" si="183"/>
        <v>1093348</v>
      </c>
      <c r="G361" s="1">
        <f t="shared" si="183"/>
        <v>78375052.150000006</v>
      </c>
      <c r="H361" s="1">
        <f t="shared" si="183"/>
        <v>360132</v>
      </c>
      <c r="I361" s="1">
        <f t="shared" si="183"/>
        <v>51111565.120000005</v>
      </c>
      <c r="J361" s="1">
        <f t="shared" si="183"/>
        <v>12104981</v>
      </c>
      <c r="K361" s="1">
        <f t="shared" si="183"/>
        <v>1260708404.7599998</v>
      </c>
      <c r="L361" s="1">
        <f t="shared" si="183"/>
        <v>164737</v>
      </c>
      <c r="M361" s="1">
        <f t="shared" si="183"/>
        <v>32122184.150000002</v>
      </c>
      <c r="N361" s="1">
        <f t="shared" si="183"/>
        <v>404723</v>
      </c>
      <c r="O361" s="1">
        <f t="shared" si="183"/>
        <v>72285963.400000006</v>
      </c>
      <c r="P361" s="1">
        <f t="shared" si="183"/>
        <v>2909</v>
      </c>
      <c r="Q361" s="1">
        <f t="shared" si="183"/>
        <v>618933.64999999991</v>
      </c>
      <c r="R361" s="1">
        <f t="shared" si="183"/>
        <v>161942</v>
      </c>
      <c r="S361" s="1">
        <f t="shared" si="183"/>
        <v>17034208.649999999</v>
      </c>
      <c r="T361" s="53">
        <f t="shared" si="173"/>
        <v>16279170</v>
      </c>
      <c r="U361" s="54">
        <f t="shared" si="173"/>
        <v>1660631371.3100002</v>
      </c>
      <c r="V361" s="2" t="s">
        <v>80</v>
      </c>
      <c r="W361" s="66"/>
      <c r="X361" s="13"/>
      <c r="Y361" s="2" t="s">
        <v>9</v>
      </c>
      <c r="Z361" s="2">
        <v>2026</v>
      </c>
      <c r="AA361" s="1">
        <f t="shared" si="174"/>
        <v>3439878</v>
      </c>
      <c r="AB361" s="11">
        <f t="shared" si="174"/>
        <v>277861676.70000005</v>
      </c>
      <c r="AC361" s="1">
        <f t="shared" si="175"/>
        <v>12104981</v>
      </c>
      <c r="AD361" s="11">
        <f t="shared" si="175"/>
        <v>1260708404.7599998</v>
      </c>
      <c r="AE361" s="8">
        <f t="shared" si="175"/>
        <v>164737</v>
      </c>
      <c r="AF361" s="11">
        <f t="shared" si="175"/>
        <v>32122184.150000002</v>
      </c>
      <c r="AG361" s="8">
        <f t="shared" si="175"/>
        <v>404723</v>
      </c>
      <c r="AH361" s="11">
        <f t="shared" si="175"/>
        <v>72285963.400000006</v>
      </c>
      <c r="AI361" s="8">
        <f t="shared" si="175"/>
        <v>2909</v>
      </c>
      <c r="AJ361" s="11">
        <f t="shared" si="175"/>
        <v>618933.64999999991</v>
      </c>
      <c r="AK361" s="11">
        <f t="shared" si="175"/>
        <v>161942</v>
      </c>
      <c r="AL361" s="11">
        <f t="shared" si="175"/>
        <v>17034208.649999999</v>
      </c>
      <c r="AM361" s="8">
        <f t="shared" si="179"/>
        <v>16279170</v>
      </c>
      <c r="AN361" s="11">
        <f t="shared" si="176"/>
        <v>1660631371.3099999</v>
      </c>
      <c r="AO361" s="2" t="s">
        <v>70</v>
      </c>
      <c r="AP361" s="37">
        <f t="shared" si="177"/>
        <v>0</v>
      </c>
      <c r="AQ361" s="37">
        <f t="shared" si="177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2026</v>
      </c>
      <c r="D362" s="1">
        <f>+D130+D76+D55+D34+D13+D151+D172+D193+D214+D235+D256+D277+D298+D319+D340+D103</f>
        <v>1844083</v>
      </c>
      <c r="E362" s="1">
        <f t="shared" ref="E362:S362" si="184">+E130+E76+E55+E34+E13+E151+E172+E193+E214+E235+E256+E277+E298+E319+E340+E103</f>
        <v>138054708.69</v>
      </c>
      <c r="F362" s="1">
        <f t="shared" si="184"/>
        <v>1001076</v>
      </c>
      <c r="G362" s="1">
        <f t="shared" si="184"/>
        <v>71693872.640000001</v>
      </c>
      <c r="H362" s="1">
        <f t="shared" si="184"/>
        <v>339989</v>
      </c>
      <c r="I362" s="1">
        <f t="shared" si="184"/>
        <v>48859093.280000001</v>
      </c>
      <c r="J362" s="1">
        <f t="shared" si="184"/>
        <v>11471949</v>
      </c>
      <c r="K362" s="1">
        <f t="shared" si="184"/>
        <v>1204375060.78</v>
      </c>
      <c r="L362" s="1">
        <f t="shared" si="184"/>
        <v>165005</v>
      </c>
      <c r="M362" s="1">
        <f t="shared" si="184"/>
        <v>32453812</v>
      </c>
      <c r="N362" s="1">
        <f t="shared" si="184"/>
        <v>397198</v>
      </c>
      <c r="O362" s="1">
        <f t="shared" si="184"/>
        <v>71442355.069999993</v>
      </c>
      <c r="P362" s="1">
        <f t="shared" si="184"/>
        <v>4206</v>
      </c>
      <c r="Q362" s="1">
        <f t="shared" si="184"/>
        <v>878039.84</v>
      </c>
      <c r="R362" s="1">
        <f t="shared" si="184"/>
        <v>148025</v>
      </c>
      <c r="S362" s="1">
        <f t="shared" si="184"/>
        <v>15164942.23</v>
      </c>
      <c r="T362" s="53">
        <f t="shared" si="173"/>
        <v>15371531</v>
      </c>
      <c r="U362" s="54">
        <f t="shared" si="173"/>
        <v>1582921884.53</v>
      </c>
      <c r="V362" s="2" t="s">
        <v>80</v>
      </c>
      <c r="W362" s="66"/>
      <c r="X362" s="13"/>
      <c r="Y362" s="2" t="s">
        <v>10</v>
      </c>
      <c r="Z362" s="2">
        <v>2026</v>
      </c>
      <c r="AA362" s="1">
        <f t="shared" si="174"/>
        <v>3185148</v>
      </c>
      <c r="AB362" s="11">
        <f t="shared" si="174"/>
        <v>258607674.61000001</v>
      </c>
      <c r="AC362" s="1">
        <f t="shared" si="175"/>
        <v>11471949</v>
      </c>
      <c r="AD362" s="11">
        <f t="shared" si="175"/>
        <v>1204375060.78</v>
      </c>
      <c r="AE362" s="8">
        <f t="shared" si="175"/>
        <v>165005</v>
      </c>
      <c r="AF362" s="11">
        <f t="shared" si="175"/>
        <v>32453812</v>
      </c>
      <c r="AG362" s="8">
        <f t="shared" si="175"/>
        <v>397198</v>
      </c>
      <c r="AH362" s="11">
        <f t="shared" si="175"/>
        <v>71442355.069999993</v>
      </c>
      <c r="AI362" s="8">
        <f t="shared" si="175"/>
        <v>4206</v>
      </c>
      <c r="AJ362" s="11">
        <f t="shared" si="175"/>
        <v>878039.84</v>
      </c>
      <c r="AK362" s="11">
        <f t="shared" si="175"/>
        <v>148025</v>
      </c>
      <c r="AL362" s="11">
        <f t="shared" si="175"/>
        <v>15164942.23</v>
      </c>
      <c r="AM362" s="8">
        <f t="shared" si="179"/>
        <v>15371531</v>
      </c>
      <c r="AN362" s="11">
        <f t="shared" si="176"/>
        <v>1582921884.5300002</v>
      </c>
      <c r="AO362" s="2" t="s">
        <v>70</v>
      </c>
      <c r="AP362" s="37">
        <f t="shared" si="177"/>
        <v>0</v>
      </c>
      <c r="AQ362" s="37">
        <f t="shared" si="177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2026</v>
      </c>
      <c r="D363" s="1">
        <f>+D131+D77+D56+D35+D14+D152+D173+D194+D215+D236+D257+D278+D299+D320+D341+D105</f>
        <v>0</v>
      </c>
      <c r="E363" s="1">
        <f t="shared" ref="E363:S363" si="185">+E131+E77+E56+E35+E14+E152+E173+E194+E215+E236+E257+E278+E299+E320+E341+E105</f>
        <v>0</v>
      </c>
      <c r="F363" s="1">
        <f t="shared" si="185"/>
        <v>0</v>
      </c>
      <c r="G363" s="1">
        <f t="shared" si="185"/>
        <v>0</v>
      </c>
      <c r="H363" s="1">
        <f t="shared" si="185"/>
        <v>0</v>
      </c>
      <c r="I363" s="1">
        <f t="shared" si="185"/>
        <v>0</v>
      </c>
      <c r="J363" s="1">
        <f t="shared" si="185"/>
        <v>0</v>
      </c>
      <c r="K363" s="1">
        <f t="shared" si="185"/>
        <v>0</v>
      </c>
      <c r="L363" s="1">
        <f t="shared" si="185"/>
        <v>0</v>
      </c>
      <c r="M363" s="1">
        <f t="shared" si="185"/>
        <v>0</v>
      </c>
      <c r="N363" s="1">
        <f t="shared" si="185"/>
        <v>0</v>
      </c>
      <c r="O363" s="1">
        <f t="shared" si="185"/>
        <v>0</v>
      </c>
      <c r="P363" s="1">
        <f t="shared" si="185"/>
        <v>0</v>
      </c>
      <c r="Q363" s="1">
        <f t="shared" si="185"/>
        <v>0</v>
      </c>
      <c r="R363" s="1">
        <f t="shared" si="185"/>
        <v>0</v>
      </c>
      <c r="S363" s="1">
        <f t="shared" si="185"/>
        <v>0</v>
      </c>
      <c r="T363" s="53">
        <f t="shared" si="173"/>
        <v>0</v>
      </c>
      <c r="U363" s="54">
        <f t="shared" si="173"/>
        <v>0</v>
      </c>
      <c r="V363" s="2" t="s">
        <v>80</v>
      </c>
      <c r="W363" s="66"/>
      <c r="Y363" s="2" t="s">
        <v>11</v>
      </c>
      <c r="Z363" s="2">
        <v>2026</v>
      </c>
      <c r="AA363" s="1">
        <f t="shared" si="174"/>
        <v>0</v>
      </c>
      <c r="AB363" s="11">
        <f t="shared" si="174"/>
        <v>0</v>
      </c>
      <c r="AC363" s="1">
        <f t="shared" si="175"/>
        <v>0</v>
      </c>
      <c r="AD363" s="11">
        <f t="shared" si="175"/>
        <v>0</v>
      </c>
      <c r="AE363" s="8">
        <f t="shared" si="175"/>
        <v>0</v>
      </c>
      <c r="AF363" s="11">
        <f t="shared" si="175"/>
        <v>0</v>
      </c>
      <c r="AG363" s="8">
        <f t="shared" si="175"/>
        <v>0</v>
      </c>
      <c r="AH363" s="11">
        <f t="shared" si="175"/>
        <v>0</v>
      </c>
      <c r="AI363" s="8">
        <f t="shared" si="175"/>
        <v>0</v>
      </c>
      <c r="AJ363" s="11">
        <f t="shared" si="175"/>
        <v>0</v>
      </c>
      <c r="AK363" s="11">
        <f t="shared" si="175"/>
        <v>0</v>
      </c>
      <c r="AL363" s="11">
        <f t="shared" si="175"/>
        <v>0</v>
      </c>
      <c r="AM363" s="8">
        <f t="shared" si="179"/>
        <v>0</v>
      </c>
      <c r="AN363" s="11">
        <f t="shared" si="176"/>
        <v>0</v>
      </c>
      <c r="AO363" s="2" t="s">
        <v>70</v>
      </c>
      <c r="AP363" s="37">
        <f t="shared" si="177"/>
        <v>0</v>
      </c>
      <c r="AQ363" s="37">
        <f t="shared" si="177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2026</v>
      </c>
      <c r="D364" s="1">
        <f>+D132+D78+D57+D36+D15+D153+D174+D195+D216+D237+D258+D279+D300+D321+D342+D107</f>
        <v>0</v>
      </c>
      <c r="E364" s="1">
        <f t="shared" ref="E364:S364" si="186">+E132+E78+E57+E36+E15+E153+E174+E195+E216+E237+E258+E279+E300+E321+E342+E107</f>
        <v>0</v>
      </c>
      <c r="F364" s="1">
        <f t="shared" si="186"/>
        <v>0</v>
      </c>
      <c r="G364" s="1">
        <f t="shared" si="186"/>
        <v>0</v>
      </c>
      <c r="H364" s="1">
        <f t="shared" si="186"/>
        <v>0</v>
      </c>
      <c r="I364" s="1">
        <f t="shared" si="186"/>
        <v>0</v>
      </c>
      <c r="J364" s="1">
        <f t="shared" si="186"/>
        <v>0</v>
      </c>
      <c r="K364" s="1">
        <f t="shared" si="186"/>
        <v>0</v>
      </c>
      <c r="L364" s="1">
        <f t="shared" si="186"/>
        <v>0</v>
      </c>
      <c r="M364" s="1">
        <f t="shared" si="186"/>
        <v>0</v>
      </c>
      <c r="N364" s="1">
        <f t="shared" si="186"/>
        <v>0</v>
      </c>
      <c r="O364" s="1">
        <f t="shared" si="186"/>
        <v>0</v>
      </c>
      <c r="P364" s="1">
        <f t="shared" si="186"/>
        <v>0</v>
      </c>
      <c r="Q364" s="1">
        <f t="shared" si="186"/>
        <v>0</v>
      </c>
      <c r="R364" s="1">
        <f t="shared" si="186"/>
        <v>0</v>
      </c>
      <c r="S364" s="1">
        <f t="shared" si="186"/>
        <v>0</v>
      </c>
      <c r="T364" s="53">
        <f t="shared" si="173"/>
        <v>0</v>
      </c>
      <c r="U364" s="54">
        <f t="shared" si="173"/>
        <v>0</v>
      </c>
      <c r="V364" s="2" t="s">
        <v>80</v>
      </c>
      <c r="W364" s="66"/>
      <c r="Y364" s="2" t="s">
        <v>4</v>
      </c>
      <c r="Z364" s="2">
        <v>2026</v>
      </c>
      <c r="AA364" s="1">
        <f t="shared" si="174"/>
        <v>0</v>
      </c>
      <c r="AB364" s="11">
        <f t="shared" si="174"/>
        <v>0</v>
      </c>
      <c r="AC364" s="1">
        <f t="shared" si="175"/>
        <v>0</v>
      </c>
      <c r="AD364" s="11">
        <f t="shared" si="175"/>
        <v>0</v>
      </c>
      <c r="AE364" s="8">
        <f t="shared" si="175"/>
        <v>0</v>
      </c>
      <c r="AF364" s="11">
        <f t="shared" si="175"/>
        <v>0</v>
      </c>
      <c r="AG364" s="8">
        <f t="shared" si="175"/>
        <v>0</v>
      </c>
      <c r="AH364" s="11">
        <f t="shared" si="175"/>
        <v>0</v>
      </c>
      <c r="AI364" s="8">
        <f t="shared" si="175"/>
        <v>0</v>
      </c>
      <c r="AJ364" s="11">
        <f t="shared" si="175"/>
        <v>0</v>
      </c>
      <c r="AK364" s="11">
        <f t="shared" si="175"/>
        <v>0</v>
      </c>
      <c r="AL364" s="11">
        <f t="shared" si="175"/>
        <v>0</v>
      </c>
      <c r="AM364" s="27">
        <f t="shared" si="179"/>
        <v>0</v>
      </c>
      <c r="AN364" s="14">
        <f t="shared" si="176"/>
        <v>0</v>
      </c>
      <c r="AO364" s="2" t="s">
        <v>70</v>
      </c>
      <c r="AP364" s="37">
        <f t="shared" si="177"/>
        <v>0</v>
      </c>
      <c r="AQ364" s="37">
        <f t="shared" si="177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84" t="s">
        <v>28</v>
      </c>
      <c r="C365" s="2">
        <v>2026</v>
      </c>
      <c r="D365" s="1">
        <f>+D133+D79+D58+D37+D16+D154+D175+D196+D217+D238+D259+D280+D301+D322+D343+D109</f>
        <v>0</v>
      </c>
      <c r="E365" s="1">
        <f t="shared" ref="E365:S365" si="187">+E133+E79+E58+E37+E16+E154+E175+E196+E217+E238+E259+E280+E301+E322+E343+E109</f>
        <v>0</v>
      </c>
      <c r="F365" s="1">
        <f t="shared" si="187"/>
        <v>0</v>
      </c>
      <c r="G365" s="1">
        <f t="shared" si="187"/>
        <v>0</v>
      </c>
      <c r="H365" s="1">
        <f t="shared" si="187"/>
        <v>0</v>
      </c>
      <c r="I365" s="1">
        <f t="shared" si="187"/>
        <v>0</v>
      </c>
      <c r="J365" s="1">
        <f t="shared" si="187"/>
        <v>0</v>
      </c>
      <c r="K365" s="1">
        <f t="shared" si="187"/>
        <v>0</v>
      </c>
      <c r="L365" s="1">
        <f t="shared" si="187"/>
        <v>0</v>
      </c>
      <c r="M365" s="1">
        <f t="shared" si="187"/>
        <v>0</v>
      </c>
      <c r="N365" s="1">
        <f t="shared" si="187"/>
        <v>0</v>
      </c>
      <c r="O365" s="1">
        <f t="shared" si="187"/>
        <v>0</v>
      </c>
      <c r="P365" s="1">
        <f t="shared" si="187"/>
        <v>0</v>
      </c>
      <c r="Q365" s="1">
        <f t="shared" si="187"/>
        <v>0</v>
      </c>
      <c r="R365" s="1">
        <f t="shared" si="187"/>
        <v>0</v>
      </c>
      <c r="S365" s="1">
        <f t="shared" si="187"/>
        <v>0</v>
      </c>
      <c r="T365" s="53">
        <f t="shared" si="173"/>
        <v>0</v>
      </c>
      <c r="U365" s="54">
        <f t="shared" si="173"/>
        <v>0</v>
      </c>
      <c r="V365" s="2" t="s">
        <v>80</v>
      </c>
      <c r="W365" s="66"/>
      <c r="Y365" s="2" t="s">
        <v>28</v>
      </c>
      <c r="Z365" s="2">
        <v>2026</v>
      </c>
      <c r="AA365" s="1">
        <f t="shared" si="174"/>
        <v>0</v>
      </c>
      <c r="AB365" s="11">
        <f t="shared" si="174"/>
        <v>0</v>
      </c>
      <c r="AC365" s="1">
        <f t="shared" si="175"/>
        <v>0</v>
      </c>
      <c r="AD365" s="11">
        <f t="shared" si="175"/>
        <v>0</v>
      </c>
      <c r="AE365" s="8">
        <f t="shared" si="175"/>
        <v>0</v>
      </c>
      <c r="AF365" s="11">
        <f t="shared" si="175"/>
        <v>0</v>
      </c>
      <c r="AG365" s="8">
        <f t="shared" si="175"/>
        <v>0</v>
      </c>
      <c r="AH365" s="11">
        <f t="shared" si="175"/>
        <v>0</v>
      </c>
      <c r="AI365" s="8">
        <f t="shared" si="175"/>
        <v>0</v>
      </c>
      <c r="AJ365" s="11">
        <f t="shared" si="175"/>
        <v>0</v>
      </c>
      <c r="AK365" s="11">
        <f t="shared" si="175"/>
        <v>0</v>
      </c>
      <c r="AL365" s="11">
        <f t="shared" si="175"/>
        <v>0</v>
      </c>
      <c r="AM365" s="8">
        <f t="shared" si="179"/>
        <v>0</v>
      </c>
      <c r="AN365" s="11">
        <f t="shared" si="176"/>
        <v>0</v>
      </c>
      <c r="AO365" s="2" t="s">
        <v>70</v>
      </c>
      <c r="AP365" s="37">
        <f t="shared" si="177"/>
        <v>0</v>
      </c>
      <c r="AQ365" s="37">
        <f t="shared" si="177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2026</v>
      </c>
      <c r="D366" s="1">
        <f>+D134+D80+D59+D38+D17+D155+D176+D197+D218+D239+D260+D281+D302+D323+D344+D111</f>
        <v>0</v>
      </c>
      <c r="E366" s="1">
        <f t="shared" ref="E366:S366" si="188">+E134+E80+E59+E38+E17+E155+E176+E197+E218+E239+E260+E281+E302+E323+E344+E111</f>
        <v>0</v>
      </c>
      <c r="F366" s="1">
        <f t="shared" si="188"/>
        <v>0</v>
      </c>
      <c r="G366" s="1">
        <f t="shared" si="188"/>
        <v>0</v>
      </c>
      <c r="H366" s="1">
        <f t="shared" si="188"/>
        <v>0</v>
      </c>
      <c r="I366" s="1">
        <f t="shared" si="188"/>
        <v>0</v>
      </c>
      <c r="J366" s="1">
        <f t="shared" si="188"/>
        <v>0</v>
      </c>
      <c r="K366" s="1">
        <f t="shared" si="188"/>
        <v>0</v>
      </c>
      <c r="L366" s="1">
        <f t="shared" si="188"/>
        <v>0</v>
      </c>
      <c r="M366" s="1">
        <f t="shared" si="188"/>
        <v>0</v>
      </c>
      <c r="N366" s="1">
        <f t="shared" si="188"/>
        <v>0</v>
      </c>
      <c r="O366" s="1">
        <f t="shared" si="188"/>
        <v>0</v>
      </c>
      <c r="P366" s="1">
        <f t="shared" si="188"/>
        <v>0</v>
      </c>
      <c r="Q366" s="1">
        <f t="shared" si="188"/>
        <v>0</v>
      </c>
      <c r="R366" s="1">
        <f t="shared" si="188"/>
        <v>0</v>
      </c>
      <c r="S366" s="1">
        <f t="shared" si="188"/>
        <v>0</v>
      </c>
      <c r="T366" s="53">
        <f t="shared" si="173"/>
        <v>0</v>
      </c>
      <c r="U366" s="54">
        <f t="shared" si="173"/>
        <v>0</v>
      </c>
      <c r="V366" s="2" t="s">
        <v>80</v>
      </c>
      <c r="W366" s="66"/>
      <c r="Y366" s="2" t="s">
        <v>29</v>
      </c>
      <c r="Z366" s="2">
        <v>2026</v>
      </c>
      <c r="AA366" s="1">
        <f t="shared" si="174"/>
        <v>0</v>
      </c>
      <c r="AB366" s="11">
        <f t="shared" si="174"/>
        <v>0</v>
      </c>
      <c r="AC366" s="1">
        <f t="shared" si="175"/>
        <v>0</v>
      </c>
      <c r="AD366" s="11">
        <f t="shared" si="175"/>
        <v>0</v>
      </c>
      <c r="AE366" s="8">
        <f t="shared" si="175"/>
        <v>0</v>
      </c>
      <c r="AF366" s="11">
        <f t="shared" si="175"/>
        <v>0</v>
      </c>
      <c r="AG366" s="8">
        <f t="shared" si="175"/>
        <v>0</v>
      </c>
      <c r="AH366" s="11">
        <f t="shared" si="175"/>
        <v>0</v>
      </c>
      <c r="AI366" s="8">
        <f t="shared" si="175"/>
        <v>0</v>
      </c>
      <c r="AJ366" s="11">
        <f t="shared" si="175"/>
        <v>0</v>
      </c>
      <c r="AK366" s="11">
        <f t="shared" si="175"/>
        <v>0</v>
      </c>
      <c r="AL366" s="11">
        <f t="shared" si="175"/>
        <v>0</v>
      </c>
      <c r="AM366" s="8">
        <f t="shared" si="179"/>
        <v>0</v>
      </c>
      <c r="AN366" s="11">
        <f t="shared" si="176"/>
        <v>0</v>
      </c>
      <c r="AO366" s="2" t="s">
        <v>70</v>
      </c>
      <c r="AP366" s="37">
        <f t="shared" si="177"/>
        <v>0</v>
      </c>
      <c r="AQ366" s="37">
        <f t="shared" si="177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2026</v>
      </c>
      <c r="D367" s="1">
        <f>+D135+D81+D60+D39+D18+D156+D177+D198+D219+D240+D261+D282+D303+D324+D345+D113</f>
        <v>0</v>
      </c>
      <c r="E367" s="1">
        <f t="shared" ref="E367:S367" si="189">+E135+E81+E60+E39+E18+E156+E177+E198+E219+E240+E261+E282+E303+E324+E345+E113</f>
        <v>0</v>
      </c>
      <c r="F367" s="1">
        <f t="shared" si="189"/>
        <v>0</v>
      </c>
      <c r="G367" s="1">
        <f t="shared" si="189"/>
        <v>0</v>
      </c>
      <c r="H367" s="1">
        <f t="shared" si="189"/>
        <v>0</v>
      </c>
      <c r="I367" s="1">
        <f t="shared" si="189"/>
        <v>0</v>
      </c>
      <c r="J367" s="1">
        <f t="shared" si="189"/>
        <v>0</v>
      </c>
      <c r="K367" s="1">
        <f t="shared" si="189"/>
        <v>0</v>
      </c>
      <c r="L367" s="1">
        <f t="shared" si="189"/>
        <v>0</v>
      </c>
      <c r="M367" s="1">
        <f t="shared" si="189"/>
        <v>0</v>
      </c>
      <c r="N367" s="1">
        <f t="shared" si="189"/>
        <v>0</v>
      </c>
      <c r="O367" s="1">
        <f t="shared" si="189"/>
        <v>0</v>
      </c>
      <c r="P367" s="1">
        <f t="shared" si="189"/>
        <v>0</v>
      </c>
      <c r="Q367" s="1">
        <f t="shared" si="189"/>
        <v>0</v>
      </c>
      <c r="R367" s="1">
        <f t="shared" si="189"/>
        <v>0</v>
      </c>
      <c r="S367" s="1">
        <f t="shared" si="189"/>
        <v>0</v>
      </c>
      <c r="T367" s="53">
        <f t="shared" si="173"/>
        <v>0</v>
      </c>
      <c r="U367" s="54">
        <f t="shared" si="173"/>
        <v>0</v>
      </c>
      <c r="V367" s="2" t="s">
        <v>80</v>
      </c>
      <c r="W367" s="66"/>
      <c r="Y367" s="2" t="s">
        <v>30</v>
      </c>
      <c r="Z367" s="2">
        <v>2026</v>
      </c>
      <c r="AA367" s="81">
        <f t="shared" si="174"/>
        <v>0</v>
      </c>
      <c r="AB367" s="80">
        <f t="shared" si="174"/>
        <v>0</v>
      </c>
      <c r="AC367" s="81">
        <f t="shared" si="175"/>
        <v>0</v>
      </c>
      <c r="AD367" s="80">
        <f t="shared" si="175"/>
        <v>0</v>
      </c>
      <c r="AE367" s="79">
        <f t="shared" si="175"/>
        <v>0</v>
      </c>
      <c r="AF367" s="80">
        <f t="shared" si="175"/>
        <v>0</v>
      </c>
      <c r="AG367" s="79">
        <f t="shared" si="175"/>
        <v>0</v>
      </c>
      <c r="AH367" s="80">
        <f t="shared" si="175"/>
        <v>0</v>
      </c>
      <c r="AI367" s="79">
        <f t="shared" si="175"/>
        <v>0</v>
      </c>
      <c r="AJ367" s="80">
        <f t="shared" si="175"/>
        <v>0</v>
      </c>
      <c r="AK367" s="80">
        <f t="shared" si="175"/>
        <v>0</v>
      </c>
      <c r="AL367" s="80">
        <f t="shared" si="175"/>
        <v>0</v>
      </c>
      <c r="AM367" s="79">
        <f t="shared" si="179"/>
        <v>0</v>
      </c>
      <c r="AN367" s="80">
        <f t="shared" si="176"/>
        <v>0</v>
      </c>
      <c r="AO367" s="2" t="s">
        <v>70</v>
      </c>
      <c r="AP367" s="37">
        <f t="shared" si="177"/>
        <v>0</v>
      </c>
      <c r="AQ367" s="37">
        <f t="shared" si="177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2026</v>
      </c>
      <c r="D368" s="1">
        <f>+D136+D82+D61+D40+D19+D157+D178+D199+D220+D241+D262+D283+D304+D325+D346+D115</f>
        <v>0</v>
      </c>
      <c r="E368" s="1">
        <f t="shared" ref="E368:S368" si="190">+E136+E82+E61+E40+E19+E157+E178+E199+E220+E241+E262+E283+E304+E325+E346+E115</f>
        <v>0</v>
      </c>
      <c r="F368" s="1">
        <f t="shared" si="190"/>
        <v>0</v>
      </c>
      <c r="G368" s="1">
        <f t="shared" si="190"/>
        <v>0</v>
      </c>
      <c r="H368" s="1">
        <f t="shared" si="190"/>
        <v>0</v>
      </c>
      <c r="I368" s="1">
        <f t="shared" si="190"/>
        <v>0</v>
      </c>
      <c r="J368" s="1">
        <f t="shared" si="190"/>
        <v>0</v>
      </c>
      <c r="K368" s="1">
        <f t="shared" si="190"/>
        <v>0</v>
      </c>
      <c r="L368" s="1">
        <f t="shared" si="190"/>
        <v>0</v>
      </c>
      <c r="M368" s="1">
        <f t="shared" si="190"/>
        <v>0</v>
      </c>
      <c r="N368" s="1">
        <f t="shared" si="190"/>
        <v>0</v>
      </c>
      <c r="O368" s="1">
        <f t="shared" si="190"/>
        <v>0</v>
      </c>
      <c r="P368" s="1">
        <f t="shared" si="190"/>
        <v>0</v>
      </c>
      <c r="Q368" s="1">
        <f t="shared" si="190"/>
        <v>0</v>
      </c>
      <c r="R368" s="1">
        <f t="shared" si="190"/>
        <v>0</v>
      </c>
      <c r="S368" s="1">
        <f t="shared" si="190"/>
        <v>0</v>
      </c>
      <c r="T368" s="53">
        <f t="shared" si="173"/>
        <v>0</v>
      </c>
      <c r="U368" s="54">
        <f t="shared" si="173"/>
        <v>0</v>
      </c>
      <c r="V368" s="2" t="s">
        <v>80</v>
      </c>
      <c r="W368" s="66"/>
      <c r="Y368" s="2" t="s">
        <v>31</v>
      </c>
      <c r="Z368" s="2">
        <v>2026</v>
      </c>
      <c r="AA368" s="1">
        <f t="shared" si="174"/>
        <v>0</v>
      </c>
      <c r="AB368" s="11">
        <f t="shared" si="174"/>
        <v>0</v>
      </c>
      <c r="AC368" s="1">
        <f t="shared" si="175"/>
        <v>0</v>
      </c>
      <c r="AD368" s="11">
        <f t="shared" si="175"/>
        <v>0</v>
      </c>
      <c r="AE368" s="8">
        <f t="shared" si="175"/>
        <v>0</v>
      </c>
      <c r="AF368" s="11">
        <f t="shared" si="175"/>
        <v>0</v>
      </c>
      <c r="AG368" s="8">
        <f t="shared" si="175"/>
        <v>0</v>
      </c>
      <c r="AH368" s="11">
        <f t="shared" si="175"/>
        <v>0</v>
      </c>
      <c r="AI368" s="8">
        <f t="shared" si="175"/>
        <v>0</v>
      </c>
      <c r="AJ368" s="11">
        <f t="shared" si="175"/>
        <v>0</v>
      </c>
      <c r="AK368" s="11">
        <f t="shared" si="175"/>
        <v>0</v>
      </c>
      <c r="AL368" s="11">
        <f t="shared" si="175"/>
        <v>0</v>
      </c>
      <c r="AM368" s="8">
        <f t="shared" si="179"/>
        <v>0</v>
      </c>
      <c r="AN368" s="11">
        <f t="shared" si="176"/>
        <v>0</v>
      </c>
      <c r="AO368" s="2" t="s">
        <v>70</v>
      </c>
      <c r="AP368" s="37">
        <f t="shared" si="177"/>
        <v>0</v>
      </c>
      <c r="AQ368" s="37">
        <f t="shared" si="177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53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53" x14ac:dyDescent="0.25">
      <c r="B370" s="3" t="s">
        <v>12</v>
      </c>
      <c r="C370" s="3"/>
      <c r="D370" s="4">
        <f t="shared" ref="D370:U370" si="191">SUM(D357:D369)</f>
        <v>11690232</v>
      </c>
      <c r="E370" s="12">
        <f t="shared" si="191"/>
        <v>858734823.55000019</v>
      </c>
      <c r="F370" s="4">
        <f t="shared" si="191"/>
        <v>6431430</v>
      </c>
      <c r="G370" s="12">
        <f t="shared" si="191"/>
        <v>458528849.29999995</v>
      </c>
      <c r="H370" s="4">
        <f t="shared" si="191"/>
        <v>2058856</v>
      </c>
      <c r="I370" s="12">
        <f t="shared" si="191"/>
        <v>294203464.99000001</v>
      </c>
      <c r="J370" s="4">
        <f t="shared" si="191"/>
        <v>68274677</v>
      </c>
      <c r="K370" s="12">
        <f t="shared" si="191"/>
        <v>7053268349.0699987</v>
      </c>
      <c r="L370" s="4">
        <f t="shared" si="191"/>
        <v>966397</v>
      </c>
      <c r="M370" s="12">
        <f t="shared" si="191"/>
        <v>184187586.37</v>
      </c>
      <c r="N370" s="4">
        <f t="shared" si="191"/>
        <v>2298203</v>
      </c>
      <c r="O370" s="12">
        <f t="shared" si="191"/>
        <v>405815087.37</v>
      </c>
      <c r="P370" s="4">
        <f t="shared" si="191"/>
        <v>14083</v>
      </c>
      <c r="Q370" s="12">
        <f t="shared" si="191"/>
        <v>3073211.4499999997</v>
      </c>
      <c r="R370" s="4">
        <f t="shared" si="191"/>
        <v>898751</v>
      </c>
      <c r="S370" s="12">
        <f t="shared" si="191"/>
        <v>93144959.400000006</v>
      </c>
      <c r="T370" s="4">
        <f t="shared" si="191"/>
        <v>92632629</v>
      </c>
      <c r="U370" s="12">
        <f t="shared" si="191"/>
        <v>9350956331.5</v>
      </c>
      <c r="Y370" s="3" t="s">
        <v>12</v>
      </c>
      <c r="Z370" s="3"/>
      <c r="AA370" s="4">
        <f t="shared" ref="AA370:AN370" si="192">SUM(AA357:AA369)</f>
        <v>20180518</v>
      </c>
      <c r="AB370" s="12">
        <f t="shared" si="192"/>
        <v>1611467137.8400002</v>
      </c>
      <c r="AC370" s="4">
        <f t="shared" si="192"/>
        <v>68274677</v>
      </c>
      <c r="AD370" s="12">
        <f t="shared" si="192"/>
        <v>7053268349.0699987</v>
      </c>
      <c r="AE370" s="4">
        <f t="shared" si="192"/>
        <v>966397</v>
      </c>
      <c r="AF370" s="12">
        <f t="shared" si="192"/>
        <v>184187586.37</v>
      </c>
      <c r="AG370" s="4">
        <f t="shared" si="192"/>
        <v>2298203</v>
      </c>
      <c r="AH370" s="12">
        <f t="shared" si="192"/>
        <v>405815087.37</v>
      </c>
      <c r="AI370" s="4">
        <f t="shared" si="192"/>
        <v>14083</v>
      </c>
      <c r="AJ370" s="12">
        <f t="shared" si="192"/>
        <v>3073211.4499999997</v>
      </c>
      <c r="AK370" s="4">
        <f t="shared" si="192"/>
        <v>898751</v>
      </c>
      <c r="AL370" s="12">
        <f t="shared" si="192"/>
        <v>93144959.400000006</v>
      </c>
      <c r="AM370" s="4">
        <f t="shared" si="192"/>
        <v>92632629</v>
      </c>
      <c r="AN370" s="12">
        <f t="shared" si="192"/>
        <v>9350956331.5</v>
      </c>
    </row>
    <row r="371" spans="1:53" x14ac:dyDescent="0.25">
      <c r="D371" s="39"/>
      <c r="E371" s="9">
        <f>E363+G363+I363</f>
        <v>0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151184</v>
      </c>
      <c r="M371" s="28">
        <f>AVERAGE(M357:M358)</f>
        <v>27791729.170000002</v>
      </c>
    </row>
    <row r="372" spans="1:53" x14ac:dyDescent="0.25">
      <c r="A372" s="67" t="s">
        <v>14</v>
      </c>
      <c r="F372" s="9">
        <f>+F370+D370+H370</f>
        <v>20180518</v>
      </c>
      <c r="G372" s="9">
        <f>+G370+E370+I370</f>
        <v>1611467137.8400002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53" x14ac:dyDescent="0.25">
      <c r="A373" s="67" t="s">
        <v>47</v>
      </c>
      <c r="J373" s="39">
        <f>+J370+L370+N370+P370+R370</f>
        <v>72452111</v>
      </c>
      <c r="K373" s="9">
        <f>+K370+M370+O370+Q370+S370</f>
        <v>7739489193.6599979</v>
      </c>
    </row>
    <row r="374" spans="1:53" x14ac:dyDescent="0.25">
      <c r="B374" s="5"/>
      <c r="F374" s="39"/>
      <c r="G374" s="39"/>
      <c r="J374" s="9"/>
    </row>
    <row r="375" spans="1:53" ht="15" customHeight="1" x14ac:dyDescent="0.25">
      <c r="D375" s="89" t="s">
        <v>53</v>
      </c>
      <c r="E375" s="90"/>
      <c r="F375" s="89" t="s">
        <v>54</v>
      </c>
      <c r="G375" s="90"/>
      <c r="H375" s="89" t="s">
        <v>18</v>
      </c>
      <c r="I375" s="90"/>
      <c r="J375" s="89" t="s">
        <v>133</v>
      </c>
      <c r="K375" s="90"/>
      <c r="L375" s="89" t="s">
        <v>136</v>
      </c>
      <c r="M375" s="90"/>
      <c r="N375" s="89" t="s">
        <v>91</v>
      </c>
      <c r="O375" s="90"/>
      <c r="P375" s="89" t="s">
        <v>52</v>
      </c>
      <c r="Q375" s="90"/>
      <c r="R375" s="89" t="s">
        <v>13</v>
      </c>
      <c r="S375" s="90"/>
      <c r="T375" s="89" t="s">
        <v>34</v>
      </c>
      <c r="U375" s="90"/>
      <c r="V375" s="89" t="s">
        <v>87</v>
      </c>
      <c r="W375" s="90"/>
      <c r="X375" s="89" t="s">
        <v>43</v>
      </c>
      <c r="Y375" s="93"/>
      <c r="AB375" s="25"/>
    </row>
    <row r="376" spans="1:53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V376" s="7" t="s">
        <v>2</v>
      </c>
      <c r="W376" s="10" t="s">
        <v>3</v>
      </c>
      <c r="X376" s="7" t="s">
        <v>2</v>
      </c>
      <c r="Y376" s="10" t="s">
        <v>3</v>
      </c>
      <c r="AB376" s="25"/>
    </row>
    <row r="377" spans="1:53" x14ac:dyDescent="0.25">
      <c r="F377"/>
      <c r="J377" s="9"/>
      <c r="L377" s="9"/>
      <c r="N377" s="9"/>
      <c r="P377"/>
      <c r="R377"/>
      <c r="W377" s="9"/>
      <c r="Y377" s="9"/>
      <c r="AB377" s="25"/>
    </row>
    <row r="378" spans="1:53" x14ac:dyDescent="0.25">
      <c r="B378" s="2" t="s">
        <v>5</v>
      </c>
      <c r="C378" s="2">
        <v>2026</v>
      </c>
      <c r="D378" s="1">
        <v>348232</v>
      </c>
      <c r="E378" s="48">
        <v>8323007.5699999994</v>
      </c>
      <c r="F378" s="1">
        <v>1744512</v>
      </c>
      <c r="G378" s="48">
        <v>383805008.68999994</v>
      </c>
      <c r="H378" s="1">
        <v>177943</v>
      </c>
      <c r="I378" s="48">
        <v>8426741</v>
      </c>
      <c r="J378" s="48">
        <v>42416</v>
      </c>
      <c r="K378" s="48">
        <v>7550048</v>
      </c>
      <c r="L378" s="48">
        <v>3788</v>
      </c>
      <c r="M378" s="48">
        <v>728177</v>
      </c>
      <c r="N378" s="1">
        <v>162872</v>
      </c>
      <c r="O378" s="48">
        <v>9818379</v>
      </c>
      <c r="P378" s="1">
        <v>1858386</v>
      </c>
      <c r="Q378" s="48">
        <v>317755330</v>
      </c>
      <c r="R378" s="47">
        <v>654253</v>
      </c>
      <c r="S378" s="48">
        <v>78462489</v>
      </c>
      <c r="T378" s="47">
        <v>52977</v>
      </c>
      <c r="U378" s="48">
        <v>10817213</v>
      </c>
      <c r="V378" s="47">
        <v>667127</v>
      </c>
      <c r="W378" s="48">
        <v>53845860</v>
      </c>
      <c r="X378" s="8">
        <f>+R378+H378+F378+D378+T378+P378+V378+N378+J378+L378</f>
        <v>5712506</v>
      </c>
      <c r="Y378" s="11">
        <f t="shared" ref="Y378:Y389" si="193">+S378+I378+G378+E378+U378+Q378+W378+O378+K378+M378</f>
        <v>879532253.25999999</v>
      </c>
      <c r="AV378" s="13"/>
      <c r="AW378" s="40"/>
      <c r="AX378" s="40"/>
      <c r="AY378" s="13"/>
      <c r="AZ378" s="41"/>
      <c r="BA378" s="42"/>
    </row>
    <row r="379" spans="1:53" x14ac:dyDescent="0.25">
      <c r="B379" s="2" t="s">
        <v>6</v>
      </c>
      <c r="C379" s="2">
        <v>2026</v>
      </c>
      <c r="D379" s="1">
        <v>344224</v>
      </c>
      <c r="E379" s="48">
        <v>8288521.7400000002</v>
      </c>
      <c r="F379" s="1">
        <v>1487636</v>
      </c>
      <c r="G379" s="48">
        <v>330428794.06</v>
      </c>
      <c r="H379" s="1">
        <v>158149</v>
      </c>
      <c r="I379" s="48">
        <v>7592127</v>
      </c>
      <c r="J379" s="48">
        <v>39832</v>
      </c>
      <c r="K379" s="48">
        <v>7090096</v>
      </c>
      <c r="L379" s="48">
        <v>3549</v>
      </c>
      <c r="M379" s="48">
        <v>697657</v>
      </c>
      <c r="N379" s="1">
        <v>158503</v>
      </c>
      <c r="O379" s="48">
        <v>9499161</v>
      </c>
      <c r="P379" s="1">
        <v>1561533</v>
      </c>
      <c r="Q379" s="48">
        <v>273369981</v>
      </c>
      <c r="R379" s="47">
        <v>583134</v>
      </c>
      <c r="S379" s="48">
        <v>69256863</v>
      </c>
      <c r="T379" s="47">
        <v>47062</v>
      </c>
      <c r="U379" s="48">
        <v>9788120</v>
      </c>
      <c r="V379" s="47">
        <v>600711</v>
      </c>
      <c r="W379" s="48">
        <v>48477180</v>
      </c>
      <c r="X379" s="8">
        <f t="shared" ref="X379:X389" si="194">+R379+H379+F379+D379+T379+P379+V379+N379+J379+L379</f>
        <v>4984333</v>
      </c>
      <c r="Y379" s="11">
        <f t="shared" si="193"/>
        <v>764488500.79999995</v>
      </c>
      <c r="AV379" s="13"/>
      <c r="AW379" s="40"/>
      <c r="AX379" s="40"/>
      <c r="AY379" s="13"/>
      <c r="AZ379" s="41"/>
      <c r="BA379" s="42"/>
    </row>
    <row r="380" spans="1:53" x14ac:dyDescent="0.25">
      <c r="B380" s="2" t="s">
        <v>7</v>
      </c>
      <c r="C380" s="2">
        <v>2026</v>
      </c>
      <c r="D380" s="1">
        <v>382985</v>
      </c>
      <c r="E380" s="48">
        <v>9256219.839999998</v>
      </c>
      <c r="F380" s="1">
        <v>1708694</v>
      </c>
      <c r="G380" s="48">
        <v>384575485.55999994</v>
      </c>
      <c r="H380" s="1">
        <v>177859</v>
      </c>
      <c r="I380" s="48">
        <v>8580812</v>
      </c>
      <c r="J380" s="48">
        <v>46536</v>
      </c>
      <c r="K380" s="48">
        <v>8283408</v>
      </c>
      <c r="L380" s="48">
        <v>4040</v>
      </c>
      <c r="M380" s="48">
        <v>795449</v>
      </c>
      <c r="N380" s="1">
        <v>181741</v>
      </c>
      <c r="O380" s="48">
        <v>10858465</v>
      </c>
      <c r="P380" s="1">
        <v>1800620</v>
      </c>
      <c r="Q380" s="48">
        <v>315838702</v>
      </c>
      <c r="R380" s="47">
        <v>669827</v>
      </c>
      <c r="S380" s="48">
        <v>81167421</v>
      </c>
      <c r="T380" s="47">
        <v>51328</v>
      </c>
      <c r="U380" s="48">
        <v>10812987</v>
      </c>
      <c r="V380" s="47">
        <v>674218</v>
      </c>
      <c r="W380" s="48">
        <v>53857611</v>
      </c>
      <c r="X380" s="8">
        <f t="shared" si="194"/>
        <v>5697848</v>
      </c>
      <c r="Y380" s="11">
        <f t="shared" si="193"/>
        <v>884026560.39999986</v>
      </c>
      <c r="AV380" s="13"/>
      <c r="AW380" s="40"/>
      <c r="AX380" s="40"/>
      <c r="AY380" s="13"/>
      <c r="AZ380" s="41"/>
      <c r="BA380" s="42"/>
    </row>
    <row r="381" spans="1:53" x14ac:dyDescent="0.25">
      <c r="B381" s="2" t="s">
        <v>8</v>
      </c>
      <c r="C381" s="2">
        <v>2026</v>
      </c>
      <c r="D381" s="83">
        <v>334717</v>
      </c>
      <c r="E381" s="14">
        <v>8104453.7300000004</v>
      </c>
      <c r="F381" s="83">
        <v>1582444</v>
      </c>
      <c r="G381" s="14">
        <v>377223247.51000005</v>
      </c>
      <c r="H381" s="83">
        <v>164990</v>
      </c>
      <c r="I381" s="14">
        <v>7914195</v>
      </c>
      <c r="J381" s="14">
        <v>48069</v>
      </c>
      <c r="K381" s="14">
        <v>8746722</v>
      </c>
      <c r="L381" s="14">
        <v>3604</v>
      </c>
      <c r="M381" s="14">
        <v>693528</v>
      </c>
      <c r="N381" s="83">
        <v>166745</v>
      </c>
      <c r="O381" s="14">
        <v>10061734</v>
      </c>
      <c r="P381" s="83">
        <v>1764373</v>
      </c>
      <c r="Q381" s="14">
        <v>319537698</v>
      </c>
      <c r="R381" s="27">
        <v>653565</v>
      </c>
      <c r="S381" s="14">
        <v>83665183</v>
      </c>
      <c r="T381" s="27">
        <v>47648</v>
      </c>
      <c r="U381" s="14">
        <v>10044084</v>
      </c>
      <c r="V381" s="27">
        <v>667230</v>
      </c>
      <c r="W381" s="14">
        <v>54617038</v>
      </c>
      <c r="X381" s="8">
        <f t="shared" si="194"/>
        <v>5433385</v>
      </c>
      <c r="Y381" s="11">
        <f t="shared" si="193"/>
        <v>880607883.24000001</v>
      </c>
      <c r="AV381" s="13"/>
      <c r="AW381" s="40"/>
      <c r="AX381" s="40"/>
      <c r="AY381" s="13"/>
      <c r="AZ381" s="41"/>
      <c r="BA381" s="42"/>
    </row>
    <row r="382" spans="1:53" x14ac:dyDescent="0.25">
      <c r="B382" s="2" t="s">
        <v>9</v>
      </c>
      <c r="C382" s="2">
        <v>2026</v>
      </c>
      <c r="D382" s="83">
        <v>349487</v>
      </c>
      <c r="E382" s="14">
        <v>8360584.2500000009</v>
      </c>
      <c r="F382" s="83">
        <v>1559670</v>
      </c>
      <c r="G382" s="14">
        <v>390000936.06999993</v>
      </c>
      <c r="H382" s="83">
        <v>172004</v>
      </c>
      <c r="I382" s="14">
        <v>8150096</v>
      </c>
      <c r="J382" s="14">
        <v>41988</v>
      </c>
      <c r="K382" s="14">
        <v>7809130</v>
      </c>
      <c r="L382" s="14">
        <v>3089</v>
      </c>
      <c r="M382" s="14">
        <v>650054</v>
      </c>
      <c r="N382" s="83">
        <v>168644</v>
      </c>
      <c r="O382" s="14">
        <v>9696186</v>
      </c>
      <c r="P382" s="83">
        <v>1814089</v>
      </c>
      <c r="Q382" s="14">
        <v>338873510</v>
      </c>
      <c r="R382" s="27">
        <v>666280</v>
      </c>
      <c r="S382" s="14">
        <v>87765694</v>
      </c>
      <c r="T382" s="27">
        <v>50745</v>
      </c>
      <c r="U382" s="14">
        <v>10732807</v>
      </c>
      <c r="V382" s="27">
        <v>676030</v>
      </c>
      <c r="W382" s="14">
        <v>55409926</v>
      </c>
      <c r="X382" s="8">
        <f t="shared" si="194"/>
        <v>5502026</v>
      </c>
      <c r="Y382" s="11">
        <f t="shared" si="193"/>
        <v>917448923.31999993</v>
      </c>
      <c r="AV382" s="13"/>
      <c r="AW382" s="40"/>
      <c r="AX382" s="40"/>
      <c r="AY382" s="13"/>
      <c r="AZ382" s="41"/>
      <c r="BA382" s="42"/>
    </row>
    <row r="383" spans="1:53" x14ac:dyDescent="0.25">
      <c r="B383" s="2" t="s">
        <v>10</v>
      </c>
      <c r="C383" s="2">
        <v>2026</v>
      </c>
      <c r="D383" s="1">
        <v>323329</v>
      </c>
      <c r="E383" s="48">
        <v>7673000.5500000007</v>
      </c>
      <c r="F383" s="1">
        <v>1507557</v>
      </c>
      <c r="G383" s="48">
        <v>372847187.61000013</v>
      </c>
      <c r="H383" s="1">
        <v>148849</v>
      </c>
      <c r="I383" s="48">
        <v>7099695</v>
      </c>
      <c r="J383" s="48">
        <v>36415</v>
      </c>
      <c r="K383" s="48">
        <v>6773190</v>
      </c>
      <c r="L383" s="48">
        <v>3025</v>
      </c>
      <c r="M383" s="48">
        <v>734381</v>
      </c>
      <c r="N383" s="1">
        <v>153204</v>
      </c>
      <c r="O383" s="48">
        <v>9106184</v>
      </c>
      <c r="P383" s="1">
        <v>1566328</v>
      </c>
      <c r="Q383" s="48">
        <v>296801407</v>
      </c>
      <c r="R383" s="47">
        <v>623214</v>
      </c>
      <c r="S383" s="48">
        <v>82851876</v>
      </c>
      <c r="T383" s="47">
        <v>49193</v>
      </c>
      <c r="U383" s="48">
        <v>10354566</v>
      </c>
      <c r="V383" s="47">
        <v>624288</v>
      </c>
      <c r="W383" s="48">
        <v>51805596</v>
      </c>
      <c r="X383" s="8">
        <f t="shared" si="194"/>
        <v>5035402</v>
      </c>
      <c r="Y383" s="11">
        <f t="shared" si="193"/>
        <v>846047083.16000009</v>
      </c>
      <c r="AV383" s="13"/>
      <c r="AW383" s="40"/>
      <c r="AX383" s="40"/>
      <c r="AY383" s="13"/>
      <c r="AZ383" s="41"/>
      <c r="BA383" s="42"/>
    </row>
    <row r="384" spans="1:53" x14ac:dyDescent="0.25">
      <c r="B384" s="2" t="s">
        <v>11</v>
      </c>
      <c r="C384" s="2">
        <v>2026</v>
      </c>
      <c r="D384" s="1"/>
      <c r="E384" s="48"/>
      <c r="F384" s="1"/>
      <c r="G384" s="48"/>
      <c r="H384" s="1"/>
      <c r="I384" s="48"/>
      <c r="J384" s="48"/>
      <c r="K384" s="48"/>
      <c r="L384" s="48"/>
      <c r="M384" s="48"/>
      <c r="N384" s="1"/>
      <c r="O384" s="48"/>
      <c r="P384" s="1"/>
      <c r="Q384" s="48"/>
      <c r="R384" s="47"/>
      <c r="S384" s="48"/>
      <c r="T384" s="47"/>
      <c r="U384" s="48"/>
      <c r="V384" s="47"/>
      <c r="W384" s="48"/>
      <c r="X384" s="8">
        <f t="shared" si="194"/>
        <v>0</v>
      </c>
      <c r="Y384" s="11">
        <f t="shared" si="193"/>
        <v>0</v>
      </c>
      <c r="AV384" s="13"/>
      <c r="AW384" s="40"/>
      <c r="AX384" s="40"/>
      <c r="AY384" s="13"/>
      <c r="AZ384" s="41"/>
      <c r="BA384" s="42"/>
    </row>
    <row r="385" spans="2:53" x14ac:dyDescent="0.25">
      <c r="B385" s="2" t="s">
        <v>4</v>
      </c>
      <c r="C385" s="2">
        <v>2026</v>
      </c>
      <c r="D385" s="1"/>
      <c r="E385" s="48"/>
      <c r="F385" s="1"/>
      <c r="G385" s="48"/>
      <c r="H385" s="1"/>
      <c r="I385" s="48"/>
      <c r="J385" s="48"/>
      <c r="K385" s="48"/>
      <c r="L385" s="48"/>
      <c r="M385" s="48"/>
      <c r="N385" s="1"/>
      <c r="O385" s="48"/>
      <c r="P385" s="1"/>
      <c r="Q385" s="48"/>
      <c r="R385" s="47"/>
      <c r="S385" s="48"/>
      <c r="T385" s="47"/>
      <c r="U385" s="48"/>
      <c r="V385" s="47"/>
      <c r="W385" s="48"/>
      <c r="X385" s="8">
        <f t="shared" si="194"/>
        <v>0</v>
      </c>
      <c r="Y385" s="11">
        <f t="shared" si="193"/>
        <v>0</v>
      </c>
      <c r="AV385" s="13"/>
      <c r="AW385" s="40"/>
      <c r="AX385" s="40"/>
      <c r="AY385" s="13"/>
      <c r="AZ385" s="41"/>
      <c r="BA385" s="42"/>
    </row>
    <row r="386" spans="2:53" x14ac:dyDescent="0.25">
      <c r="B386" s="2" t="s">
        <v>28</v>
      </c>
      <c r="C386" s="2">
        <v>2026</v>
      </c>
      <c r="D386" s="1"/>
      <c r="E386" s="48"/>
      <c r="F386" s="1"/>
      <c r="G386" s="48"/>
      <c r="H386" s="1"/>
      <c r="I386" s="48"/>
      <c r="J386" s="48"/>
      <c r="K386" s="48"/>
      <c r="L386" s="48"/>
      <c r="M386" s="48"/>
      <c r="N386" s="1"/>
      <c r="O386" s="48"/>
      <c r="P386" s="1"/>
      <c r="Q386" s="48"/>
      <c r="R386" s="47"/>
      <c r="S386" s="48"/>
      <c r="T386" s="47"/>
      <c r="U386" s="48"/>
      <c r="V386" s="47"/>
      <c r="W386" s="48"/>
      <c r="X386" s="8">
        <f t="shared" si="194"/>
        <v>0</v>
      </c>
      <c r="Y386" s="11">
        <f t="shared" si="193"/>
        <v>0</v>
      </c>
      <c r="AV386" s="13"/>
      <c r="AW386" s="40"/>
      <c r="AX386" s="40"/>
      <c r="AY386" s="13"/>
      <c r="AZ386" s="41"/>
      <c r="BA386" s="42"/>
    </row>
    <row r="387" spans="2:53" x14ac:dyDescent="0.25">
      <c r="B387" s="2" t="s">
        <v>29</v>
      </c>
      <c r="C387" s="2">
        <v>2026</v>
      </c>
      <c r="D387" s="1"/>
      <c r="E387" s="48"/>
      <c r="F387" s="1"/>
      <c r="G387" s="48"/>
      <c r="H387" s="1"/>
      <c r="I387" s="48"/>
      <c r="J387" s="48"/>
      <c r="K387" s="48"/>
      <c r="L387" s="48"/>
      <c r="M387" s="48"/>
      <c r="N387" s="1"/>
      <c r="O387" s="48"/>
      <c r="P387" s="1"/>
      <c r="Q387" s="48"/>
      <c r="R387" s="47"/>
      <c r="S387" s="48"/>
      <c r="T387" s="47"/>
      <c r="U387" s="48"/>
      <c r="V387" s="47"/>
      <c r="W387" s="48"/>
      <c r="X387" s="8">
        <f t="shared" si="194"/>
        <v>0</v>
      </c>
      <c r="Y387" s="11">
        <f t="shared" si="193"/>
        <v>0</v>
      </c>
      <c r="AV387" s="13"/>
      <c r="AW387" s="40"/>
      <c r="AX387" s="40"/>
      <c r="AY387" s="13"/>
      <c r="AZ387" s="40"/>
      <c r="BA387" s="40"/>
    </row>
    <row r="388" spans="2:53" x14ac:dyDescent="0.25">
      <c r="B388" s="2" t="s">
        <v>30</v>
      </c>
      <c r="C388" s="2">
        <v>2026</v>
      </c>
      <c r="D388" s="1"/>
      <c r="E388" s="48"/>
      <c r="F388" s="1"/>
      <c r="G388" s="48"/>
      <c r="H388" s="1"/>
      <c r="I388" s="48"/>
      <c r="J388" s="48"/>
      <c r="K388" s="48"/>
      <c r="L388" s="48"/>
      <c r="M388" s="48"/>
      <c r="N388" s="1"/>
      <c r="O388" s="48"/>
      <c r="P388" s="1"/>
      <c r="Q388" s="48"/>
      <c r="R388" s="47"/>
      <c r="S388" s="48"/>
      <c r="T388" s="47"/>
      <c r="U388" s="48"/>
      <c r="V388" s="47"/>
      <c r="W388" s="48"/>
      <c r="X388" s="8">
        <f t="shared" si="194"/>
        <v>0</v>
      </c>
      <c r="Y388" s="11">
        <f t="shared" si="193"/>
        <v>0</v>
      </c>
      <c r="AV388" s="13"/>
      <c r="AW388" s="40"/>
      <c r="AX388" s="40"/>
      <c r="AY388" s="13"/>
      <c r="AZ388" s="40"/>
      <c r="BA388" s="40"/>
    </row>
    <row r="389" spans="2:53" x14ac:dyDescent="0.25">
      <c r="B389" s="2" t="s">
        <v>31</v>
      </c>
      <c r="C389" s="2">
        <v>2026</v>
      </c>
      <c r="D389" s="1"/>
      <c r="E389" s="48"/>
      <c r="F389" s="1"/>
      <c r="G389" s="48"/>
      <c r="H389" s="1"/>
      <c r="I389" s="48"/>
      <c r="J389" s="48"/>
      <c r="K389" s="48"/>
      <c r="L389" s="48"/>
      <c r="M389" s="48"/>
      <c r="N389" s="1"/>
      <c r="O389" s="48"/>
      <c r="P389" s="1"/>
      <c r="Q389" s="48"/>
      <c r="R389" s="47"/>
      <c r="S389" s="48"/>
      <c r="T389" s="47"/>
      <c r="U389" s="48"/>
      <c r="V389" s="47"/>
      <c r="W389" s="48"/>
      <c r="X389" s="8">
        <f t="shared" si="194"/>
        <v>0</v>
      </c>
      <c r="Y389" s="11">
        <f t="shared" si="193"/>
        <v>0</v>
      </c>
      <c r="AV389" s="13"/>
      <c r="AW389" s="40"/>
      <c r="AX389" s="40"/>
      <c r="AY389" s="13"/>
      <c r="AZ389" s="40"/>
      <c r="BA389" s="40"/>
    </row>
    <row r="390" spans="2:53" x14ac:dyDescent="0.25">
      <c r="F390" s="39"/>
      <c r="G390" s="39"/>
      <c r="J390" s="9"/>
      <c r="L390" s="9"/>
      <c r="N390" s="9"/>
      <c r="P390"/>
      <c r="R390"/>
      <c r="W390" s="9"/>
      <c r="Y390" s="9"/>
      <c r="AA390" s="9"/>
    </row>
    <row r="391" spans="2:53" x14ac:dyDescent="0.25">
      <c r="B391" s="3" t="s">
        <v>12</v>
      </c>
      <c r="C391" s="3"/>
      <c r="D391" s="4">
        <f>SUM(D378:D390)</f>
        <v>2082974</v>
      </c>
      <c r="E391" s="12">
        <f t="shared" ref="E391:W391" si="195">SUM(E378:E390)</f>
        <v>50005787.679999992</v>
      </c>
      <c r="F391" s="4">
        <f t="shared" si="195"/>
        <v>9590513</v>
      </c>
      <c r="G391" s="12">
        <f t="shared" si="195"/>
        <v>2238880659.5</v>
      </c>
      <c r="H391" s="4">
        <f t="shared" si="195"/>
        <v>999794</v>
      </c>
      <c r="I391" s="12">
        <f t="shared" si="195"/>
        <v>47763666</v>
      </c>
      <c r="J391" s="4">
        <f t="shared" si="195"/>
        <v>255256</v>
      </c>
      <c r="K391" s="12">
        <f t="shared" si="195"/>
        <v>46252594</v>
      </c>
      <c r="L391" s="4">
        <f t="shared" si="195"/>
        <v>21095</v>
      </c>
      <c r="M391" s="12">
        <f t="shared" si="195"/>
        <v>4299246</v>
      </c>
      <c r="N391" s="4">
        <f t="shared" si="195"/>
        <v>991709</v>
      </c>
      <c r="O391" s="12">
        <f t="shared" si="195"/>
        <v>59040109</v>
      </c>
      <c r="P391" s="4">
        <f>SUM(P378:P390)</f>
        <v>10365329</v>
      </c>
      <c r="Q391" s="12">
        <f>SUM(Q378:Q390)</f>
        <v>1862176628</v>
      </c>
      <c r="R391" s="4">
        <f t="shared" si="195"/>
        <v>3850273</v>
      </c>
      <c r="S391" s="12">
        <f t="shared" si="195"/>
        <v>483169526</v>
      </c>
      <c r="T391" s="4">
        <f t="shared" si="195"/>
        <v>298953</v>
      </c>
      <c r="U391" s="12">
        <f t="shared" si="195"/>
        <v>62549777</v>
      </c>
      <c r="V391" s="4">
        <f t="shared" si="195"/>
        <v>3909604</v>
      </c>
      <c r="W391" s="12">
        <f t="shared" si="195"/>
        <v>318013211</v>
      </c>
      <c r="X391" s="4">
        <f>SUM(X378:X390)</f>
        <v>32365500</v>
      </c>
      <c r="Y391" s="12">
        <f>SUM(Y378:Y390)</f>
        <v>5172151204.1799994</v>
      </c>
    </row>
    <row r="392" spans="2:53" x14ac:dyDescent="0.25">
      <c r="F392" s="39">
        <f>+D382+F382</f>
        <v>1909157</v>
      </c>
      <c r="G392" s="9">
        <f>+E382+G382</f>
        <v>398361520.31999993</v>
      </c>
      <c r="H392" s="39"/>
      <c r="J392" s="9"/>
      <c r="L392" s="39"/>
      <c r="N392" s="39"/>
      <c r="P392" s="39"/>
      <c r="T392" s="9"/>
      <c r="V392" s="9"/>
    </row>
    <row r="393" spans="2:53" x14ac:dyDescent="0.25">
      <c r="F393"/>
      <c r="J393" s="9"/>
      <c r="T393" s="29"/>
      <c r="U393" s="29"/>
      <c r="V393" s="9"/>
    </row>
    <row r="394" spans="2:53" x14ac:dyDescent="0.25">
      <c r="B394" s="5" t="s">
        <v>14</v>
      </c>
      <c r="F394"/>
      <c r="N394" s="9"/>
      <c r="P394"/>
      <c r="T394" s="13"/>
      <c r="U394"/>
    </row>
    <row r="395" spans="2:53" x14ac:dyDescent="0.25">
      <c r="B395" s="5" t="s">
        <v>74</v>
      </c>
      <c r="F395"/>
      <c r="N395" s="9"/>
      <c r="P395"/>
      <c r="U395"/>
    </row>
    <row r="396" spans="2:53" x14ac:dyDescent="0.25">
      <c r="F396"/>
      <c r="N396" s="9"/>
      <c r="P396"/>
      <c r="Q396"/>
      <c r="R396"/>
      <c r="S396"/>
      <c r="U396"/>
    </row>
    <row r="397" spans="2:53" x14ac:dyDescent="0.25">
      <c r="D397" s="89" t="s">
        <v>15</v>
      </c>
      <c r="E397" s="90"/>
      <c r="F397" s="89" t="s">
        <v>72</v>
      </c>
      <c r="G397" s="90"/>
      <c r="H397" s="89" t="s">
        <v>16</v>
      </c>
      <c r="I397" s="90"/>
      <c r="J397" s="89" t="s">
        <v>73</v>
      </c>
      <c r="K397" s="90"/>
      <c r="L397" s="89" t="s">
        <v>70</v>
      </c>
      <c r="M397" s="90"/>
      <c r="N397" s="9"/>
      <c r="P397"/>
      <c r="Q397"/>
      <c r="R397"/>
      <c r="S397"/>
      <c r="U397"/>
    </row>
    <row r="398" spans="2:53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53" x14ac:dyDescent="0.25">
      <c r="N399" s="9"/>
      <c r="P399" s="13"/>
      <c r="Q399" s="13"/>
      <c r="R399" s="13"/>
      <c r="S399" s="13"/>
      <c r="U399"/>
    </row>
    <row r="400" spans="2:53" x14ac:dyDescent="0.25">
      <c r="B400" s="2" t="s">
        <v>5</v>
      </c>
      <c r="C400" s="2">
        <v>2026</v>
      </c>
      <c r="D400" s="1">
        <v>215199</v>
      </c>
      <c r="E400" s="48">
        <v>5363830.38</v>
      </c>
      <c r="F400" s="1">
        <v>123560</v>
      </c>
      <c r="G400" s="48">
        <v>2742813.0600000005</v>
      </c>
      <c r="H400" s="1">
        <v>9473</v>
      </c>
      <c r="I400" s="48">
        <v>216364.12999999995</v>
      </c>
      <c r="J400" s="1">
        <v>0</v>
      </c>
      <c r="K400" s="48">
        <v>0</v>
      </c>
      <c r="L400" s="1">
        <f>+D400+F400+H400+J400</f>
        <v>348232</v>
      </c>
      <c r="M400" s="48">
        <f>+E400+G400+I400+K400</f>
        <v>8323007.5700000003</v>
      </c>
      <c r="N400" s="39">
        <f>+L400-D378</f>
        <v>0</v>
      </c>
      <c r="O400" s="13">
        <f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2026</v>
      </c>
      <c r="D401" s="1">
        <v>206938</v>
      </c>
      <c r="E401" s="48">
        <v>5194957.4000000004</v>
      </c>
      <c r="F401" s="1">
        <v>126964</v>
      </c>
      <c r="G401" s="48">
        <v>2851555.41</v>
      </c>
      <c r="H401" s="1">
        <v>10322</v>
      </c>
      <c r="I401" s="48">
        <v>242008.93</v>
      </c>
      <c r="J401" s="1">
        <v>0</v>
      </c>
      <c r="K401" s="48">
        <v>0</v>
      </c>
      <c r="L401" s="1">
        <f t="shared" ref="L401:M411" si="196">+D401+F401+H401+J401</f>
        <v>344224</v>
      </c>
      <c r="M401" s="48">
        <f t="shared" si="196"/>
        <v>8288521.7400000002</v>
      </c>
      <c r="N401" s="39">
        <f>+L401-D379</f>
        <v>0</v>
      </c>
      <c r="O401" s="13">
        <f t="shared" ref="O401" si="197">+M401-E379</f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2026</v>
      </c>
      <c r="D402" s="1">
        <v>229180</v>
      </c>
      <c r="E402" s="48">
        <v>5760554.5399999991</v>
      </c>
      <c r="F402" s="1">
        <v>141938</v>
      </c>
      <c r="G402" s="48">
        <v>3212228.6500000013</v>
      </c>
      <c r="H402" s="1">
        <v>11867</v>
      </c>
      <c r="I402" s="48">
        <v>283436.65000000002</v>
      </c>
      <c r="J402" s="1">
        <v>0</v>
      </c>
      <c r="K402" s="48">
        <v>0</v>
      </c>
      <c r="L402" s="1">
        <f t="shared" si="196"/>
        <v>382985</v>
      </c>
      <c r="M402" s="48">
        <f t="shared" si="196"/>
        <v>9256219.8400000017</v>
      </c>
      <c r="N402" s="39">
        <f t="shared" ref="N402:O410" si="198">+L402-D380</f>
        <v>0</v>
      </c>
      <c r="O402" s="13">
        <f t="shared" si="198"/>
        <v>0</v>
      </c>
      <c r="P402"/>
      <c r="Q402"/>
      <c r="R402"/>
      <c r="S402" s="13"/>
    </row>
    <row r="403" spans="2:19" x14ac:dyDescent="0.25">
      <c r="B403" s="2" t="s">
        <v>8</v>
      </c>
      <c r="C403" s="2">
        <v>2026</v>
      </c>
      <c r="D403" s="1">
        <v>201140</v>
      </c>
      <c r="E403" s="48">
        <v>5070192.6400000006</v>
      </c>
      <c r="F403" s="1">
        <v>122825</v>
      </c>
      <c r="G403" s="48">
        <v>2780842.5300000003</v>
      </c>
      <c r="H403" s="1">
        <v>10752</v>
      </c>
      <c r="I403" s="48">
        <v>253418.56</v>
      </c>
      <c r="J403" s="1">
        <v>0</v>
      </c>
      <c r="K403" s="48">
        <v>0</v>
      </c>
      <c r="L403" s="1">
        <f t="shared" si="196"/>
        <v>334717</v>
      </c>
      <c r="M403" s="48">
        <f t="shared" si="196"/>
        <v>8104453.7300000004</v>
      </c>
      <c r="N403" s="39">
        <f t="shared" si="198"/>
        <v>0</v>
      </c>
      <c r="O403" s="13">
        <f t="shared" si="198"/>
        <v>0</v>
      </c>
      <c r="P403"/>
      <c r="Q403"/>
      <c r="R403"/>
      <c r="S403"/>
    </row>
    <row r="404" spans="2:19" x14ac:dyDescent="0.25">
      <c r="B404" s="2" t="s">
        <v>9</v>
      </c>
      <c r="C404" s="2">
        <v>2026</v>
      </c>
      <c r="D404" s="1">
        <v>203991</v>
      </c>
      <c r="E404" s="48">
        <v>5029768.3699999992</v>
      </c>
      <c r="F404" s="1">
        <v>133328</v>
      </c>
      <c r="G404" s="48">
        <v>3041355.7200000007</v>
      </c>
      <c r="H404" s="1">
        <v>12168</v>
      </c>
      <c r="I404" s="48">
        <v>289460.16000000003</v>
      </c>
      <c r="J404" s="1">
        <v>0</v>
      </c>
      <c r="K404" s="48">
        <v>0</v>
      </c>
      <c r="L404" s="1">
        <f t="shared" si="196"/>
        <v>349487</v>
      </c>
      <c r="M404" s="48">
        <f t="shared" si="196"/>
        <v>8360584.25</v>
      </c>
      <c r="N404" s="39">
        <f t="shared" si="198"/>
        <v>0</v>
      </c>
      <c r="O404" s="13">
        <f t="shared" si="198"/>
        <v>0</v>
      </c>
      <c r="P404"/>
      <c r="Q404"/>
      <c r="R404"/>
      <c r="S404"/>
    </row>
    <row r="405" spans="2:19" x14ac:dyDescent="0.25">
      <c r="B405" s="2" t="s">
        <v>10</v>
      </c>
      <c r="C405" s="2">
        <v>2026</v>
      </c>
      <c r="D405" s="1">
        <v>185214</v>
      </c>
      <c r="E405" s="48">
        <v>4516518.6099999994</v>
      </c>
      <c r="F405" s="1">
        <v>125443</v>
      </c>
      <c r="G405" s="48">
        <v>2858108.1200000006</v>
      </c>
      <c r="H405" s="1">
        <v>12672</v>
      </c>
      <c r="I405" s="48">
        <v>298373.82</v>
      </c>
      <c r="J405" s="1">
        <v>0</v>
      </c>
      <c r="K405" s="48">
        <v>0</v>
      </c>
      <c r="L405" s="1">
        <f t="shared" si="196"/>
        <v>323329</v>
      </c>
      <c r="M405" s="48">
        <f t="shared" si="196"/>
        <v>7673000.5500000007</v>
      </c>
      <c r="N405" s="39">
        <f t="shared" si="198"/>
        <v>0</v>
      </c>
      <c r="O405" s="13">
        <f t="shared" si="198"/>
        <v>0</v>
      </c>
      <c r="P405"/>
      <c r="Q405"/>
      <c r="R405"/>
      <c r="S405"/>
    </row>
    <row r="406" spans="2:19" x14ac:dyDescent="0.25">
      <c r="B406" s="2" t="s">
        <v>11</v>
      </c>
      <c r="C406" s="2">
        <v>2026</v>
      </c>
      <c r="D406" s="1"/>
      <c r="E406" s="48"/>
      <c r="F406" s="1"/>
      <c r="G406" s="48"/>
      <c r="H406" s="1"/>
      <c r="I406" s="48"/>
      <c r="J406" s="1"/>
      <c r="K406" s="48"/>
      <c r="L406" s="1">
        <f t="shared" si="196"/>
        <v>0</v>
      </c>
      <c r="M406" s="48">
        <f t="shared" si="196"/>
        <v>0</v>
      </c>
      <c r="N406" s="39">
        <f t="shared" si="198"/>
        <v>0</v>
      </c>
      <c r="O406" s="13">
        <f t="shared" si="198"/>
        <v>0</v>
      </c>
      <c r="P406"/>
      <c r="Q406"/>
      <c r="R406"/>
      <c r="S406"/>
    </row>
    <row r="407" spans="2:19" x14ac:dyDescent="0.25">
      <c r="B407" s="2" t="s">
        <v>4</v>
      </c>
      <c r="C407" s="2">
        <v>2026</v>
      </c>
      <c r="D407" s="1"/>
      <c r="E407" s="48"/>
      <c r="F407" s="1"/>
      <c r="G407" s="48"/>
      <c r="H407" s="1"/>
      <c r="I407" s="48"/>
      <c r="J407" s="1"/>
      <c r="K407" s="48"/>
      <c r="L407" s="1">
        <f t="shared" si="196"/>
        <v>0</v>
      </c>
      <c r="M407" s="48">
        <f t="shared" si="196"/>
        <v>0</v>
      </c>
      <c r="N407" s="39">
        <f t="shared" si="198"/>
        <v>0</v>
      </c>
      <c r="O407" s="13">
        <f t="shared" si="198"/>
        <v>0</v>
      </c>
      <c r="P407"/>
      <c r="Q407"/>
      <c r="R407"/>
      <c r="S407"/>
    </row>
    <row r="408" spans="2:19" x14ac:dyDescent="0.25">
      <c r="B408" s="2" t="s">
        <v>28</v>
      </c>
      <c r="C408" s="2">
        <v>2026</v>
      </c>
      <c r="D408" s="1"/>
      <c r="E408" s="48"/>
      <c r="F408" s="1"/>
      <c r="G408" s="48"/>
      <c r="H408" s="1"/>
      <c r="I408" s="48"/>
      <c r="J408" s="1"/>
      <c r="K408" s="48"/>
      <c r="L408" s="1">
        <f t="shared" si="196"/>
        <v>0</v>
      </c>
      <c r="M408" s="48">
        <f t="shared" si="196"/>
        <v>0</v>
      </c>
      <c r="N408" s="39">
        <f t="shared" si="198"/>
        <v>0</v>
      </c>
      <c r="O408" s="13">
        <f t="shared" si="198"/>
        <v>0</v>
      </c>
      <c r="P408"/>
      <c r="Q408"/>
      <c r="R408"/>
      <c r="S408"/>
    </row>
    <row r="409" spans="2:19" x14ac:dyDescent="0.25">
      <c r="B409" s="2" t="s">
        <v>29</v>
      </c>
      <c r="C409" s="2">
        <v>2026</v>
      </c>
      <c r="D409" s="1"/>
      <c r="E409" s="48"/>
      <c r="F409" s="1"/>
      <c r="G409" s="48"/>
      <c r="H409" s="1"/>
      <c r="I409" s="48"/>
      <c r="J409" s="1"/>
      <c r="K409" s="48"/>
      <c r="L409" s="1">
        <f t="shared" si="196"/>
        <v>0</v>
      </c>
      <c r="M409" s="48">
        <f t="shared" si="196"/>
        <v>0</v>
      </c>
      <c r="N409" s="39">
        <f t="shared" si="198"/>
        <v>0</v>
      </c>
      <c r="O409" s="13">
        <f t="shared" si="198"/>
        <v>0</v>
      </c>
      <c r="P409"/>
      <c r="Q409"/>
      <c r="R409"/>
      <c r="S409"/>
    </row>
    <row r="410" spans="2:19" x14ac:dyDescent="0.25">
      <c r="B410" s="2" t="s">
        <v>30</v>
      </c>
      <c r="C410" s="2">
        <v>2026</v>
      </c>
      <c r="D410" s="1"/>
      <c r="E410" s="48"/>
      <c r="F410" s="1"/>
      <c r="G410" s="48"/>
      <c r="H410" s="1"/>
      <c r="I410" s="48"/>
      <c r="J410" s="1"/>
      <c r="K410" s="48"/>
      <c r="L410" s="1">
        <f t="shared" si="196"/>
        <v>0</v>
      </c>
      <c r="M410" s="48">
        <f t="shared" si="196"/>
        <v>0</v>
      </c>
      <c r="N410" s="39">
        <f t="shared" si="198"/>
        <v>0</v>
      </c>
      <c r="O410" s="13">
        <f t="shared" si="198"/>
        <v>0</v>
      </c>
      <c r="P410"/>
      <c r="Q410"/>
      <c r="R410"/>
      <c r="S410"/>
    </row>
    <row r="411" spans="2:19" x14ac:dyDescent="0.25">
      <c r="B411" s="2" t="s">
        <v>31</v>
      </c>
      <c r="C411" s="2">
        <v>2026</v>
      </c>
      <c r="D411" s="1"/>
      <c r="E411" s="48"/>
      <c r="F411" s="1"/>
      <c r="G411" s="48"/>
      <c r="H411" s="1"/>
      <c r="I411" s="48"/>
      <c r="J411" s="1"/>
      <c r="K411" s="48"/>
      <c r="L411" s="1">
        <f t="shared" si="196"/>
        <v>0</v>
      </c>
      <c r="M411" s="48">
        <f t="shared" si="196"/>
        <v>0</v>
      </c>
      <c r="N411" s="39">
        <f>+L411-D389</f>
        <v>0</v>
      </c>
      <c r="O411" s="13">
        <f>+M411-E389</f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88" t="s">
        <v>12</v>
      </c>
      <c r="C413" s="88"/>
      <c r="D413" s="4">
        <f>SUM(D400:D412)</f>
        <v>1241662</v>
      </c>
      <c r="E413" s="12">
        <f>SUM(E400:E412)</f>
        <v>30935821.939999998</v>
      </c>
      <c r="F413" s="4">
        <f t="shared" ref="F413:M413" si="199">SUM(F400:F412)</f>
        <v>774058</v>
      </c>
      <c r="G413" s="12">
        <f t="shared" si="199"/>
        <v>17486903.490000002</v>
      </c>
      <c r="H413" s="4">
        <f t="shared" si="199"/>
        <v>67254</v>
      </c>
      <c r="I413" s="12">
        <f t="shared" si="199"/>
        <v>1583062.2500000002</v>
      </c>
      <c r="J413" s="4">
        <f t="shared" si="199"/>
        <v>0</v>
      </c>
      <c r="K413" s="12">
        <f t="shared" si="199"/>
        <v>0</v>
      </c>
      <c r="L413" s="4">
        <f t="shared" si="199"/>
        <v>2082974</v>
      </c>
      <c r="M413" s="12">
        <f t="shared" si="199"/>
        <v>50005787.680000007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0"/>
      <c r="F418" s="89" t="s">
        <v>72</v>
      </c>
      <c r="G418" s="90"/>
      <c r="H418" s="89" t="s">
        <v>16</v>
      </c>
      <c r="I418" s="90"/>
      <c r="J418" s="89" t="s">
        <v>73</v>
      </c>
      <c r="K418" s="90"/>
      <c r="L418" s="89" t="s">
        <v>70</v>
      </c>
      <c r="M418" s="90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2026</v>
      </c>
      <c r="D421" s="1">
        <v>821871</v>
      </c>
      <c r="E421" s="48">
        <v>160056198.74000001</v>
      </c>
      <c r="F421" s="1">
        <v>369093</v>
      </c>
      <c r="G421" s="48">
        <v>77673634.959999993</v>
      </c>
      <c r="H421" s="1">
        <v>553548</v>
      </c>
      <c r="I421" s="48">
        <v>146075174.99000001</v>
      </c>
      <c r="J421" s="1"/>
      <c r="K421" s="48"/>
      <c r="L421" s="1">
        <f>+D421+F421+H421+J421</f>
        <v>1744512</v>
      </c>
      <c r="M421" s="11">
        <f>+E421+G421+I421+K421</f>
        <v>383805008.69</v>
      </c>
      <c r="N421" s="39">
        <f>+L421-F378</f>
        <v>0</v>
      </c>
      <c r="O421" s="13">
        <f>+M421-G378</f>
        <v>0</v>
      </c>
    </row>
    <row r="422" spans="2:15" x14ac:dyDescent="0.25">
      <c r="B422" s="2" t="s">
        <v>6</v>
      </c>
      <c r="C422" s="2">
        <v>2026</v>
      </c>
      <c r="D422" s="1">
        <v>682649</v>
      </c>
      <c r="E422" s="48">
        <v>136639331.34</v>
      </c>
      <c r="F422" s="1">
        <v>333345</v>
      </c>
      <c r="G422" s="48">
        <v>70091213.180000007</v>
      </c>
      <c r="H422" s="1">
        <v>471642</v>
      </c>
      <c r="I422" s="48">
        <v>123698249.54000001</v>
      </c>
      <c r="J422" s="1"/>
      <c r="K422" s="48"/>
      <c r="L422" s="1">
        <f t="shared" ref="L422:M432" si="200">+D422+F422+H422+J422</f>
        <v>1487636</v>
      </c>
      <c r="M422" s="11">
        <f t="shared" si="200"/>
        <v>330428794.06</v>
      </c>
      <c r="N422" s="39">
        <f t="shared" ref="N422:O431" si="201">+L422-F379</f>
        <v>0</v>
      </c>
      <c r="O422" s="13">
        <f t="shared" si="201"/>
        <v>0</v>
      </c>
    </row>
    <row r="423" spans="2:15" x14ac:dyDescent="0.25">
      <c r="B423" s="2" t="s">
        <v>7</v>
      </c>
      <c r="C423" s="2">
        <v>2026</v>
      </c>
      <c r="D423" s="1">
        <v>790183</v>
      </c>
      <c r="E423" s="48">
        <v>161300978.75</v>
      </c>
      <c r="F423" s="1">
        <v>373261</v>
      </c>
      <c r="G423" s="48">
        <v>79999601.939999998</v>
      </c>
      <c r="H423" s="1">
        <v>545250</v>
      </c>
      <c r="I423" s="48">
        <v>143274904.87</v>
      </c>
      <c r="J423" s="1"/>
      <c r="K423" s="48"/>
      <c r="L423" s="1">
        <f t="shared" si="200"/>
        <v>1708694</v>
      </c>
      <c r="M423" s="11">
        <f t="shared" si="200"/>
        <v>384575485.56</v>
      </c>
      <c r="N423" s="39">
        <f t="shared" si="201"/>
        <v>0</v>
      </c>
      <c r="O423" s="13">
        <f t="shared" si="201"/>
        <v>0</v>
      </c>
    </row>
    <row r="424" spans="2:15" x14ac:dyDescent="0.25">
      <c r="B424" s="2" t="s">
        <v>8</v>
      </c>
      <c r="C424" s="2">
        <v>2026</v>
      </c>
      <c r="D424" s="1">
        <v>737189</v>
      </c>
      <c r="E424" s="48">
        <v>157290947.81</v>
      </c>
      <c r="F424" s="1">
        <v>313732</v>
      </c>
      <c r="G424" s="48">
        <v>75368279.480000004</v>
      </c>
      <c r="H424" s="1">
        <v>531523</v>
      </c>
      <c r="I424" s="48">
        <v>144564020.21999997</v>
      </c>
      <c r="J424" s="1"/>
      <c r="K424" s="48"/>
      <c r="L424" s="1">
        <f t="shared" si="200"/>
        <v>1582444</v>
      </c>
      <c r="M424" s="11">
        <f t="shared" si="200"/>
        <v>377223247.50999999</v>
      </c>
      <c r="N424" s="39">
        <f t="shared" si="201"/>
        <v>0</v>
      </c>
      <c r="O424" s="13">
        <f t="shared" si="201"/>
        <v>0</v>
      </c>
    </row>
    <row r="425" spans="2:15" x14ac:dyDescent="0.25">
      <c r="B425" s="2" t="s">
        <v>9</v>
      </c>
      <c r="C425" s="2">
        <v>2026</v>
      </c>
      <c r="D425" s="1">
        <v>701433</v>
      </c>
      <c r="E425" s="48">
        <v>156962204.91000003</v>
      </c>
      <c r="F425" s="1">
        <v>297047</v>
      </c>
      <c r="G425" s="48">
        <v>76653398.050000012</v>
      </c>
      <c r="H425" s="1">
        <v>561190</v>
      </c>
      <c r="I425" s="48">
        <v>156385333.11000001</v>
      </c>
      <c r="J425" s="1"/>
      <c r="K425" s="48"/>
      <c r="L425" s="1">
        <f t="shared" si="200"/>
        <v>1559670</v>
      </c>
      <c r="M425" s="11">
        <f t="shared" si="200"/>
        <v>390000936.07000005</v>
      </c>
      <c r="N425" s="39">
        <f t="shared" si="201"/>
        <v>0</v>
      </c>
      <c r="O425" s="13">
        <f t="shared" si="201"/>
        <v>0</v>
      </c>
    </row>
    <row r="426" spans="2:15" x14ac:dyDescent="0.25">
      <c r="B426" s="2" t="s">
        <v>10</v>
      </c>
      <c r="C426" s="2">
        <v>2026</v>
      </c>
      <c r="D426" s="1">
        <v>673880</v>
      </c>
      <c r="E426" s="48">
        <v>149287732.17999998</v>
      </c>
      <c r="F426" s="1">
        <v>296287</v>
      </c>
      <c r="G426" s="48">
        <v>74208101.25</v>
      </c>
      <c r="H426" s="1">
        <v>537390</v>
      </c>
      <c r="I426" s="48">
        <v>149351354.17999998</v>
      </c>
      <c r="J426" s="1"/>
      <c r="K426" s="48"/>
      <c r="L426" s="1">
        <f t="shared" si="200"/>
        <v>1507557</v>
      </c>
      <c r="M426" s="11">
        <f t="shared" si="200"/>
        <v>372847187.60999995</v>
      </c>
      <c r="N426" s="39">
        <f t="shared" si="201"/>
        <v>0</v>
      </c>
      <c r="O426" s="13">
        <f t="shared" si="201"/>
        <v>0</v>
      </c>
    </row>
    <row r="427" spans="2:15" x14ac:dyDescent="0.25">
      <c r="B427" s="2" t="s">
        <v>11</v>
      </c>
      <c r="C427" s="2">
        <v>2026</v>
      </c>
      <c r="D427" s="1"/>
      <c r="E427" s="48"/>
      <c r="F427" s="1"/>
      <c r="G427" s="48"/>
      <c r="H427" s="1"/>
      <c r="I427" s="48"/>
      <c r="J427" s="1"/>
      <c r="K427" s="48"/>
      <c r="L427" s="1">
        <f t="shared" si="200"/>
        <v>0</v>
      </c>
      <c r="M427" s="11">
        <f t="shared" si="200"/>
        <v>0</v>
      </c>
      <c r="N427" s="39">
        <f t="shared" si="201"/>
        <v>0</v>
      </c>
      <c r="O427" s="13">
        <f t="shared" si="201"/>
        <v>0</v>
      </c>
    </row>
    <row r="428" spans="2:15" x14ac:dyDescent="0.25">
      <c r="B428" s="2" t="s">
        <v>4</v>
      </c>
      <c r="C428" s="2">
        <v>2026</v>
      </c>
      <c r="D428" s="1"/>
      <c r="E428" s="48"/>
      <c r="F428" s="1"/>
      <c r="G428" s="48"/>
      <c r="H428" s="1"/>
      <c r="I428" s="48"/>
      <c r="J428" s="1"/>
      <c r="K428" s="48"/>
      <c r="L428" s="1">
        <f t="shared" si="200"/>
        <v>0</v>
      </c>
      <c r="M428" s="11">
        <f t="shared" si="200"/>
        <v>0</v>
      </c>
      <c r="N428" s="39">
        <f t="shared" si="201"/>
        <v>0</v>
      </c>
      <c r="O428" s="13">
        <f t="shared" si="201"/>
        <v>0</v>
      </c>
    </row>
    <row r="429" spans="2:15" x14ac:dyDescent="0.25">
      <c r="B429" s="2" t="s">
        <v>28</v>
      </c>
      <c r="C429" s="2">
        <v>2026</v>
      </c>
      <c r="D429" s="1"/>
      <c r="E429" s="48"/>
      <c r="F429" s="1"/>
      <c r="G429" s="48"/>
      <c r="H429" s="1"/>
      <c r="I429" s="48"/>
      <c r="J429" s="1"/>
      <c r="K429" s="48"/>
      <c r="L429" s="1">
        <f t="shared" si="200"/>
        <v>0</v>
      </c>
      <c r="M429" s="11">
        <f t="shared" si="200"/>
        <v>0</v>
      </c>
      <c r="N429" s="39">
        <f t="shared" si="201"/>
        <v>0</v>
      </c>
      <c r="O429" s="13">
        <f t="shared" si="201"/>
        <v>0</v>
      </c>
    </row>
    <row r="430" spans="2:15" x14ac:dyDescent="0.25">
      <c r="B430" s="2" t="s">
        <v>29</v>
      </c>
      <c r="C430" s="2">
        <v>2026</v>
      </c>
      <c r="D430" s="1"/>
      <c r="E430" s="48"/>
      <c r="F430" s="1"/>
      <c r="G430" s="48"/>
      <c r="H430" s="1"/>
      <c r="I430" s="48"/>
      <c r="J430" s="1"/>
      <c r="K430" s="48"/>
      <c r="L430" s="1">
        <f t="shared" si="200"/>
        <v>0</v>
      </c>
      <c r="M430" s="11">
        <f t="shared" si="200"/>
        <v>0</v>
      </c>
      <c r="N430" s="39">
        <f t="shared" si="201"/>
        <v>0</v>
      </c>
      <c r="O430" s="13">
        <f t="shared" si="201"/>
        <v>0</v>
      </c>
    </row>
    <row r="431" spans="2:15" x14ac:dyDescent="0.25">
      <c r="B431" s="2" t="s">
        <v>30</v>
      </c>
      <c r="C431" s="2">
        <v>2026</v>
      </c>
      <c r="D431" s="1"/>
      <c r="E431" s="48"/>
      <c r="F431" s="1"/>
      <c r="G431" s="48"/>
      <c r="H431" s="1"/>
      <c r="I431" s="48"/>
      <c r="J431" s="1"/>
      <c r="K431" s="48"/>
      <c r="L431" s="1">
        <f t="shared" si="200"/>
        <v>0</v>
      </c>
      <c r="M431" s="11">
        <f t="shared" si="200"/>
        <v>0</v>
      </c>
      <c r="N431" s="39">
        <f t="shared" si="201"/>
        <v>0</v>
      </c>
      <c r="O431" s="13">
        <f t="shared" si="201"/>
        <v>0</v>
      </c>
    </row>
    <row r="432" spans="2:15" x14ac:dyDescent="0.25">
      <c r="B432" s="2" t="s">
        <v>31</v>
      </c>
      <c r="C432" s="2">
        <v>2026</v>
      </c>
      <c r="D432" s="1"/>
      <c r="E432" s="48"/>
      <c r="F432" s="1"/>
      <c r="G432" s="48"/>
      <c r="H432" s="1"/>
      <c r="I432" s="48"/>
      <c r="J432" s="1"/>
      <c r="K432" s="48"/>
      <c r="L432" s="1">
        <f t="shared" si="200"/>
        <v>0</v>
      </c>
      <c r="M432" s="11">
        <f t="shared" si="200"/>
        <v>0</v>
      </c>
      <c r="N432" s="39">
        <f>+L432-F389</f>
        <v>0</v>
      </c>
      <c r="O432" s="13">
        <f>+M432-G389</f>
        <v>0</v>
      </c>
    </row>
    <row r="434" spans="2:15" x14ac:dyDescent="0.25">
      <c r="B434" s="88" t="s">
        <v>12</v>
      </c>
      <c r="C434" s="88"/>
      <c r="D434" s="4">
        <f>SUM(D421:D433)</f>
        <v>4407205</v>
      </c>
      <c r="E434" s="12">
        <f>SUM(E421:E433)</f>
        <v>921537393.73000014</v>
      </c>
      <c r="F434" s="4">
        <f t="shared" ref="F434:M434" si="202">SUM(F421:F433)</f>
        <v>1982765</v>
      </c>
      <c r="G434" s="12">
        <f t="shared" si="202"/>
        <v>453994228.86000001</v>
      </c>
      <c r="H434" s="4">
        <f t="shared" si="202"/>
        <v>3200543</v>
      </c>
      <c r="I434" s="12">
        <f t="shared" si="202"/>
        <v>863349036.90999997</v>
      </c>
      <c r="J434" s="4">
        <f t="shared" si="202"/>
        <v>0</v>
      </c>
      <c r="K434" s="12">
        <f t="shared" si="202"/>
        <v>0</v>
      </c>
      <c r="L434" s="4">
        <f t="shared" si="202"/>
        <v>9590513</v>
      </c>
      <c r="M434" s="12">
        <f t="shared" si="202"/>
        <v>2238880659.5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0"/>
      <c r="F439" s="89" t="s">
        <v>72</v>
      </c>
      <c r="G439" s="90"/>
      <c r="H439" s="89" t="s">
        <v>16</v>
      </c>
      <c r="I439" s="90"/>
      <c r="J439" s="89" t="s">
        <v>73</v>
      </c>
      <c r="K439" s="90"/>
      <c r="L439" s="89" t="s">
        <v>70</v>
      </c>
      <c r="M439" s="90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2026</v>
      </c>
      <c r="D442" s="1">
        <v>97171</v>
      </c>
      <c r="E442" s="48">
        <v>4003962</v>
      </c>
      <c r="F442" s="1">
        <v>15450</v>
      </c>
      <c r="G442" s="48">
        <v>1082851</v>
      </c>
      <c r="H442" s="1">
        <v>65322</v>
      </c>
      <c r="I442" s="48">
        <v>3339928</v>
      </c>
      <c r="J442" s="1"/>
      <c r="K442" s="48"/>
      <c r="L442" s="1">
        <f>+D442+F442+H442+J442</f>
        <v>177943</v>
      </c>
      <c r="M442" s="11">
        <f>+E442+G442+I442+K442</f>
        <v>8426741</v>
      </c>
      <c r="N442" s="39">
        <f>+L442-H378</f>
        <v>0</v>
      </c>
      <c r="O442" s="13">
        <f>+M442-I378</f>
        <v>0</v>
      </c>
    </row>
    <row r="443" spans="2:15" x14ac:dyDescent="0.25">
      <c r="B443" s="2" t="s">
        <v>6</v>
      </c>
      <c r="C443" s="2">
        <v>2026</v>
      </c>
      <c r="D443" s="1">
        <v>87009</v>
      </c>
      <c r="E443" s="48">
        <v>3724531</v>
      </c>
      <c r="F443" s="1">
        <v>14369</v>
      </c>
      <c r="G443" s="48">
        <v>1005246</v>
      </c>
      <c r="H443" s="1">
        <v>56771</v>
      </c>
      <c r="I443" s="48">
        <v>2862350</v>
      </c>
      <c r="J443" s="1"/>
      <c r="K443" s="48"/>
      <c r="L443" s="1">
        <f t="shared" ref="L443:M453" si="203">+D443+F443+H443+J443</f>
        <v>158149</v>
      </c>
      <c r="M443" s="11">
        <f t="shared" si="203"/>
        <v>7592127</v>
      </c>
      <c r="N443" s="39">
        <f t="shared" ref="N443:O453" si="204">+L443-H379</f>
        <v>0</v>
      </c>
      <c r="O443" s="13">
        <f t="shared" si="204"/>
        <v>0</v>
      </c>
    </row>
    <row r="444" spans="2:15" x14ac:dyDescent="0.25">
      <c r="B444" s="2" t="s">
        <v>7</v>
      </c>
      <c r="C444" s="2">
        <v>2026</v>
      </c>
      <c r="D444" s="1">
        <v>96697</v>
      </c>
      <c r="E444" s="48">
        <v>4178086</v>
      </c>
      <c r="F444" s="1">
        <v>16490</v>
      </c>
      <c r="G444" s="48">
        <v>1152975</v>
      </c>
      <c r="H444" s="1">
        <v>64672</v>
      </c>
      <c r="I444" s="48">
        <v>3249751</v>
      </c>
      <c r="J444" s="1"/>
      <c r="K444" s="48"/>
      <c r="L444" s="1">
        <f t="shared" si="203"/>
        <v>177859</v>
      </c>
      <c r="M444" s="11">
        <f t="shared" si="203"/>
        <v>8580812</v>
      </c>
      <c r="N444" s="39">
        <f t="shared" si="204"/>
        <v>0</v>
      </c>
      <c r="O444" s="13">
        <f t="shared" si="204"/>
        <v>0</v>
      </c>
    </row>
    <row r="445" spans="2:15" x14ac:dyDescent="0.25">
      <c r="B445" s="2" t="s">
        <v>8</v>
      </c>
      <c r="C445" s="2">
        <v>2026</v>
      </c>
      <c r="D445" s="1">
        <v>87724</v>
      </c>
      <c r="E445" s="48">
        <v>3742497</v>
      </c>
      <c r="F445" s="1">
        <v>15033</v>
      </c>
      <c r="G445" s="48">
        <v>1045931</v>
      </c>
      <c r="H445" s="1">
        <v>62233</v>
      </c>
      <c r="I445" s="48">
        <v>3125767</v>
      </c>
      <c r="J445" s="1"/>
      <c r="K445" s="48"/>
      <c r="L445" s="1">
        <f t="shared" si="203"/>
        <v>164990</v>
      </c>
      <c r="M445" s="11">
        <f t="shared" si="203"/>
        <v>7914195</v>
      </c>
      <c r="N445" s="39">
        <f t="shared" si="204"/>
        <v>0</v>
      </c>
      <c r="O445" s="13">
        <f t="shared" si="204"/>
        <v>0</v>
      </c>
    </row>
    <row r="446" spans="2:15" x14ac:dyDescent="0.25">
      <c r="B446" s="2" t="s">
        <v>9</v>
      </c>
      <c r="C446" s="2">
        <v>2026</v>
      </c>
      <c r="D446" s="1">
        <v>89554</v>
      </c>
      <c r="E446" s="48">
        <v>3761187</v>
      </c>
      <c r="F446" s="1">
        <v>15167</v>
      </c>
      <c r="G446" s="48">
        <v>1046065</v>
      </c>
      <c r="H446" s="1">
        <v>67283</v>
      </c>
      <c r="I446" s="48">
        <v>3342844</v>
      </c>
      <c r="J446" s="1"/>
      <c r="K446" s="48"/>
      <c r="L446" s="1">
        <f t="shared" si="203"/>
        <v>172004</v>
      </c>
      <c r="M446" s="11">
        <f t="shared" si="203"/>
        <v>8150096</v>
      </c>
      <c r="N446" s="39">
        <f t="shared" si="204"/>
        <v>0</v>
      </c>
      <c r="O446" s="13">
        <f t="shared" si="204"/>
        <v>0</v>
      </c>
    </row>
    <row r="447" spans="2:15" x14ac:dyDescent="0.25">
      <c r="B447" s="2" t="s">
        <v>10</v>
      </c>
      <c r="C447" s="2">
        <v>2026</v>
      </c>
      <c r="D447" s="1">
        <v>75287</v>
      </c>
      <c r="E447" s="48">
        <v>3206489</v>
      </c>
      <c r="F447" s="1">
        <v>12536</v>
      </c>
      <c r="G447" s="48">
        <v>865965</v>
      </c>
      <c r="H447" s="1">
        <v>61026</v>
      </c>
      <c r="I447" s="48">
        <v>3027241</v>
      </c>
      <c r="J447" s="1"/>
      <c r="K447" s="48"/>
      <c r="L447" s="1">
        <f t="shared" si="203"/>
        <v>148849</v>
      </c>
      <c r="M447" s="11">
        <f t="shared" si="203"/>
        <v>7099695</v>
      </c>
      <c r="N447" s="39">
        <f t="shared" si="204"/>
        <v>0</v>
      </c>
      <c r="O447" s="13">
        <f t="shared" si="204"/>
        <v>0</v>
      </c>
    </row>
    <row r="448" spans="2:15" x14ac:dyDescent="0.25">
      <c r="B448" s="2" t="s">
        <v>11</v>
      </c>
      <c r="C448" s="2">
        <v>2026</v>
      </c>
      <c r="D448" s="1"/>
      <c r="E448" s="48"/>
      <c r="F448" s="1"/>
      <c r="G448" s="48"/>
      <c r="H448" s="1"/>
      <c r="I448" s="48"/>
      <c r="J448" s="1"/>
      <c r="K448" s="48"/>
      <c r="L448" s="1">
        <f t="shared" si="203"/>
        <v>0</v>
      </c>
      <c r="M448" s="11">
        <f t="shared" si="203"/>
        <v>0</v>
      </c>
      <c r="N448" s="39">
        <f t="shared" si="204"/>
        <v>0</v>
      </c>
      <c r="O448" s="13">
        <f t="shared" si="204"/>
        <v>0</v>
      </c>
    </row>
    <row r="449" spans="2:15" x14ac:dyDescent="0.25">
      <c r="B449" s="2" t="s">
        <v>4</v>
      </c>
      <c r="C449" s="2">
        <v>2026</v>
      </c>
      <c r="D449" s="1"/>
      <c r="E449" s="48"/>
      <c r="F449" s="1"/>
      <c r="G449" s="48"/>
      <c r="H449" s="1"/>
      <c r="I449" s="48"/>
      <c r="J449" s="1"/>
      <c r="K449" s="48"/>
      <c r="L449" s="1">
        <f t="shared" si="203"/>
        <v>0</v>
      </c>
      <c r="M449" s="11">
        <f t="shared" si="203"/>
        <v>0</v>
      </c>
      <c r="N449" s="39">
        <f t="shared" si="204"/>
        <v>0</v>
      </c>
      <c r="O449" s="13">
        <f t="shared" si="204"/>
        <v>0</v>
      </c>
    </row>
    <row r="450" spans="2:15" x14ac:dyDescent="0.25">
      <c r="B450" s="2" t="s">
        <v>28</v>
      </c>
      <c r="C450" s="2">
        <v>2026</v>
      </c>
      <c r="D450" s="1"/>
      <c r="E450" s="48"/>
      <c r="F450" s="1"/>
      <c r="G450" s="48"/>
      <c r="H450" s="1"/>
      <c r="I450" s="48"/>
      <c r="J450" s="1"/>
      <c r="K450" s="48"/>
      <c r="L450" s="1">
        <f t="shared" si="203"/>
        <v>0</v>
      </c>
      <c r="M450" s="11">
        <f t="shared" si="203"/>
        <v>0</v>
      </c>
      <c r="N450" s="39">
        <f t="shared" si="204"/>
        <v>0</v>
      </c>
      <c r="O450" s="13">
        <f t="shared" si="204"/>
        <v>0</v>
      </c>
    </row>
    <row r="451" spans="2:15" x14ac:dyDescent="0.25">
      <c r="B451" s="2" t="s">
        <v>29</v>
      </c>
      <c r="C451" s="2">
        <v>2026</v>
      </c>
      <c r="D451" s="1"/>
      <c r="E451" s="48"/>
      <c r="F451" s="1"/>
      <c r="G451" s="48"/>
      <c r="H451" s="1"/>
      <c r="I451" s="48"/>
      <c r="J451" s="1"/>
      <c r="K451" s="48"/>
      <c r="L451" s="1">
        <f t="shared" si="203"/>
        <v>0</v>
      </c>
      <c r="M451" s="11">
        <f t="shared" si="203"/>
        <v>0</v>
      </c>
      <c r="N451" s="39">
        <f t="shared" si="204"/>
        <v>0</v>
      </c>
      <c r="O451" s="13">
        <f t="shared" si="204"/>
        <v>0</v>
      </c>
    </row>
    <row r="452" spans="2:15" x14ac:dyDescent="0.25">
      <c r="B452" s="2" t="s">
        <v>30</v>
      </c>
      <c r="C452" s="2">
        <v>2026</v>
      </c>
      <c r="D452" s="1"/>
      <c r="E452" s="48"/>
      <c r="F452" s="1"/>
      <c r="G452" s="48"/>
      <c r="H452" s="1"/>
      <c r="I452" s="48"/>
      <c r="J452" s="1"/>
      <c r="K452" s="48"/>
      <c r="L452" s="1">
        <f t="shared" si="203"/>
        <v>0</v>
      </c>
      <c r="M452" s="11">
        <f t="shared" si="203"/>
        <v>0</v>
      </c>
      <c r="N452" s="39">
        <f t="shared" si="204"/>
        <v>0</v>
      </c>
      <c r="O452" s="13">
        <f t="shared" si="204"/>
        <v>0</v>
      </c>
    </row>
    <row r="453" spans="2:15" x14ac:dyDescent="0.25">
      <c r="B453" s="2" t="s">
        <v>31</v>
      </c>
      <c r="C453" s="2">
        <v>2026</v>
      </c>
      <c r="D453" s="1"/>
      <c r="E453" s="48"/>
      <c r="F453" s="1"/>
      <c r="G453" s="48"/>
      <c r="H453" s="1"/>
      <c r="I453" s="48"/>
      <c r="J453" s="1"/>
      <c r="K453" s="48"/>
      <c r="L453" s="1">
        <f t="shared" si="203"/>
        <v>0</v>
      </c>
      <c r="M453" s="11">
        <f t="shared" si="203"/>
        <v>0</v>
      </c>
      <c r="N453" s="39">
        <f t="shared" si="204"/>
        <v>0</v>
      </c>
      <c r="O453" s="13">
        <f t="shared" si="204"/>
        <v>0</v>
      </c>
    </row>
    <row r="455" spans="2:15" x14ac:dyDescent="0.25">
      <c r="B455" s="88" t="s">
        <v>12</v>
      </c>
      <c r="C455" s="88"/>
      <c r="D455" s="4">
        <f>SUM(D442:D454)</f>
        <v>533442</v>
      </c>
      <c r="E455" s="12">
        <f>SUM(E442:E454)</f>
        <v>22616752</v>
      </c>
      <c r="F455" s="4">
        <f t="shared" ref="F455:M455" si="205">SUM(F442:F454)</f>
        <v>89045</v>
      </c>
      <c r="G455" s="12">
        <f t="shared" si="205"/>
        <v>6199033</v>
      </c>
      <c r="H455" s="4">
        <f t="shared" si="205"/>
        <v>377307</v>
      </c>
      <c r="I455" s="12">
        <f t="shared" si="205"/>
        <v>18947881</v>
      </c>
      <c r="J455" s="4">
        <f t="shared" si="205"/>
        <v>0</v>
      </c>
      <c r="K455" s="12">
        <f t="shared" si="205"/>
        <v>0</v>
      </c>
      <c r="L455" s="4">
        <f t="shared" si="205"/>
        <v>999794</v>
      </c>
      <c r="M455" s="12">
        <f t="shared" si="205"/>
        <v>47763666</v>
      </c>
    </row>
    <row r="457" spans="2:15" x14ac:dyDescent="0.25">
      <c r="B457" s="5" t="s">
        <v>14</v>
      </c>
    </row>
    <row r="458" spans="2:15" x14ac:dyDescent="0.25">
      <c r="B458" s="5" t="s">
        <v>134</v>
      </c>
    </row>
    <row r="460" spans="2:15" x14ac:dyDescent="0.25">
      <c r="D460" s="89" t="s">
        <v>15</v>
      </c>
      <c r="E460" s="90"/>
      <c r="F460" s="89" t="s">
        <v>72</v>
      </c>
      <c r="G460" s="90"/>
      <c r="H460" s="89" t="s">
        <v>16</v>
      </c>
      <c r="I460" s="90"/>
      <c r="J460" s="89" t="s">
        <v>73</v>
      </c>
      <c r="K460" s="90"/>
      <c r="L460" s="89" t="s">
        <v>70</v>
      </c>
      <c r="M460" s="90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2026</v>
      </c>
      <c r="D463" s="1">
        <v>31473</v>
      </c>
      <c r="E463" s="11">
        <v>5602194</v>
      </c>
      <c r="F463" s="1">
        <v>9734</v>
      </c>
      <c r="G463" s="11">
        <v>1732652</v>
      </c>
      <c r="H463" s="1">
        <v>1209</v>
      </c>
      <c r="I463" s="11">
        <v>215202</v>
      </c>
      <c r="J463" s="1"/>
      <c r="K463" s="11"/>
      <c r="L463" s="1">
        <f>+D463+F463+H463+J463</f>
        <v>42416</v>
      </c>
      <c r="M463" s="11">
        <f>+E463+G463+I463+K463</f>
        <v>7550048</v>
      </c>
      <c r="N463" s="39">
        <f>+L463-J378</f>
        <v>0</v>
      </c>
      <c r="O463" s="13">
        <f>+M463-K378</f>
        <v>0</v>
      </c>
    </row>
    <row r="464" spans="2:15" x14ac:dyDescent="0.25">
      <c r="B464" s="2" t="s">
        <v>6</v>
      </c>
      <c r="C464" s="2">
        <v>2026</v>
      </c>
      <c r="D464" s="1">
        <v>30137</v>
      </c>
      <c r="E464" s="11">
        <v>5364386</v>
      </c>
      <c r="F464" s="1">
        <v>8488</v>
      </c>
      <c r="G464" s="11">
        <v>1510864</v>
      </c>
      <c r="H464" s="1">
        <v>1207</v>
      </c>
      <c r="I464" s="11">
        <v>214846</v>
      </c>
      <c r="J464" s="1"/>
      <c r="K464" s="11"/>
      <c r="L464" s="1">
        <f t="shared" ref="L464:M474" si="206">+D464+F464+H464+J464</f>
        <v>39832</v>
      </c>
      <c r="M464" s="11">
        <f t="shared" si="206"/>
        <v>7090096</v>
      </c>
      <c r="N464" s="39">
        <f t="shared" ref="N464:O474" si="207">+L464-J379</f>
        <v>0</v>
      </c>
      <c r="O464" s="13">
        <f t="shared" si="207"/>
        <v>0</v>
      </c>
    </row>
    <row r="465" spans="2:21" x14ac:dyDescent="0.25">
      <c r="B465" s="2" t="s">
        <v>7</v>
      </c>
      <c r="C465" s="2">
        <v>2026</v>
      </c>
      <c r="D465" s="1">
        <v>35622</v>
      </c>
      <c r="E465" s="11">
        <v>6340716</v>
      </c>
      <c r="F465" s="1">
        <v>9614</v>
      </c>
      <c r="G465" s="11">
        <v>1711292</v>
      </c>
      <c r="H465" s="1">
        <v>1300</v>
      </c>
      <c r="I465" s="11">
        <v>231400</v>
      </c>
      <c r="J465" s="1"/>
      <c r="K465" s="11"/>
      <c r="L465" s="1">
        <f t="shared" si="206"/>
        <v>46536</v>
      </c>
      <c r="M465" s="11">
        <f t="shared" si="206"/>
        <v>8283408</v>
      </c>
      <c r="N465" s="39">
        <f t="shared" si="207"/>
        <v>0</v>
      </c>
      <c r="O465" s="13">
        <f t="shared" si="207"/>
        <v>0</v>
      </c>
    </row>
    <row r="466" spans="2:21" x14ac:dyDescent="0.25">
      <c r="B466" s="2" t="s">
        <v>8</v>
      </c>
      <c r="C466" s="2">
        <v>2026</v>
      </c>
      <c r="D466" s="1">
        <v>37200</v>
      </c>
      <c r="E466" s="11">
        <v>6766360</v>
      </c>
      <c r="F466" s="1">
        <v>9528</v>
      </c>
      <c r="G466" s="11">
        <v>1735256</v>
      </c>
      <c r="H466" s="1">
        <v>1341</v>
      </c>
      <c r="I466" s="11">
        <v>245106</v>
      </c>
      <c r="J466" s="1"/>
      <c r="K466" s="11"/>
      <c r="L466" s="1">
        <f t="shared" si="206"/>
        <v>48069</v>
      </c>
      <c r="M466" s="11">
        <f t="shared" si="206"/>
        <v>8746722</v>
      </c>
      <c r="N466" s="39">
        <f t="shared" si="207"/>
        <v>0</v>
      </c>
      <c r="O466" s="13">
        <f t="shared" si="207"/>
        <v>0</v>
      </c>
    </row>
    <row r="467" spans="2:21" x14ac:dyDescent="0.25">
      <c r="B467" s="2" t="s">
        <v>9</v>
      </c>
      <c r="C467" s="2">
        <v>2026</v>
      </c>
      <c r="D467" s="1">
        <v>31863</v>
      </c>
      <c r="E467" s="11">
        <v>5925966</v>
      </c>
      <c r="F467" s="1">
        <v>8858</v>
      </c>
      <c r="G467" s="11">
        <v>1647324</v>
      </c>
      <c r="H467" s="1">
        <v>1267</v>
      </c>
      <c r="I467" s="11">
        <v>235840</v>
      </c>
      <c r="J467" s="1"/>
      <c r="K467" s="11"/>
      <c r="L467" s="1">
        <f t="shared" si="206"/>
        <v>41988</v>
      </c>
      <c r="M467" s="11">
        <f t="shared" si="206"/>
        <v>7809130</v>
      </c>
      <c r="N467" s="39">
        <f t="shared" si="207"/>
        <v>0</v>
      </c>
      <c r="O467" s="13">
        <f t="shared" si="207"/>
        <v>0</v>
      </c>
    </row>
    <row r="468" spans="2:21" x14ac:dyDescent="0.25">
      <c r="B468" s="2" t="s">
        <v>10</v>
      </c>
      <c r="C468" s="2">
        <v>2026</v>
      </c>
      <c r="D468" s="1">
        <v>27984</v>
      </c>
      <c r="E468" s="11">
        <v>5205024</v>
      </c>
      <c r="F468" s="1">
        <v>7120</v>
      </c>
      <c r="G468" s="11">
        <v>1324320</v>
      </c>
      <c r="H468" s="1">
        <v>1311</v>
      </c>
      <c r="I468" s="11">
        <v>243846</v>
      </c>
      <c r="J468" s="1"/>
      <c r="K468" s="11"/>
      <c r="L468" s="1">
        <f t="shared" si="206"/>
        <v>36415</v>
      </c>
      <c r="M468" s="11">
        <f t="shared" si="206"/>
        <v>6773190</v>
      </c>
      <c r="N468" s="39">
        <f t="shared" si="207"/>
        <v>0</v>
      </c>
      <c r="O468" s="13">
        <f t="shared" si="207"/>
        <v>0</v>
      </c>
    </row>
    <row r="469" spans="2:21" x14ac:dyDescent="0.25">
      <c r="B469" s="2" t="s">
        <v>11</v>
      </c>
      <c r="C469" s="2">
        <v>2026</v>
      </c>
      <c r="D469" s="1"/>
      <c r="E469" s="11"/>
      <c r="F469" s="1"/>
      <c r="G469" s="11"/>
      <c r="H469" s="1"/>
      <c r="I469" s="11"/>
      <c r="J469" s="1"/>
      <c r="K469" s="11"/>
      <c r="L469" s="1">
        <f t="shared" si="206"/>
        <v>0</v>
      </c>
      <c r="M469" s="11">
        <f t="shared" si="206"/>
        <v>0</v>
      </c>
      <c r="N469" s="39">
        <f t="shared" si="207"/>
        <v>0</v>
      </c>
      <c r="O469" s="13">
        <f t="shared" si="207"/>
        <v>0</v>
      </c>
    </row>
    <row r="470" spans="2:21" x14ac:dyDescent="0.25">
      <c r="B470" s="2" t="s">
        <v>4</v>
      </c>
      <c r="C470" s="2">
        <v>2026</v>
      </c>
      <c r="D470" s="1"/>
      <c r="E470" s="11"/>
      <c r="F470" s="1"/>
      <c r="G470" s="11"/>
      <c r="H470" s="1"/>
      <c r="I470" s="11"/>
      <c r="J470" s="1"/>
      <c r="K470" s="11"/>
      <c r="L470" s="1">
        <f t="shared" si="206"/>
        <v>0</v>
      </c>
      <c r="M470" s="11">
        <f t="shared" si="206"/>
        <v>0</v>
      </c>
      <c r="N470" s="39">
        <f t="shared" si="207"/>
        <v>0</v>
      </c>
      <c r="O470" s="13">
        <f t="shared" si="207"/>
        <v>0</v>
      </c>
    </row>
    <row r="471" spans="2:21" x14ac:dyDescent="0.25">
      <c r="B471" s="2" t="s">
        <v>28</v>
      </c>
      <c r="C471" s="2">
        <v>2026</v>
      </c>
      <c r="D471" s="1"/>
      <c r="E471" s="11"/>
      <c r="F471" s="1"/>
      <c r="G471" s="11"/>
      <c r="H471" s="1"/>
      <c r="I471" s="11"/>
      <c r="J471" s="1"/>
      <c r="K471" s="11"/>
      <c r="L471" s="1">
        <f t="shared" si="206"/>
        <v>0</v>
      </c>
      <c r="M471" s="11">
        <f t="shared" si="206"/>
        <v>0</v>
      </c>
      <c r="N471" s="39">
        <f t="shared" si="207"/>
        <v>0</v>
      </c>
      <c r="O471" s="13">
        <f t="shared" si="207"/>
        <v>0</v>
      </c>
    </row>
    <row r="472" spans="2:21" x14ac:dyDescent="0.25">
      <c r="B472" s="2" t="s">
        <v>29</v>
      </c>
      <c r="C472" s="2">
        <v>2026</v>
      </c>
      <c r="D472" s="1"/>
      <c r="E472" s="11"/>
      <c r="F472" s="1"/>
      <c r="G472" s="11"/>
      <c r="H472" s="1"/>
      <c r="I472" s="11"/>
      <c r="J472" s="1"/>
      <c r="K472" s="11"/>
      <c r="L472" s="1">
        <f t="shared" si="206"/>
        <v>0</v>
      </c>
      <c r="M472" s="11">
        <f t="shared" si="206"/>
        <v>0</v>
      </c>
      <c r="N472" s="39">
        <f t="shared" si="207"/>
        <v>0</v>
      </c>
      <c r="O472" s="13">
        <f t="shared" si="207"/>
        <v>0</v>
      </c>
    </row>
    <row r="473" spans="2:21" x14ac:dyDescent="0.25">
      <c r="B473" s="2" t="s">
        <v>30</v>
      </c>
      <c r="C473" s="2">
        <v>2026</v>
      </c>
      <c r="D473" s="1"/>
      <c r="E473" s="11"/>
      <c r="F473" s="1"/>
      <c r="G473" s="11"/>
      <c r="H473" s="1"/>
      <c r="I473" s="11"/>
      <c r="J473" s="1"/>
      <c r="K473" s="11"/>
      <c r="L473" s="1">
        <f t="shared" si="206"/>
        <v>0</v>
      </c>
      <c r="M473" s="11">
        <f t="shared" si="206"/>
        <v>0</v>
      </c>
      <c r="N473" s="39">
        <f t="shared" si="207"/>
        <v>0</v>
      </c>
      <c r="O473" s="13">
        <f t="shared" si="207"/>
        <v>0</v>
      </c>
    </row>
    <row r="474" spans="2:21" x14ac:dyDescent="0.25">
      <c r="B474" s="2" t="s">
        <v>31</v>
      </c>
      <c r="C474" s="2">
        <v>2026</v>
      </c>
      <c r="D474" s="1"/>
      <c r="E474" s="11"/>
      <c r="F474" s="1"/>
      <c r="G474" s="11"/>
      <c r="H474" s="1"/>
      <c r="I474" s="11"/>
      <c r="J474" s="1"/>
      <c r="K474" s="11"/>
      <c r="L474" s="1">
        <f t="shared" si="206"/>
        <v>0</v>
      </c>
      <c r="M474" s="11">
        <f t="shared" si="206"/>
        <v>0</v>
      </c>
      <c r="N474" s="39">
        <f t="shared" si="207"/>
        <v>0</v>
      </c>
      <c r="O474" s="13">
        <f t="shared" si="207"/>
        <v>0</v>
      </c>
    </row>
    <row r="476" spans="2:21" x14ac:dyDescent="0.25">
      <c r="B476" s="88" t="s">
        <v>12</v>
      </c>
      <c r="C476" s="88"/>
      <c r="D476" s="4">
        <f>SUM(D463:D475)</f>
        <v>194279</v>
      </c>
      <c r="E476" s="12">
        <f>SUM(E463:E475)</f>
        <v>35204646</v>
      </c>
      <c r="F476" s="4">
        <f t="shared" ref="F476:M476" si="208">SUM(F463:F475)</f>
        <v>53342</v>
      </c>
      <c r="G476" s="12">
        <f t="shared" si="208"/>
        <v>9661708</v>
      </c>
      <c r="H476" s="4">
        <f t="shared" si="208"/>
        <v>7635</v>
      </c>
      <c r="I476" s="12">
        <f t="shared" si="208"/>
        <v>1386240</v>
      </c>
      <c r="J476" s="4">
        <f t="shared" si="208"/>
        <v>0</v>
      </c>
      <c r="K476" s="12">
        <f t="shared" si="208"/>
        <v>0</v>
      </c>
      <c r="L476" s="4">
        <f t="shared" si="208"/>
        <v>255256</v>
      </c>
      <c r="M476" s="12">
        <f t="shared" si="208"/>
        <v>46252594</v>
      </c>
    </row>
    <row r="477" spans="2:21" x14ac:dyDescent="0.25">
      <c r="E477"/>
      <c r="F477"/>
      <c r="G477"/>
      <c r="I477"/>
      <c r="K477"/>
      <c r="M477"/>
      <c r="O477"/>
      <c r="P477"/>
      <c r="Q477"/>
      <c r="R477"/>
      <c r="S477"/>
      <c r="U477"/>
    </row>
    <row r="478" spans="2:21" x14ac:dyDescent="0.25">
      <c r="B478" s="5" t="s">
        <v>14</v>
      </c>
      <c r="P478"/>
      <c r="Q478"/>
      <c r="R478"/>
      <c r="S478"/>
      <c r="U478"/>
    </row>
    <row r="479" spans="2:21" x14ac:dyDescent="0.25">
      <c r="B479" s="5" t="s">
        <v>137</v>
      </c>
      <c r="P479"/>
      <c r="Q479"/>
      <c r="R479"/>
      <c r="S479"/>
      <c r="U479"/>
    </row>
    <row r="480" spans="2:21" x14ac:dyDescent="0.25">
      <c r="P480"/>
      <c r="Q480"/>
      <c r="R480"/>
      <c r="S480"/>
      <c r="U480"/>
    </row>
    <row r="481" spans="2:21" x14ac:dyDescent="0.25">
      <c r="D481" s="89" t="s">
        <v>15</v>
      </c>
      <c r="E481" s="90"/>
      <c r="F481" s="89" t="s">
        <v>72</v>
      </c>
      <c r="G481" s="90"/>
      <c r="H481" s="89" t="s">
        <v>16</v>
      </c>
      <c r="I481" s="90"/>
      <c r="J481" s="89" t="s">
        <v>73</v>
      </c>
      <c r="K481" s="90"/>
      <c r="L481" s="89" t="s">
        <v>70</v>
      </c>
      <c r="M481" s="90"/>
      <c r="N481" s="9"/>
      <c r="P481"/>
      <c r="Q481"/>
      <c r="R481"/>
      <c r="S481"/>
      <c r="U481"/>
    </row>
    <row r="482" spans="2:21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  <c r="P482"/>
      <c r="Q482"/>
      <c r="R482"/>
      <c r="S482"/>
      <c r="U482"/>
    </row>
    <row r="483" spans="2:21" x14ac:dyDescent="0.25">
      <c r="N483" s="9"/>
      <c r="P483"/>
      <c r="Q483"/>
      <c r="R483"/>
      <c r="S483"/>
      <c r="U483"/>
    </row>
    <row r="484" spans="2:21" x14ac:dyDescent="0.25">
      <c r="B484" s="2" t="s">
        <v>5</v>
      </c>
      <c r="C484" s="2">
        <v>2026</v>
      </c>
      <c r="D484" s="1">
        <v>1856</v>
      </c>
      <c r="E484" s="11">
        <v>383099</v>
      </c>
      <c r="F484" s="1">
        <v>1210</v>
      </c>
      <c r="G484" s="11">
        <v>213208</v>
      </c>
      <c r="H484" s="1">
        <v>722</v>
      </c>
      <c r="I484" s="11">
        <v>131870</v>
      </c>
      <c r="J484" s="1"/>
      <c r="K484" s="11"/>
      <c r="L484" s="1">
        <f>+D484+F484+H484+J484</f>
        <v>3788</v>
      </c>
      <c r="M484" s="11">
        <f>+E484+G484+I484+K484</f>
        <v>728177</v>
      </c>
      <c r="N484" s="39">
        <f>+L484-L378</f>
        <v>0</v>
      </c>
      <c r="O484" s="13">
        <f t="shared" ref="O484:O495" si="209">+M484-M378</f>
        <v>0</v>
      </c>
      <c r="P484"/>
      <c r="Q484"/>
      <c r="R484"/>
      <c r="S484"/>
      <c r="U484"/>
    </row>
    <row r="485" spans="2:21" x14ac:dyDescent="0.25">
      <c r="B485" s="2" t="s">
        <v>6</v>
      </c>
      <c r="C485" s="2">
        <v>2026</v>
      </c>
      <c r="D485" s="1">
        <v>1829</v>
      </c>
      <c r="E485" s="11">
        <v>410636</v>
      </c>
      <c r="F485" s="1">
        <v>1106</v>
      </c>
      <c r="G485" s="11">
        <v>182357</v>
      </c>
      <c r="H485" s="1">
        <v>614</v>
      </c>
      <c r="I485" s="11">
        <v>104664</v>
      </c>
      <c r="J485" s="1"/>
      <c r="K485" s="11"/>
      <c r="L485" s="1">
        <f t="shared" ref="L485:M495" si="210">+D485+F485+H485+J485</f>
        <v>3549</v>
      </c>
      <c r="M485" s="11">
        <f t="shared" si="210"/>
        <v>697657</v>
      </c>
      <c r="N485" s="39">
        <f t="shared" ref="N485:N495" si="211">+L485-L379</f>
        <v>0</v>
      </c>
      <c r="O485" s="13">
        <f t="shared" si="209"/>
        <v>0</v>
      </c>
      <c r="P485"/>
      <c r="Q485"/>
      <c r="R485"/>
      <c r="S485"/>
      <c r="U485"/>
    </row>
    <row r="486" spans="2:21" x14ac:dyDescent="0.25">
      <c r="B486" s="2" t="s">
        <v>7</v>
      </c>
      <c r="C486" s="2">
        <v>2026</v>
      </c>
      <c r="D486" s="1">
        <v>2111</v>
      </c>
      <c r="E486" s="11">
        <v>460434</v>
      </c>
      <c r="F486" s="1">
        <v>1201</v>
      </c>
      <c r="G486" s="11">
        <v>212188</v>
      </c>
      <c r="H486" s="1">
        <v>728</v>
      </c>
      <c r="I486" s="11">
        <v>122827</v>
      </c>
      <c r="J486" s="1"/>
      <c r="K486" s="11"/>
      <c r="L486" s="1">
        <f t="shared" si="210"/>
        <v>4040</v>
      </c>
      <c r="M486" s="11">
        <f t="shared" si="210"/>
        <v>795449</v>
      </c>
      <c r="N486" s="39">
        <f t="shared" si="211"/>
        <v>0</v>
      </c>
      <c r="O486" s="13">
        <f t="shared" si="209"/>
        <v>0</v>
      </c>
      <c r="P486"/>
      <c r="Q486"/>
      <c r="R486"/>
      <c r="S486"/>
      <c r="U486"/>
    </row>
    <row r="487" spans="2:21" x14ac:dyDescent="0.25">
      <c r="B487" s="2" t="s">
        <v>8</v>
      </c>
      <c r="C487" s="2">
        <v>2026</v>
      </c>
      <c r="D487" s="1">
        <v>1970</v>
      </c>
      <c r="E487" s="11">
        <v>413442</v>
      </c>
      <c r="F487" s="1">
        <v>976</v>
      </c>
      <c r="G487" s="11">
        <v>175055</v>
      </c>
      <c r="H487" s="1">
        <v>658</v>
      </c>
      <c r="I487" s="11">
        <v>105031</v>
      </c>
      <c r="J487" s="1"/>
      <c r="K487" s="11"/>
      <c r="L487" s="1">
        <f t="shared" si="210"/>
        <v>3604</v>
      </c>
      <c r="M487" s="11">
        <f t="shared" si="210"/>
        <v>693528</v>
      </c>
      <c r="N487" s="39">
        <f t="shared" si="211"/>
        <v>0</v>
      </c>
      <c r="O487" s="13">
        <f t="shared" si="209"/>
        <v>0</v>
      </c>
      <c r="P487"/>
      <c r="Q487"/>
      <c r="R487"/>
      <c r="S487"/>
      <c r="U487"/>
    </row>
    <row r="488" spans="2:21" x14ac:dyDescent="0.25">
      <c r="B488" s="2" t="s">
        <v>9</v>
      </c>
      <c r="C488" s="2">
        <v>2026</v>
      </c>
      <c r="D488" s="1">
        <v>1501</v>
      </c>
      <c r="E488" s="11">
        <v>362731</v>
      </c>
      <c r="F488" s="1">
        <v>954</v>
      </c>
      <c r="G488" s="11">
        <v>181782</v>
      </c>
      <c r="H488" s="1">
        <v>634</v>
      </c>
      <c r="I488" s="11">
        <v>105541</v>
      </c>
      <c r="J488" s="1"/>
      <c r="K488" s="11"/>
      <c r="L488" s="1">
        <f t="shared" si="210"/>
        <v>3089</v>
      </c>
      <c r="M488" s="11">
        <f t="shared" si="210"/>
        <v>650054</v>
      </c>
      <c r="N488" s="39">
        <f t="shared" si="211"/>
        <v>0</v>
      </c>
      <c r="O488" s="13">
        <f t="shared" si="209"/>
        <v>0</v>
      </c>
      <c r="P488"/>
      <c r="Q488"/>
      <c r="R488"/>
      <c r="S488"/>
      <c r="U488"/>
    </row>
    <row r="489" spans="2:21" x14ac:dyDescent="0.25">
      <c r="B489" s="2" t="s">
        <v>10</v>
      </c>
      <c r="C489" s="2">
        <v>2026</v>
      </c>
      <c r="D489" s="1">
        <v>1840</v>
      </c>
      <c r="E489" s="11">
        <v>494664</v>
      </c>
      <c r="F489" s="1">
        <v>518</v>
      </c>
      <c r="G489" s="11">
        <v>122567</v>
      </c>
      <c r="H489" s="1">
        <v>667</v>
      </c>
      <c r="I489" s="11">
        <v>117150</v>
      </c>
      <c r="J489" s="1"/>
      <c r="K489" s="11"/>
      <c r="L489" s="1">
        <f t="shared" si="210"/>
        <v>3025</v>
      </c>
      <c r="M489" s="11">
        <f t="shared" si="210"/>
        <v>734381</v>
      </c>
      <c r="N489" s="39">
        <f t="shared" si="211"/>
        <v>0</v>
      </c>
      <c r="O489" s="13">
        <f t="shared" si="209"/>
        <v>0</v>
      </c>
      <c r="P489"/>
      <c r="Q489"/>
      <c r="R489"/>
      <c r="S489"/>
      <c r="U489"/>
    </row>
    <row r="490" spans="2:21" x14ac:dyDescent="0.25">
      <c r="B490" s="2" t="s">
        <v>11</v>
      </c>
      <c r="C490" s="2">
        <v>2026</v>
      </c>
      <c r="D490" s="1"/>
      <c r="E490" s="11"/>
      <c r="F490" s="1"/>
      <c r="G490" s="11"/>
      <c r="H490" s="1"/>
      <c r="I490" s="11"/>
      <c r="J490" s="1"/>
      <c r="K490" s="11"/>
      <c r="L490" s="1">
        <f t="shared" si="210"/>
        <v>0</v>
      </c>
      <c r="M490" s="11">
        <f t="shared" si="210"/>
        <v>0</v>
      </c>
      <c r="N490" s="39">
        <f t="shared" si="211"/>
        <v>0</v>
      </c>
      <c r="O490" s="13">
        <f t="shared" si="209"/>
        <v>0</v>
      </c>
      <c r="P490"/>
      <c r="Q490"/>
      <c r="R490"/>
      <c r="S490"/>
      <c r="U490"/>
    </row>
    <row r="491" spans="2:21" x14ac:dyDescent="0.25">
      <c r="B491" s="2" t="s">
        <v>4</v>
      </c>
      <c r="C491" s="2">
        <v>2026</v>
      </c>
      <c r="D491" s="1"/>
      <c r="E491" s="11"/>
      <c r="F491" s="1"/>
      <c r="G491" s="11"/>
      <c r="H491" s="1"/>
      <c r="I491" s="11"/>
      <c r="J491" s="1"/>
      <c r="K491" s="11"/>
      <c r="L491" s="1">
        <f t="shared" si="210"/>
        <v>0</v>
      </c>
      <c r="M491" s="11">
        <f t="shared" si="210"/>
        <v>0</v>
      </c>
      <c r="N491" s="39">
        <f t="shared" si="211"/>
        <v>0</v>
      </c>
      <c r="O491" s="13">
        <f t="shared" si="209"/>
        <v>0</v>
      </c>
      <c r="P491"/>
      <c r="Q491"/>
      <c r="R491"/>
      <c r="S491"/>
      <c r="U491"/>
    </row>
    <row r="492" spans="2:21" x14ac:dyDescent="0.25">
      <c r="B492" s="2" t="s">
        <v>28</v>
      </c>
      <c r="C492" s="2">
        <v>2026</v>
      </c>
      <c r="D492" s="1"/>
      <c r="E492" s="11"/>
      <c r="F492" s="1"/>
      <c r="G492" s="11"/>
      <c r="H492" s="1"/>
      <c r="I492" s="11"/>
      <c r="J492" s="1"/>
      <c r="K492" s="11"/>
      <c r="L492" s="1">
        <f t="shared" si="210"/>
        <v>0</v>
      </c>
      <c r="M492" s="11">
        <f t="shared" si="210"/>
        <v>0</v>
      </c>
      <c r="N492" s="39">
        <f t="shared" si="211"/>
        <v>0</v>
      </c>
      <c r="O492" s="13">
        <f t="shared" si="209"/>
        <v>0</v>
      </c>
      <c r="P492"/>
      <c r="Q492"/>
      <c r="R492"/>
      <c r="S492"/>
      <c r="U492"/>
    </row>
    <row r="493" spans="2:21" x14ac:dyDescent="0.25">
      <c r="B493" s="2" t="s">
        <v>29</v>
      </c>
      <c r="C493" s="2">
        <v>2026</v>
      </c>
      <c r="D493" s="1"/>
      <c r="E493" s="11"/>
      <c r="F493" s="1"/>
      <c r="G493" s="11"/>
      <c r="H493" s="1"/>
      <c r="I493" s="11"/>
      <c r="J493" s="1"/>
      <c r="K493" s="11"/>
      <c r="L493" s="1">
        <f t="shared" si="210"/>
        <v>0</v>
      </c>
      <c r="M493" s="11">
        <f t="shared" si="210"/>
        <v>0</v>
      </c>
      <c r="N493" s="39">
        <f t="shared" si="211"/>
        <v>0</v>
      </c>
      <c r="O493" s="13">
        <f t="shared" si="209"/>
        <v>0</v>
      </c>
      <c r="P493"/>
      <c r="Q493"/>
      <c r="R493"/>
      <c r="S493"/>
      <c r="U493"/>
    </row>
    <row r="494" spans="2:21" x14ac:dyDescent="0.25">
      <c r="B494" s="2" t="s">
        <v>30</v>
      </c>
      <c r="C494" s="2">
        <v>2026</v>
      </c>
      <c r="D494" s="1"/>
      <c r="E494" s="11"/>
      <c r="F494" s="1"/>
      <c r="G494" s="11"/>
      <c r="H494" s="1"/>
      <c r="I494" s="11"/>
      <c r="J494" s="1"/>
      <c r="K494" s="11"/>
      <c r="L494" s="1">
        <f t="shared" si="210"/>
        <v>0</v>
      </c>
      <c r="M494" s="11">
        <f t="shared" si="210"/>
        <v>0</v>
      </c>
      <c r="N494" s="39">
        <f t="shared" si="211"/>
        <v>0</v>
      </c>
      <c r="O494" s="13">
        <f t="shared" si="209"/>
        <v>0</v>
      </c>
      <c r="P494"/>
      <c r="Q494"/>
      <c r="R494"/>
      <c r="S494"/>
      <c r="U494"/>
    </row>
    <row r="495" spans="2:21" x14ac:dyDescent="0.25">
      <c r="B495" s="2" t="s">
        <v>31</v>
      </c>
      <c r="C495" s="2">
        <v>2026</v>
      </c>
      <c r="D495" s="1"/>
      <c r="E495" s="11"/>
      <c r="F495" s="1"/>
      <c r="G495" s="11"/>
      <c r="H495" s="1"/>
      <c r="I495" s="11"/>
      <c r="J495" s="1"/>
      <c r="K495" s="11"/>
      <c r="L495" s="1">
        <f t="shared" si="210"/>
        <v>0</v>
      </c>
      <c r="M495" s="11">
        <f t="shared" si="210"/>
        <v>0</v>
      </c>
      <c r="N495" s="39">
        <f t="shared" si="211"/>
        <v>0</v>
      </c>
      <c r="O495" s="13">
        <f t="shared" si="209"/>
        <v>0</v>
      </c>
      <c r="P495"/>
      <c r="Q495"/>
      <c r="R495"/>
      <c r="S495"/>
      <c r="U495"/>
    </row>
    <row r="496" spans="2:21" x14ac:dyDescent="0.25">
      <c r="P496"/>
      <c r="Q496"/>
      <c r="R496"/>
      <c r="S496"/>
      <c r="U496"/>
    </row>
    <row r="497" spans="2:21" x14ac:dyDescent="0.25">
      <c r="B497" s="88" t="s">
        <v>12</v>
      </c>
      <c r="C497" s="88"/>
      <c r="D497" s="4">
        <f>SUM(D484:D496)</f>
        <v>11107</v>
      </c>
      <c r="E497" s="12">
        <f>SUM(E484:E496)</f>
        <v>2525006</v>
      </c>
      <c r="F497" s="4">
        <f t="shared" ref="F497:M497" si="212">SUM(F484:F496)</f>
        <v>5965</v>
      </c>
      <c r="G497" s="12">
        <f t="shared" si="212"/>
        <v>1087157</v>
      </c>
      <c r="H497" s="4">
        <f t="shared" si="212"/>
        <v>4023</v>
      </c>
      <c r="I497" s="12">
        <f t="shared" si="212"/>
        <v>687083</v>
      </c>
      <c r="J497" s="4">
        <f t="shared" si="212"/>
        <v>0</v>
      </c>
      <c r="K497" s="12">
        <f t="shared" si="212"/>
        <v>0</v>
      </c>
      <c r="L497" s="4">
        <f t="shared" si="212"/>
        <v>21095</v>
      </c>
      <c r="M497" s="12">
        <f t="shared" si="212"/>
        <v>4299246</v>
      </c>
      <c r="P497"/>
      <c r="Q497"/>
      <c r="R497"/>
      <c r="S497"/>
      <c r="U497"/>
    </row>
    <row r="499" spans="2:21" x14ac:dyDescent="0.25">
      <c r="B499" s="5" t="s">
        <v>14</v>
      </c>
    </row>
    <row r="500" spans="2:21" x14ac:dyDescent="0.25">
      <c r="B500" s="5" t="s">
        <v>77</v>
      </c>
    </row>
    <row r="502" spans="2:21" x14ac:dyDescent="0.25">
      <c r="D502" s="89" t="s">
        <v>15</v>
      </c>
      <c r="E502" s="90"/>
      <c r="F502" s="89" t="s">
        <v>72</v>
      </c>
      <c r="G502" s="90"/>
      <c r="H502" s="89" t="s">
        <v>16</v>
      </c>
      <c r="I502" s="90"/>
      <c r="J502" s="89" t="s">
        <v>73</v>
      </c>
      <c r="K502" s="90"/>
      <c r="L502" s="89" t="s">
        <v>70</v>
      </c>
      <c r="M502" s="90"/>
      <c r="N502" s="9"/>
    </row>
    <row r="503" spans="2:21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21" x14ac:dyDescent="0.25">
      <c r="N504" s="9"/>
    </row>
    <row r="505" spans="2:21" x14ac:dyDescent="0.25">
      <c r="B505" s="2" t="s">
        <v>5</v>
      </c>
      <c r="C505" s="2">
        <v>2026</v>
      </c>
      <c r="D505" s="1">
        <v>911319</v>
      </c>
      <c r="E505" s="48">
        <v>131489683</v>
      </c>
      <c r="F505" s="1">
        <v>302906</v>
      </c>
      <c r="G505" s="48">
        <v>54484011</v>
      </c>
      <c r="H505" s="1">
        <v>644161</v>
      </c>
      <c r="I505" s="48">
        <v>131781636</v>
      </c>
      <c r="J505" s="86"/>
      <c r="K505" s="48"/>
      <c r="L505" s="1">
        <f>+D505+F505+H505+J505</f>
        <v>1858386</v>
      </c>
      <c r="M505" s="11">
        <f>+E505+G505+I505+K505</f>
        <v>317755330</v>
      </c>
      <c r="N505" s="39">
        <f t="shared" ref="N505:O516" si="213">+L505-P378</f>
        <v>0</v>
      </c>
      <c r="O505" s="13">
        <f t="shared" si="213"/>
        <v>0</v>
      </c>
    </row>
    <row r="506" spans="2:21" x14ac:dyDescent="0.25">
      <c r="B506" s="2" t="s">
        <v>6</v>
      </c>
      <c r="C506" s="2">
        <v>2026</v>
      </c>
      <c r="D506" s="1">
        <v>742478</v>
      </c>
      <c r="E506" s="48">
        <v>111955860</v>
      </c>
      <c r="F506" s="1">
        <v>266258</v>
      </c>
      <c r="G506" s="48">
        <v>48550645</v>
      </c>
      <c r="H506" s="1">
        <v>552797</v>
      </c>
      <c r="I506" s="48">
        <v>112863476</v>
      </c>
      <c r="J506" s="86"/>
      <c r="K506" s="48"/>
      <c r="L506" s="1">
        <f t="shared" ref="L506:M516" si="214">+D506+F506+H506+J506</f>
        <v>1561533</v>
      </c>
      <c r="M506" s="11">
        <f t="shared" si="214"/>
        <v>273369981</v>
      </c>
      <c r="N506" s="39">
        <f t="shared" si="213"/>
        <v>0</v>
      </c>
      <c r="O506" s="13">
        <f t="shared" si="213"/>
        <v>0</v>
      </c>
    </row>
    <row r="507" spans="2:21" x14ac:dyDescent="0.25">
      <c r="B507" s="2" t="s">
        <v>7</v>
      </c>
      <c r="C507" s="2">
        <v>2026</v>
      </c>
      <c r="D507" s="1">
        <v>867439</v>
      </c>
      <c r="E507" s="48">
        <v>132071710</v>
      </c>
      <c r="F507" s="1">
        <v>301212</v>
      </c>
      <c r="G507" s="48">
        <v>54885378</v>
      </c>
      <c r="H507" s="1">
        <v>631969</v>
      </c>
      <c r="I507" s="48">
        <v>128881614</v>
      </c>
      <c r="J507" s="86"/>
      <c r="K507" s="48"/>
      <c r="L507" s="1">
        <f t="shared" si="214"/>
        <v>1800620</v>
      </c>
      <c r="M507" s="11">
        <f t="shared" si="214"/>
        <v>315838702</v>
      </c>
      <c r="N507" s="39">
        <f t="shared" si="213"/>
        <v>0</v>
      </c>
      <c r="O507" s="13">
        <f t="shared" si="213"/>
        <v>0</v>
      </c>
    </row>
    <row r="508" spans="2:21" x14ac:dyDescent="0.25">
      <c r="B508" s="2" t="s">
        <v>8</v>
      </c>
      <c r="C508" s="2">
        <v>2026</v>
      </c>
      <c r="D508" s="1">
        <v>871357</v>
      </c>
      <c r="E508" s="48">
        <v>135460825</v>
      </c>
      <c r="F508" s="1">
        <v>273834</v>
      </c>
      <c r="G508" s="48">
        <v>51328542</v>
      </c>
      <c r="H508" s="1">
        <v>619182</v>
      </c>
      <c r="I508" s="48">
        <v>132748331</v>
      </c>
      <c r="J508" s="86"/>
      <c r="K508" s="48"/>
      <c r="L508" s="1">
        <f t="shared" si="214"/>
        <v>1764373</v>
      </c>
      <c r="M508" s="11">
        <f t="shared" si="214"/>
        <v>319537698</v>
      </c>
      <c r="N508" s="39">
        <f t="shared" si="213"/>
        <v>0</v>
      </c>
      <c r="O508" s="13">
        <f t="shared" si="213"/>
        <v>0</v>
      </c>
    </row>
    <row r="509" spans="2:21" x14ac:dyDescent="0.25">
      <c r="B509" s="2" t="s">
        <v>9</v>
      </c>
      <c r="C509" s="2">
        <v>2026</v>
      </c>
      <c r="D509" s="1">
        <v>858906</v>
      </c>
      <c r="E509" s="48">
        <v>136245332</v>
      </c>
      <c r="F509" s="1">
        <v>287312</v>
      </c>
      <c r="G509" s="48">
        <v>55071093</v>
      </c>
      <c r="H509" s="1">
        <v>667871</v>
      </c>
      <c r="I509" s="48">
        <v>147557085</v>
      </c>
      <c r="J509" s="86"/>
      <c r="K509" s="48"/>
      <c r="L509" s="1">
        <f t="shared" si="214"/>
        <v>1814089</v>
      </c>
      <c r="M509" s="11">
        <f t="shared" si="214"/>
        <v>338873510</v>
      </c>
      <c r="N509" s="39">
        <f t="shared" si="213"/>
        <v>0</v>
      </c>
      <c r="O509" s="13">
        <f t="shared" si="213"/>
        <v>0</v>
      </c>
    </row>
    <row r="510" spans="2:21" x14ac:dyDescent="0.25">
      <c r="B510" s="2" t="s">
        <v>10</v>
      </c>
      <c r="C510" s="2">
        <v>2026</v>
      </c>
      <c r="D510" s="1">
        <v>718157</v>
      </c>
      <c r="E510" s="48">
        <v>115976292</v>
      </c>
      <c r="F510" s="1">
        <v>246147</v>
      </c>
      <c r="G510" s="48">
        <v>47742546</v>
      </c>
      <c r="H510" s="1">
        <v>602024</v>
      </c>
      <c r="I510" s="48">
        <v>133082569</v>
      </c>
      <c r="J510" s="86"/>
      <c r="K510" s="48"/>
      <c r="L510" s="1">
        <f t="shared" si="214"/>
        <v>1566328</v>
      </c>
      <c r="M510" s="11">
        <f t="shared" si="214"/>
        <v>296801407</v>
      </c>
      <c r="N510" s="39">
        <f t="shared" si="213"/>
        <v>0</v>
      </c>
      <c r="O510" s="13">
        <f t="shared" si="213"/>
        <v>0</v>
      </c>
    </row>
    <row r="511" spans="2:21" x14ac:dyDescent="0.25">
      <c r="B511" s="2" t="s">
        <v>11</v>
      </c>
      <c r="C511" s="2">
        <v>2026</v>
      </c>
      <c r="D511" s="1"/>
      <c r="E511" s="48"/>
      <c r="F511" s="1"/>
      <c r="G511" s="48"/>
      <c r="H511" s="1"/>
      <c r="I511" s="48"/>
      <c r="J511" s="86"/>
      <c r="K511" s="48"/>
      <c r="L511" s="1">
        <f t="shared" si="214"/>
        <v>0</v>
      </c>
      <c r="M511" s="11">
        <f t="shared" si="214"/>
        <v>0</v>
      </c>
      <c r="N511" s="39">
        <f t="shared" si="213"/>
        <v>0</v>
      </c>
      <c r="O511" s="13">
        <f t="shared" si="213"/>
        <v>0</v>
      </c>
    </row>
    <row r="512" spans="2:21" x14ac:dyDescent="0.25">
      <c r="B512" s="2" t="s">
        <v>4</v>
      </c>
      <c r="C512" s="2">
        <v>2026</v>
      </c>
      <c r="D512" s="1"/>
      <c r="E512" s="48"/>
      <c r="F512" s="1"/>
      <c r="G512" s="48"/>
      <c r="H512" s="1"/>
      <c r="I512" s="48"/>
      <c r="J512" s="86"/>
      <c r="K512" s="48"/>
      <c r="L512" s="1">
        <f t="shared" si="214"/>
        <v>0</v>
      </c>
      <c r="M512" s="11">
        <f t="shared" si="214"/>
        <v>0</v>
      </c>
      <c r="N512" s="39">
        <f t="shared" si="213"/>
        <v>0</v>
      </c>
      <c r="O512" s="13">
        <f t="shared" si="213"/>
        <v>0</v>
      </c>
    </row>
    <row r="513" spans="2:15" x14ac:dyDescent="0.25">
      <c r="B513" s="2" t="s">
        <v>28</v>
      </c>
      <c r="C513" s="2">
        <v>2026</v>
      </c>
      <c r="D513" s="1"/>
      <c r="E513" s="48"/>
      <c r="F513" s="1"/>
      <c r="G513" s="48"/>
      <c r="H513" s="1"/>
      <c r="I513" s="48"/>
      <c r="J513" s="86"/>
      <c r="K513" s="48"/>
      <c r="L513" s="1">
        <f t="shared" si="214"/>
        <v>0</v>
      </c>
      <c r="M513" s="11">
        <f t="shared" si="214"/>
        <v>0</v>
      </c>
      <c r="N513" s="39">
        <f t="shared" si="213"/>
        <v>0</v>
      </c>
      <c r="O513" s="13">
        <f t="shared" si="213"/>
        <v>0</v>
      </c>
    </row>
    <row r="514" spans="2:15" x14ac:dyDescent="0.25">
      <c r="B514" s="2" t="s">
        <v>29</v>
      </c>
      <c r="C514" s="2">
        <v>2026</v>
      </c>
      <c r="D514" s="1"/>
      <c r="E514" s="48"/>
      <c r="F514" s="1"/>
      <c r="G514" s="48"/>
      <c r="H514" s="1"/>
      <c r="I514" s="48"/>
      <c r="J514" s="86"/>
      <c r="K514" s="48"/>
      <c r="L514" s="1">
        <f t="shared" si="214"/>
        <v>0</v>
      </c>
      <c r="M514" s="11">
        <f t="shared" si="214"/>
        <v>0</v>
      </c>
      <c r="N514" s="39">
        <f t="shared" si="213"/>
        <v>0</v>
      </c>
      <c r="O514" s="13">
        <f t="shared" si="213"/>
        <v>0</v>
      </c>
    </row>
    <row r="515" spans="2:15" x14ac:dyDescent="0.25">
      <c r="B515" s="2" t="s">
        <v>30</v>
      </c>
      <c r="C515" s="2">
        <v>2026</v>
      </c>
      <c r="D515" s="1"/>
      <c r="E515" s="48"/>
      <c r="F515" s="1"/>
      <c r="G515" s="48"/>
      <c r="H515" s="1"/>
      <c r="I515" s="48"/>
      <c r="J515" s="86"/>
      <c r="K515" s="48"/>
      <c r="L515" s="1">
        <f t="shared" si="214"/>
        <v>0</v>
      </c>
      <c r="M515" s="11">
        <f t="shared" si="214"/>
        <v>0</v>
      </c>
      <c r="N515" s="39">
        <f t="shared" si="213"/>
        <v>0</v>
      </c>
      <c r="O515" s="13">
        <f t="shared" si="213"/>
        <v>0</v>
      </c>
    </row>
    <row r="516" spans="2:15" x14ac:dyDescent="0.25">
      <c r="B516" s="2" t="s">
        <v>31</v>
      </c>
      <c r="C516" s="2">
        <v>2026</v>
      </c>
      <c r="D516" s="1"/>
      <c r="E516" s="48"/>
      <c r="F516" s="1"/>
      <c r="G516" s="48"/>
      <c r="H516" s="1"/>
      <c r="I516" s="48"/>
      <c r="J516" s="86"/>
      <c r="K516" s="48"/>
      <c r="L516" s="1">
        <f t="shared" si="214"/>
        <v>0</v>
      </c>
      <c r="M516" s="11">
        <f t="shared" si="214"/>
        <v>0</v>
      </c>
      <c r="N516" s="39">
        <f t="shared" si="213"/>
        <v>0</v>
      </c>
      <c r="O516" s="13">
        <f t="shared" si="213"/>
        <v>0</v>
      </c>
    </row>
    <row r="518" spans="2:15" x14ac:dyDescent="0.25">
      <c r="B518" s="88" t="s">
        <v>12</v>
      </c>
      <c r="C518" s="88"/>
      <c r="D518" s="4">
        <f>SUM(D505:D517)</f>
        <v>4969656</v>
      </c>
      <c r="E518" s="12">
        <f>SUM(E505:E517)</f>
        <v>763199702</v>
      </c>
      <c r="F518" s="4">
        <f t="shared" ref="F518:M518" si="215">SUM(F505:F517)</f>
        <v>1677669</v>
      </c>
      <c r="G518" s="12">
        <f t="shared" si="215"/>
        <v>312062215</v>
      </c>
      <c r="H518" s="4">
        <f t="shared" si="215"/>
        <v>3718004</v>
      </c>
      <c r="I518" s="12">
        <f t="shared" si="215"/>
        <v>786914711</v>
      </c>
      <c r="J518" s="4">
        <f t="shared" si="215"/>
        <v>0</v>
      </c>
      <c r="K518" s="12">
        <f t="shared" si="215"/>
        <v>0</v>
      </c>
      <c r="L518" s="4">
        <f t="shared" si="215"/>
        <v>10365329</v>
      </c>
      <c r="M518" s="12">
        <f t="shared" si="215"/>
        <v>1862176628</v>
      </c>
    </row>
    <row r="520" spans="2:15" x14ac:dyDescent="0.25">
      <c r="B520" s="5" t="s">
        <v>14</v>
      </c>
    </row>
    <row r="521" spans="2:15" x14ac:dyDescent="0.25">
      <c r="B521" s="5" t="s">
        <v>78</v>
      </c>
    </row>
    <row r="523" spans="2:15" x14ac:dyDescent="0.25">
      <c r="D523" s="89" t="s">
        <v>15</v>
      </c>
      <c r="E523" s="90"/>
      <c r="F523" s="89" t="s">
        <v>72</v>
      </c>
      <c r="G523" s="90"/>
      <c r="H523" s="89" t="s">
        <v>16</v>
      </c>
      <c r="I523" s="90"/>
      <c r="J523" s="89" t="s">
        <v>73</v>
      </c>
      <c r="K523" s="90"/>
      <c r="L523" s="89" t="s">
        <v>70</v>
      </c>
      <c r="M523" s="90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2026</v>
      </c>
      <c r="D526" s="1">
        <v>304600</v>
      </c>
      <c r="E526" s="11">
        <v>30086266</v>
      </c>
      <c r="F526" s="1">
        <v>193354</v>
      </c>
      <c r="G526" s="11">
        <v>20970835</v>
      </c>
      <c r="H526" s="1">
        <v>156299</v>
      </c>
      <c r="I526" s="11">
        <v>27405388</v>
      </c>
      <c r="J526" s="86"/>
      <c r="K526" s="48"/>
      <c r="L526" s="1">
        <f>+D526+F526+H526+J526</f>
        <v>654253</v>
      </c>
      <c r="M526" s="11">
        <f>+E526+G526+I526+K526</f>
        <v>78462489</v>
      </c>
      <c r="N526" s="39">
        <f t="shared" ref="N526:O537" si="216">+L526-R378</f>
        <v>0</v>
      </c>
      <c r="O526" s="13">
        <f t="shared" si="216"/>
        <v>0</v>
      </c>
    </row>
    <row r="527" spans="2:15" x14ac:dyDescent="0.25">
      <c r="B527" s="2" t="s">
        <v>6</v>
      </c>
      <c r="C527" s="2">
        <v>2026</v>
      </c>
      <c r="D527" s="1">
        <v>267113</v>
      </c>
      <c r="E527" s="48">
        <v>26104641</v>
      </c>
      <c r="F527" s="1">
        <v>180421</v>
      </c>
      <c r="G527" s="48">
        <v>19646309</v>
      </c>
      <c r="H527" s="1">
        <v>135600</v>
      </c>
      <c r="I527" s="48">
        <v>23505913</v>
      </c>
      <c r="J527" s="86"/>
      <c r="K527" s="48"/>
      <c r="L527" s="1">
        <f t="shared" ref="L527:M537" si="217">+D527+F527+H527+J527</f>
        <v>583134</v>
      </c>
      <c r="M527" s="11">
        <f t="shared" si="217"/>
        <v>69256863</v>
      </c>
      <c r="N527" s="39">
        <f t="shared" si="216"/>
        <v>0</v>
      </c>
      <c r="O527" s="13">
        <f t="shared" si="216"/>
        <v>0</v>
      </c>
    </row>
    <row r="528" spans="2:15" x14ac:dyDescent="0.25">
      <c r="B528" s="2" t="s">
        <v>7</v>
      </c>
      <c r="C528" s="2">
        <v>2026</v>
      </c>
      <c r="D528" s="1">
        <v>310569</v>
      </c>
      <c r="E528" s="48">
        <v>31323944</v>
      </c>
      <c r="F528" s="1">
        <v>204407</v>
      </c>
      <c r="G528" s="48">
        <v>23007182</v>
      </c>
      <c r="H528" s="1">
        <v>154851</v>
      </c>
      <c r="I528" s="48">
        <v>26836295</v>
      </c>
      <c r="J528" s="86"/>
      <c r="K528" s="48"/>
      <c r="L528" s="1">
        <f t="shared" si="217"/>
        <v>669827</v>
      </c>
      <c r="M528" s="11">
        <f t="shared" si="217"/>
        <v>81167421</v>
      </c>
      <c r="N528" s="39">
        <f t="shared" si="216"/>
        <v>0</v>
      </c>
      <c r="O528" s="13">
        <f t="shared" si="216"/>
        <v>0</v>
      </c>
    </row>
    <row r="529" spans="2:15" x14ac:dyDescent="0.25">
      <c r="B529" s="2" t="s">
        <v>8</v>
      </c>
      <c r="C529" s="2">
        <v>2026</v>
      </c>
      <c r="D529" s="1">
        <v>303824</v>
      </c>
      <c r="E529" s="48">
        <v>32695566</v>
      </c>
      <c r="F529" s="1">
        <v>192993</v>
      </c>
      <c r="G529" s="48">
        <v>22754817</v>
      </c>
      <c r="H529" s="1">
        <v>156748</v>
      </c>
      <c r="I529" s="48">
        <v>28214800</v>
      </c>
      <c r="J529" s="86"/>
      <c r="K529" s="48"/>
      <c r="L529" s="1">
        <f t="shared" si="217"/>
        <v>653565</v>
      </c>
      <c r="M529" s="11">
        <f>+E529+G529+I529+K529</f>
        <v>83665183</v>
      </c>
      <c r="N529" s="39">
        <f t="shared" si="216"/>
        <v>0</v>
      </c>
      <c r="O529" s="13">
        <f t="shared" si="216"/>
        <v>0</v>
      </c>
    </row>
    <row r="530" spans="2:15" x14ac:dyDescent="0.25">
      <c r="B530" s="2" t="s">
        <v>9</v>
      </c>
      <c r="C530" s="2">
        <v>2026</v>
      </c>
      <c r="D530" s="1">
        <v>308883</v>
      </c>
      <c r="E530" s="48">
        <v>34030709</v>
      </c>
      <c r="F530" s="1">
        <v>195377</v>
      </c>
      <c r="G530" s="48">
        <v>23907602</v>
      </c>
      <c r="H530" s="1">
        <v>162020</v>
      </c>
      <c r="I530" s="48">
        <v>29827383</v>
      </c>
      <c r="J530" s="86"/>
      <c r="K530" s="48"/>
      <c r="L530" s="1">
        <f t="shared" si="217"/>
        <v>666280</v>
      </c>
      <c r="M530" s="11">
        <f t="shared" si="217"/>
        <v>87765694</v>
      </c>
      <c r="N530" s="39">
        <f t="shared" si="216"/>
        <v>0</v>
      </c>
      <c r="O530" s="13">
        <f t="shared" si="216"/>
        <v>0</v>
      </c>
    </row>
    <row r="531" spans="2:15" x14ac:dyDescent="0.25">
      <c r="B531" s="2" t="s">
        <v>10</v>
      </c>
      <c r="C531" s="2">
        <v>2026</v>
      </c>
      <c r="D531" s="1">
        <v>282340</v>
      </c>
      <c r="E531" s="48">
        <v>30783487</v>
      </c>
      <c r="F531" s="1">
        <v>184544</v>
      </c>
      <c r="G531" s="48">
        <v>23905038</v>
      </c>
      <c r="H531" s="1">
        <v>156330</v>
      </c>
      <c r="I531" s="48">
        <v>28163351</v>
      </c>
      <c r="J531" s="86"/>
      <c r="K531" s="48"/>
      <c r="L531" s="1">
        <f t="shared" si="217"/>
        <v>623214</v>
      </c>
      <c r="M531" s="11">
        <f t="shared" si="217"/>
        <v>82851876</v>
      </c>
      <c r="N531" s="39">
        <f t="shared" si="216"/>
        <v>0</v>
      </c>
      <c r="O531" s="13">
        <f t="shared" si="216"/>
        <v>0</v>
      </c>
    </row>
    <row r="532" spans="2:15" x14ac:dyDescent="0.25">
      <c r="B532" s="2" t="s">
        <v>11</v>
      </c>
      <c r="C532" s="2">
        <v>2026</v>
      </c>
      <c r="D532" s="1"/>
      <c r="E532" s="48"/>
      <c r="F532" s="1"/>
      <c r="G532" s="48"/>
      <c r="H532" s="1"/>
      <c r="I532" s="48"/>
      <c r="J532" s="86"/>
      <c r="K532" s="48"/>
      <c r="L532" s="1">
        <f t="shared" si="217"/>
        <v>0</v>
      </c>
      <c r="M532" s="11">
        <f t="shared" si="217"/>
        <v>0</v>
      </c>
      <c r="N532" s="39">
        <f t="shared" si="216"/>
        <v>0</v>
      </c>
      <c r="O532" s="13">
        <f t="shared" si="216"/>
        <v>0</v>
      </c>
    </row>
    <row r="533" spans="2:15" x14ac:dyDescent="0.25">
      <c r="B533" s="2" t="s">
        <v>4</v>
      </c>
      <c r="C533" s="2">
        <v>2026</v>
      </c>
      <c r="D533" s="1"/>
      <c r="E533" s="48"/>
      <c r="F533" s="1"/>
      <c r="G533" s="48"/>
      <c r="H533" s="39"/>
      <c r="I533" s="48"/>
      <c r="J533" s="86"/>
      <c r="K533" s="48"/>
      <c r="L533" s="1">
        <f t="shared" si="217"/>
        <v>0</v>
      </c>
      <c r="M533" s="11">
        <f t="shared" si="217"/>
        <v>0</v>
      </c>
      <c r="N533" s="39">
        <f t="shared" si="216"/>
        <v>0</v>
      </c>
      <c r="O533" s="13">
        <f t="shared" si="216"/>
        <v>0</v>
      </c>
    </row>
    <row r="534" spans="2:15" x14ac:dyDescent="0.25">
      <c r="B534" s="2" t="s">
        <v>28</v>
      </c>
      <c r="C534" s="2">
        <v>2026</v>
      </c>
      <c r="D534" s="1"/>
      <c r="E534" s="48"/>
      <c r="F534" s="1"/>
      <c r="G534" s="48"/>
      <c r="H534" s="1"/>
      <c r="I534" s="48"/>
      <c r="J534" s="86"/>
      <c r="K534" s="48"/>
      <c r="L534" s="1">
        <f t="shared" si="217"/>
        <v>0</v>
      </c>
      <c r="M534" s="11">
        <f t="shared" si="217"/>
        <v>0</v>
      </c>
      <c r="N534" s="39">
        <f t="shared" si="216"/>
        <v>0</v>
      </c>
      <c r="O534" s="13">
        <f t="shared" si="216"/>
        <v>0</v>
      </c>
    </row>
    <row r="535" spans="2:15" x14ac:dyDescent="0.25">
      <c r="B535" s="2" t="s">
        <v>29</v>
      </c>
      <c r="C535" s="2">
        <v>2026</v>
      </c>
      <c r="D535" s="1"/>
      <c r="E535" s="48"/>
      <c r="F535" s="1"/>
      <c r="G535" s="48"/>
      <c r="H535" s="1"/>
      <c r="I535" s="48"/>
      <c r="J535" s="86"/>
      <c r="K535" s="48"/>
      <c r="L535" s="1">
        <f t="shared" si="217"/>
        <v>0</v>
      </c>
      <c r="M535" s="11">
        <f t="shared" si="217"/>
        <v>0</v>
      </c>
      <c r="N535" s="39">
        <f t="shared" si="216"/>
        <v>0</v>
      </c>
      <c r="O535" s="13">
        <f t="shared" si="216"/>
        <v>0</v>
      </c>
    </row>
    <row r="536" spans="2:15" x14ac:dyDescent="0.25">
      <c r="B536" s="2" t="s">
        <v>30</v>
      </c>
      <c r="C536" s="2">
        <v>2026</v>
      </c>
      <c r="D536" s="1"/>
      <c r="E536" s="48"/>
      <c r="F536" s="1"/>
      <c r="G536" s="48"/>
      <c r="H536" s="1"/>
      <c r="I536" s="48"/>
      <c r="J536" s="86"/>
      <c r="K536" s="48"/>
      <c r="L536" s="1">
        <f t="shared" si="217"/>
        <v>0</v>
      </c>
      <c r="M536" s="11">
        <f t="shared" si="217"/>
        <v>0</v>
      </c>
      <c r="N536" s="39">
        <f t="shared" si="216"/>
        <v>0</v>
      </c>
      <c r="O536" s="13">
        <f t="shared" si="216"/>
        <v>0</v>
      </c>
    </row>
    <row r="537" spans="2:15" x14ac:dyDescent="0.25">
      <c r="B537" s="2" t="s">
        <v>31</v>
      </c>
      <c r="C537" s="2">
        <v>2026</v>
      </c>
      <c r="D537" s="1"/>
      <c r="E537" s="48"/>
      <c r="F537" s="1"/>
      <c r="G537" s="48"/>
      <c r="H537" s="1"/>
      <c r="I537" s="48"/>
      <c r="J537" s="86"/>
      <c r="K537" s="48"/>
      <c r="L537" s="1">
        <f t="shared" si="217"/>
        <v>0</v>
      </c>
      <c r="M537" s="11">
        <f t="shared" si="217"/>
        <v>0</v>
      </c>
      <c r="N537" s="39">
        <f t="shared" si="216"/>
        <v>0</v>
      </c>
      <c r="O537" s="13">
        <f t="shared" si="216"/>
        <v>0</v>
      </c>
    </row>
    <row r="539" spans="2:15" x14ac:dyDescent="0.25">
      <c r="B539" s="88" t="s">
        <v>12</v>
      </c>
      <c r="C539" s="88"/>
      <c r="D539" s="4">
        <f>SUM(D526:D538)</f>
        <v>1777329</v>
      </c>
      <c r="E539" s="12">
        <f>SUM(E526:E538)</f>
        <v>185024613</v>
      </c>
      <c r="F539" s="4">
        <f t="shared" ref="F539:M539" si="218">SUM(F526:F538)</f>
        <v>1151096</v>
      </c>
      <c r="G539" s="12">
        <f t="shared" si="218"/>
        <v>134191783</v>
      </c>
      <c r="H539" s="4">
        <f t="shared" si="218"/>
        <v>921848</v>
      </c>
      <c r="I539" s="12">
        <f t="shared" si="218"/>
        <v>163953130</v>
      </c>
      <c r="J539" s="4">
        <f t="shared" si="218"/>
        <v>0</v>
      </c>
      <c r="K539" s="12">
        <f t="shared" si="218"/>
        <v>0</v>
      </c>
      <c r="L539" s="4">
        <f t="shared" si="218"/>
        <v>3850273</v>
      </c>
      <c r="M539" s="12">
        <f t="shared" si="218"/>
        <v>483169526</v>
      </c>
    </row>
    <row r="541" spans="2:15" x14ac:dyDescent="0.25">
      <c r="B541" s="5" t="s">
        <v>14</v>
      </c>
    </row>
    <row r="542" spans="2:15" x14ac:dyDescent="0.25">
      <c r="B542" s="5" t="s">
        <v>79</v>
      </c>
    </row>
    <row r="544" spans="2:15" x14ac:dyDescent="0.25">
      <c r="D544" s="89" t="s">
        <v>15</v>
      </c>
      <c r="E544" s="90"/>
      <c r="F544" s="89" t="s">
        <v>72</v>
      </c>
      <c r="G544" s="90"/>
      <c r="H544" s="89" t="s">
        <v>16</v>
      </c>
      <c r="I544" s="90"/>
      <c r="J544" s="89" t="s">
        <v>73</v>
      </c>
      <c r="K544" s="90"/>
      <c r="L544" s="89" t="s">
        <v>70</v>
      </c>
      <c r="M544" s="90"/>
      <c r="N544" s="9"/>
    </row>
    <row r="545" spans="2:15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</row>
    <row r="546" spans="2:15" x14ac:dyDescent="0.25">
      <c r="N546" s="9"/>
    </row>
    <row r="547" spans="2:15" x14ac:dyDescent="0.25">
      <c r="B547" s="2" t="s">
        <v>5</v>
      </c>
      <c r="C547" s="2">
        <v>2026</v>
      </c>
      <c r="D547" s="1">
        <v>22229</v>
      </c>
      <c r="E547" s="48">
        <v>4231635</v>
      </c>
      <c r="F547" s="1">
        <v>11886</v>
      </c>
      <c r="G547" s="48">
        <v>2262765</v>
      </c>
      <c r="H547" s="1">
        <v>18862</v>
      </c>
      <c r="I547" s="48">
        <v>4322813</v>
      </c>
      <c r="J547" s="1"/>
      <c r="K547" s="48"/>
      <c r="L547" s="1">
        <f>+D547+F547+H547+J547</f>
        <v>52977</v>
      </c>
      <c r="M547" s="11">
        <f>+E547+G547+I547+K547</f>
        <v>10817213</v>
      </c>
      <c r="N547" s="39">
        <f t="shared" ref="N547:O558" si="219">+L547-T378</f>
        <v>0</v>
      </c>
      <c r="O547" s="13">
        <f t="shared" si="219"/>
        <v>0</v>
      </c>
    </row>
    <row r="548" spans="2:15" x14ac:dyDescent="0.25">
      <c r="B548" s="2" t="s">
        <v>6</v>
      </c>
      <c r="C548" s="2">
        <v>2026</v>
      </c>
      <c r="D548" s="1">
        <v>18967</v>
      </c>
      <c r="E548" s="48">
        <v>3715404</v>
      </c>
      <c r="F548" s="1">
        <v>11064</v>
      </c>
      <c r="G548" s="48">
        <v>2172561</v>
      </c>
      <c r="H548" s="1">
        <v>17031</v>
      </c>
      <c r="I548" s="48">
        <v>3900155</v>
      </c>
      <c r="J548" s="1"/>
      <c r="K548" s="48"/>
      <c r="L548" s="1">
        <f t="shared" ref="L548:M558" si="220">+D548+F548+H548+J548</f>
        <v>47062</v>
      </c>
      <c r="M548" s="11">
        <f t="shared" si="220"/>
        <v>9788120</v>
      </c>
      <c r="N548" s="39">
        <f t="shared" si="219"/>
        <v>0</v>
      </c>
      <c r="O548" s="13">
        <f t="shared" si="219"/>
        <v>0</v>
      </c>
    </row>
    <row r="549" spans="2:15" x14ac:dyDescent="0.25">
      <c r="B549" s="2" t="s">
        <v>7</v>
      </c>
      <c r="C549" s="2">
        <v>2026</v>
      </c>
      <c r="D549" s="1">
        <v>21504</v>
      </c>
      <c r="E549" s="48">
        <v>4245538</v>
      </c>
      <c r="F549" s="1">
        <v>10560</v>
      </c>
      <c r="G549" s="48">
        <v>2144740</v>
      </c>
      <c r="H549" s="1">
        <v>19264</v>
      </c>
      <c r="I549" s="48">
        <v>4422709</v>
      </c>
      <c r="J549" s="1"/>
      <c r="K549" s="48"/>
      <c r="L549" s="1">
        <f t="shared" si="220"/>
        <v>51328</v>
      </c>
      <c r="M549" s="11">
        <f t="shared" si="220"/>
        <v>10812987</v>
      </c>
      <c r="N549" s="39">
        <f t="shared" si="219"/>
        <v>0</v>
      </c>
      <c r="O549" s="13">
        <f t="shared" si="219"/>
        <v>0</v>
      </c>
    </row>
    <row r="550" spans="2:15" x14ac:dyDescent="0.25">
      <c r="B550" s="2" t="s">
        <v>8</v>
      </c>
      <c r="C550" s="2">
        <v>2026</v>
      </c>
      <c r="D550" s="1">
        <v>21114</v>
      </c>
      <c r="E550" s="48">
        <v>3983621</v>
      </c>
      <c r="F550" s="1">
        <v>7828</v>
      </c>
      <c r="G550" s="48">
        <v>1530440</v>
      </c>
      <c r="H550" s="1">
        <v>18706</v>
      </c>
      <c r="I550" s="48">
        <v>4530023</v>
      </c>
      <c r="J550" s="1"/>
      <c r="K550" s="48"/>
      <c r="L550" s="1">
        <f t="shared" si="220"/>
        <v>47648</v>
      </c>
      <c r="M550" s="11">
        <f t="shared" si="220"/>
        <v>10044084</v>
      </c>
      <c r="N550" s="39">
        <f t="shared" si="219"/>
        <v>0</v>
      </c>
      <c r="O550" s="13">
        <f t="shared" si="219"/>
        <v>0</v>
      </c>
    </row>
    <row r="551" spans="2:15" x14ac:dyDescent="0.25">
      <c r="B551" s="2" t="s">
        <v>9</v>
      </c>
      <c r="C551" s="2">
        <v>2026</v>
      </c>
      <c r="D551" s="1">
        <v>20581</v>
      </c>
      <c r="E551" s="48">
        <v>3877507</v>
      </c>
      <c r="F551" s="1">
        <v>10542</v>
      </c>
      <c r="G551" s="48">
        <v>2119074</v>
      </c>
      <c r="H551" s="1">
        <v>19622</v>
      </c>
      <c r="I551" s="48">
        <v>4736226</v>
      </c>
      <c r="J551" s="1"/>
      <c r="K551" s="48"/>
      <c r="L551" s="1">
        <f t="shared" si="220"/>
        <v>50745</v>
      </c>
      <c r="M551" s="11">
        <f t="shared" si="220"/>
        <v>10732807</v>
      </c>
      <c r="N551" s="39">
        <f t="shared" si="219"/>
        <v>0</v>
      </c>
      <c r="O551" s="13">
        <f t="shared" si="219"/>
        <v>0</v>
      </c>
    </row>
    <row r="552" spans="2:15" x14ac:dyDescent="0.25">
      <c r="B552" s="2" t="s">
        <v>10</v>
      </c>
      <c r="C552" s="2">
        <v>2026</v>
      </c>
      <c r="D552" s="1">
        <v>19902</v>
      </c>
      <c r="E552" s="48">
        <v>3711219</v>
      </c>
      <c r="F552" s="1">
        <v>10250</v>
      </c>
      <c r="G552" s="48">
        <v>2151548</v>
      </c>
      <c r="H552" s="1">
        <v>19041</v>
      </c>
      <c r="I552" s="48">
        <v>4491799</v>
      </c>
      <c r="J552" s="1"/>
      <c r="K552" s="48"/>
      <c r="L552" s="1">
        <f t="shared" si="220"/>
        <v>49193</v>
      </c>
      <c r="M552" s="11">
        <f t="shared" si="220"/>
        <v>10354566</v>
      </c>
      <c r="N552" s="39">
        <f t="shared" si="219"/>
        <v>0</v>
      </c>
      <c r="O552" s="13">
        <f t="shared" si="219"/>
        <v>0</v>
      </c>
    </row>
    <row r="553" spans="2:15" x14ac:dyDescent="0.25">
      <c r="B553" s="2" t="s">
        <v>11</v>
      </c>
      <c r="C553" s="2">
        <v>2026</v>
      </c>
      <c r="D553" s="1"/>
      <c r="E553" s="48"/>
      <c r="F553" s="1"/>
      <c r="G553" s="48"/>
      <c r="H553" s="1"/>
      <c r="I553" s="48"/>
      <c r="J553" s="1"/>
      <c r="K553" s="48"/>
      <c r="L553" s="1">
        <f t="shared" si="220"/>
        <v>0</v>
      </c>
      <c r="M553" s="11">
        <f t="shared" si="220"/>
        <v>0</v>
      </c>
      <c r="N553" s="39">
        <f t="shared" si="219"/>
        <v>0</v>
      </c>
      <c r="O553" s="13">
        <f t="shared" si="219"/>
        <v>0</v>
      </c>
    </row>
    <row r="554" spans="2:15" x14ac:dyDescent="0.25">
      <c r="B554" s="2" t="s">
        <v>4</v>
      </c>
      <c r="C554" s="2">
        <v>2026</v>
      </c>
      <c r="D554" s="1"/>
      <c r="E554" s="48"/>
      <c r="F554" s="1"/>
      <c r="G554" s="48"/>
      <c r="H554" s="1"/>
      <c r="I554" s="48"/>
      <c r="J554" s="1"/>
      <c r="K554" s="48"/>
      <c r="L554" s="1">
        <f t="shared" si="220"/>
        <v>0</v>
      </c>
      <c r="M554" s="11">
        <f t="shared" si="220"/>
        <v>0</v>
      </c>
      <c r="N554" s="39">
        <f t="shared" si="219"/>
        <v>0</v>
      </c>
      <c r="O554" s="13">
        <f t="shared" si="219"/>
        <v>0</v>
      </c>
    </row>
    <row r="555" spans="2:15" x14ac:dyDescent="0.25">
      <c r="B555" s="2" t="s">
        <v>28</v>
      </c>
      <c r="C555" s="2">
        <v>2026</v>
      </c>
      <c r="D555" s="1"/>
      <c r="E555" s="48"/>
      <c r="F555" s="1"/>
      <c r="G555" s="48"/>
      <c r="H555" s="1"/>
      <c r="I555" s="48"/>
      <c r="J555" s="1"/>
      <c r="K555" s="48"/>
      <c r="L555" s="1">
        <f t="shared" si="220"/>
        <v>0</v>
      </c>
      <c r="M555" s="11">
        <f t="shared" si="220"/>
        <v>0</v>
      </c>
      <c r="N555" s="39">
        <f t="shared" si="219"/>
        <v>0</v>
      </c>
      <c r="O555" s="13">
        <f t="shared" si="219"/>
        <v>0</v>
      </c>
    </row>
    <row r="556" spans="2:15" x14ac:dyDescent="0.25">
      <c r="B556" s="2" t="s">
        <v>29</v>
      </c>
      <c r="C556" s="2">
        <v>2026</v>
      </c>
      <c r="D556" s="1"/>
      <c r="E556" s="48"/>
      <c r="F556" s="1"/>
      <c r="G556" s="48"/>
      <c r="H556" s="1"/>
      <c r="I556" s="48"/>
      <c r="J556" s="1"/>
      <c r="K556" s="48"/>
      <c r="L556" s="1">
        <f t="shared" si="220"/>
        <v>0</v>
      </c>
      <c r="M556" s="11">
        <f t="shared" si="220"/>
        <v>0</v>
      </c>
      <c r="N556" s="39">
        <f t="shared" si="219"/>
        <v>0</v>
      </c>
      <c r="O556" s="13">
        <f t="shared" si="219"/>
        <v>0</v>
      </c>
    </row>
    <row r="557" spans="2:15" x14ac:dyDescent="0.25">
      <c r="B557" s="2" t="s">
        <v>30</v>
      </c>
      <c r="C557" s="2">
        <v>2026</v>
      </c>
      <c r="D557" s="1"/>
      <c r="E557" s="48"/>
      <c r="F557" s="1"/>
      <c r="G557" s="48"/>
      <c r="H557" s="1"/>
      <c r="I557" s="48"/>
      <c r="J557" s="1"/>
      <c r="K557" s="48"/>
      <c r="L557" s="1">
        <f t="shared" si="220"/>
        <v>0</v>
      </c>
      <c r="M557" s="11">
        <f t="shared" si="220"/>
        <v>0</v>
      </c>
      <c r="N557" s="39">
        <f t="shared" si="219"/>
        <v>0</v>
      </c>
      <c r="O557" s="13">
        <f t="shared" si="219"/>
        <v>0</v>
      </c>
    </row>
    <row r="558" spans="2:15" x14ac:dyDescent="0.25">
      <c r="B558" s="2" t="s">
        <v>31</v>
      </c>
      <c r="C558" s="2">
        <v>2026</v>
      </c>
      <c r="D558" s="1"/>
      <c r="E558" s="48"/>
      <c r="F558" s="1"/>
      <c r="G558" s="48"/>
      <c r="H558" s="1"/>
      <c r="I558" s="48"/>
      <c r="J558" s="1"/>
      <c r="K558" s="48"/>
      <c r="L558" s="1">
        <f t="shared" si="220"/>
        <v>0</v>
      </c>
      <c r="M558" s="11">
        <f t="shared" si="220"/>
        <v>0</v>
      </c>
      <c r="N558" s="39">
        <f t="shared" si="219"/>
        <v>0</v>
      </c>
      <c r="O558" s="13">
        <f t="shared" si="219"/>
        <v>0</v>
      </c>
    </row>
    <row r="560" spans="2:15" x14ac:dyDescent="0.25">
      <c r="B560" s="88" t="s">
        <v>12</v>
      </c>
      <c r="C560" s="88"/>
      <c r="D560" s="4">
        <f>SUM(D547:D559)</f>
        <v>124297</v>
      </c>
      <c r="E560" s="12">
        <f>SUM(E547:E559)</f>
        <v>23764924</v>
      </c>
      <c r="F560" s="4">
        <f t="shared" ref="F560:M560" si="221">SUM(F547:F559)</f>
        <v>62130</v>
      </c>
      <c r="G560" s="12">
        <f t="shared" si="221"/>
        <v>12381128</v>
      </c>
      <c r="H560" s="4">
        <f t="shared" si="221"/>
        <v>112526</v>
      </c>
      <c r="I560" s="12">
        <f t="shared" si="221"/>
        <v>26403725</v>
      </c>
      <c r="J560" s="4">
        <f t="shared" si="221"/>
        <v>0</v>
      </c>
      <c r="K560" s="12">
        <f t="shared" si="221"/>
        <v>0</v>
      </c>
      <c r="L560" s="4">
        <f t="shared" si="221"/>
        <v>298953</v>
      </c>
      <c r="M560" s="12">
        <f t="shared" si="221"/>
        <v>62549777</v>
      </c>
    </row>
    <row r="562" spans="2:15" x14ac:dyDescent="0.25">
      <c r="B562" s="5" t="s">
        <v>14</v>
      </c>
    </row>
    <row r="563" spans="2:15" x14ac:dyDescent="0.25">
      <c r="B563" s="5" t="s">
        <v>88</v>
      </c>
    </row>
    <row r="565" spans="2:15" x14ac:dyDescent="0.25">
      <c r="D565" s="89" t="s">
        <v>15</v>
      </c>
      <c r="E565" s="90"/>
      <c r="F565" s="89" t="s">
        <v>72</v>
      </c>
      <c r="G565" s="90"/>
      <c r="H565" s="89" t="s">
        <v>16</v>
      </c>
      <c r="I565" s="90"/>
      <c r="J565" s="89" t="s">
        <v>73</v>
      </c>
      <c r="K565" s="90"/>
      <c r="L565" s="89" t="s">
        <v>70</v>
      </c>
      <c r="M565" s="90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2026</v>
      </c>
      <c r="D568" s="1">
        <v>315361</v>
      </c>
      <c r="E568" s="48">
        <v>22621699</v>
      </c>
      <c r="F568" s="1">
        <v>234509</v>
      </c>
      <c r="G568" s="48">
        <v>16268838</v>
      </c>
      <c r="H568" s="1">
        <v>117257</v>
      </c>
      <c r="I568" s="48">
        <v>14955323</v>
      </c>
      <c r="J568" s="1"/>
      <c r="K568" s="48"/>
      <c r="L568" s="1">
        <f>+D568+F568+H568+J568</f>
        <v>667127</v>
      </c>
      <c r="M568" s="11">
        <f>+E568+G568+I568+K568</f>
        <v>53845860</v>
      </c>
      <c r="N568" s="39">
        <f t="shared" ref="N568:O579" si="222">+L568-V378</f>
        <v>0</v>
      </c>
      <c r="O568" s="13">
        <f t="shared" si="222"/>
        <v>0</v>
      </c>
    </row>
    <row r="569" spans="2:15" x14ac:dyDescent="0.25">
      <c r="B569" s="2" t="s">
        <v>6</v>
      </c>
      <c r="C569" s="2">
        <v>2026</v>
      </c>
      <c r="D569" s="1">
        <v>280971</v>
      </c>
      <c r="E569" s="48">
        <v>20227900</v>
      </c>
      <c r="F569" s="1">
        <v>215584</v>
      </c>
      <c r="G569" s="48">
        <v>14870561</v>
      </c>
      <c r="H569" s="1">
        <v>104156</v>
      </c>
      <c r="I569" s="48">
        <v>13378719</v>
      </c>
      <c r="J569" s="1"/>
      <c r="K569" s="48"/>
      <c r="L569" s="1">
        <f t="shared" ref="L569:M579" si="223">+D569+F569+H569+J569</f>
        <v>600711</v>
      </c>
      <c r="M569" s="11">
        <f t="shared" si="223"/>
        <v>48477180</v>
      </c>
      <c r="N569" s="39">
        <f t="shared" si="222"/>
        <v>0</v>
      </c>
      <c r="O569" s="13">
        <f t="shared" si="222"/>
        <v>0</v>
      </c>
    </row>
    <row r="570" spans="2:15" x14ac:dyDescent="0.25">
      <c r="B570" s="2" t="s">
        <v>7</v>
      </c>
      <c r="C570" s="2">
        <v>2026</v>
      </c>
      <c r="D570" s="1">
        <v>311229</v>
      </c>
      <c r="E570" s="48">
        <v>22551042</v>
      </c>
      <c r="F570" s="1">
        <v>240761</v>
      </c>
      <c r="G570" s="48">
        <v>16243925</v>
      </c>
      <c r="H570" s="1">
        <v>122228</v>
      </c>
      <c r="I570" s="48">
        <v>15062644</v>
      </c>
      <c r="J570" s="1"/>
      <c r="K570" s="48"/>
      <c r="L570" s="1">
        <f t="shared" si="223"/>
        <v>674218</v>
      </c>
      <c r="M570" s="11">
        <f t="shared" si="223"/>
        <v>53857611</v>
      </c>
      <c r="N570" s="39">
        <f t="shared" si="222"/>
        <v>0</v>
      </c>
      <c r="O570" s="13">
        <f t="shared" si="222"/>
        <v>0</v>
      </c>
    </row>
    <row r="571" spans="2:15" x14ac:dyDescent="0.25">
      <c r="B571" s="2" t="s">
        <v>8</v>
      </c>
      <c r="C571" s="2">
        <v>2026</v>
      </c>
      <c r="D571" s="1">
        <v>317715</v>
      </c>
      <c r="E571" s="48">
        <v>23471052</v>
      </c>
      <c r="F571" s="1">
        <v>228784</v>
      </c>
      <c r="G571" s="48">
        <v>15767472</v>
      </c>
      <c r="H571" s="1">
        <v>120731</v>
      </c>
      <c r="I571" s="48">
        <v>15378514</v>
      </c>
      <c r="J571" s="1"/>
      <c r="K571" s="48"/>
      <c r="L571" s="1">
        <f t="shared" si="223"/>
        <v>667230</v>
      </c>
      <c r="M571" s="11">
        <f t="shared" si="223"/>
        <v>54617038</v>
      </c>
      <c r="N571" s="39">
        <f t="shared" si="222"/>
        <v>0</v>
      </c>
      <c r="O571" s="13">
        <f t="shared" si="222"/>
        <v>0</v>
      </c>
    </row>
    <row r="572" spans="2:15" x14ac:dyDescent="0.25">
      <c r="B572" s="2" t="s">
        <v>9</v>
      </c>
      <c r="C572" s="2">
        <v>2026</v>
      </c>
      <c r="D572" s="1">
        <v>309743</v>
      </c>
      <c r="E572" s="48">
        <v>23215705</v>
      </c>
      <c r="F572" s="1">
        <v>245873</v>
      </c>
      <c r="G572" s="48">
        <v>16598463</v>
      </c>
      <c r="H572" s="1">
        <v>120414</v>
      </c>
      <c r="I572" s="48">
        <v>15595758</v>
      </c>
      <c r="J572" s="1"/>
      <c r="K572" s="48"/>
      <c r="L572" s="1">
        <f t="shared" si="223"/>
        <v>676030</v>
      </c>
      <c r="M572" s="11">
        <f t="shared" si="223"/>
        <v>55409926</v>
      </c>
      <c r="N572" s="39">
        <f t="shared" si="222"/>
        <v>0</v>
      </c>
      <c r="O572" s="13">
        <f t="shared" si="222"/>
        <v>0</v>
      </c>
    </row>
    <row r="573" spans="2:15" x14ac:dyDescent="0.25">
      <c r="B573" s="2" t="s">
        <v>10</v>
      </c>
      <c r="C573" s="2">
        <v>2026</v>
      </c>
      <c r="D573" s="1">
        <v>289373</v>
      </c>
      <c r="E573" s="48">
        <v>21739133</v>
      </c>
      <c r="F573" s="1">
        <v>222506</v>
      </c>
      <c r="G573" s="48">
        <v>15399176</v>
      </c>
      <c r="H573" s="1">
        <v>112409</v>
      </c>
      <c r="I573" s="48">
        <v>14667287</v>
      </c>
      <c r="J573" s="1"/>
      <c r="K573" s="48"/>
      <c r="L573" s="1">
        <f t="shared" si="223"/>
        <v>624288</v>
      </c>
      <c r="M573" s="11">
        <f t="shared" si="223"/>
        <v>51805596</v>
      </c>
      <c r="N573" s="39">
        <f t="shared" si="222"/>
        <v>0</v>
      </c>
      <c r="O573" s="13">
        <f t="shared" si="222"/>
        <v>0</v>
      </c>
    </row>
    <row r="574" spans="2:15" x14ac:dyDescent="0.25">
      <c r="B574" s="2" t="s">
        <v>11</v>
      </c>
      <c r="C574" s="2">
        <v>2026</v>
      </c>
      <c r="D574" s="1"/>
      <c r="E574" s="48"/>
      <c r="F574" s="1"/>
      <c r="G574" s="48"/>
      <c r="H574" s="1"/>
      <c r="I574" s="48"/>
      <c r="J574" s="1"/>
      <c r="K574" s="48"/>
      <c r="L574" s="1">
        <f t="shared" si="223"/>
        <v>0</v>
      </c>
      <c r="M574" s="11">
        <f t="shared" si="223"/>
        <v>0</v>
      </c>
      <c r="N574" s="39">
        <f t="shared" si="222"/>
        <v>0</v>
      </c>
      <c r="O574" s="13">
        <f t="shared" si="222"/>
        <v>0</v>
      </c>
    </row>
    <row r="575" spans="2:15" x14ac:dyDescent="0.25">
      <c r="B575" s="2" t="s">
        <v>4</v>
      </c>
      <c r="C575" s="2">
        <v>2026</v>
      </c>
      <c r="D575" s="1"/>
      <c r="E575" s="48"/>
      <c r="F575" s="1"/>
      <c r="G575" s="48"/>
      <c r="H575" s="1"/>
      <c r="I575" s="48"/>
      <c r="J575" s="1"/>
      <c r="K575" s="48"/>
      <c r="L575" s="1">
        <f t="shared" si="223"/>
        <v>0</v>
      </c>
      <c r="M575" s="11">
        <f t="shared" si="223"/>
        <v>0</v>
      </c>
      <c r="N575" s="39">
        <f t="shared" si="222"/>
        <v>0</v>
      </c>
      <c r="O575" s="13">
        <f t="shared" si="222"/>
        <v>0</v>
      </c>
    </row>
    <row r="576" spans="2:15" x14ac:dyDescent="0.25">
      <c r="B576" s="2" t="s">
        <v>28</v>
      </c>
      <c r="C576" s="2">
        <v>2026</v>
      </c>
      <c r="D576" s="1"/>
      <c r="E576" s="48"/>
      <c r="F576" s="1"/>
      <c r="G576" s="48"/>
      <c r="H576" s="1"/>
      <c r="I576" s="48"/>
      <c r="J576" s="1"/>
      <c r="K576" s="48"/>
      <c r="L576" s="1">
        <f t="shared" si="223"/>
        <v>0</v>
      </c>
      <c r="M576" s="11">
        <f t="shared" si="223"/>
        <v>0</v>
      </c>
      <c r="N576" s="39">
        <f t="shared" si="222"/>
        <v>0</v>
      </c>
      <c r="O576" s="13">
        <f t="shared" si="222"/>
        <v>0</v>
      </c>
    </row>
    <row r="577" spans="2:21" x14ac:dyDescent="0.25">
      <c r="B577" s="2" t="s">
        <v>29</v>
      </c>
      <c r="C577" s="2">
        <v>2026</v>
      </c>
      <c r="D577" s="1"/>
      <c r="E577" s="48"/>
      <c r="F577" s="1"/>
      <c r="G577" s="48"/>
      <c r="H577" s="1"/>
      <c r="I577" s="48"/>
      <c r="J577" s="1"/>
      <c r="K577" s="48"/>
      <c r="L577" s="1">
        <f t="shared" si="223"/>
        <v>0</v>
      </c>
      <c r="M577" s="11">
        <f t="shared" si="223"/>
        <v>0</v>
      </c>
      <c r="N577" s="39">
        <f t="shared" si="222"/>
        <v>0</v>
      </c>
      <c r="O577" s="13">
        <f t="shared" si="222"/>
        <v>0</v>
      </c>
    </row>
    <row r="578" spans="2:21" x14ac:dyDescent="0.25">
      <c r="B578" s="2" t="s">
        <v>30</v>
      </c>
      <c r="C578" s="2">
        <v>2026</v>
      </c>
      <c r="D578" s="1"/>
      <c r="E578" s="48"/>
      <c r="F578" s="1"/>
      <c r="G578" s="48"/>
      <c r="H578" s="1"/>
      <c r="I578" s="48"/>
      <c r="J578" s="1"/>
      <c r="K578" s="48"/>
      <c r="L578" s="1">
        <f t="shared" si="223"/>
        <v>0</v>
      </c>
      <c r="M578" s="11">
        <f t="shared" si="223"/>
        <v>0</v>
      </c>
      <c r="N578" s="39">
        <f t="shared" si="222"/>
        <v>0</v>
      </c>
      <c r="O578" s="13">
        <f t="shared" si="222"/>
        <v>0</v>
      </c>
    </row>
    <row r="579" spans="2:21" x14ac:dyDescent="0.25">
      <c r="B579" s="2" t="s">
        <v>31</v>
      </c>
      <c r="C579" s="2">
        <v>2026</v>
      </c>
      <c r="D579" s="1"/>
      <c r="E579" s="48"/>
      <c r="F579" s="1"/>
      <c r="G579" s="48"/>
      <c r="H579" s="1"/>
      <c r="I579" s="48"/>
      <c r="J579" s="1"/>
      <c r="K579" s="48"/>
      <c r="L579" s="1">
        <f t="shared" si="223"/>
        <v>0</v>
      </c>
      <c r="M579" s="11">
        <f t="shared" si="223"/>
        <v>0</v>
      </c>
      <c r="N579" s="39">
        <f t="shared" si="222"/>
        <v>0</v>
      </c>
      <c r="O579" s="13">
        <f t="shared" si="222"/>
        <v>0</v>
      </c>
    </row>
    <row r="581" spans="2:21" x14ac:dyDescent="0.25">
      <c r="B581" s="88" t="s">
        <v>12</v>
      </c>
      <c r="C581" s="88"/>
      <c r="D581" s="4">
        <f>SUM(D568:D580)</f>
        <v>1824392</v>
      </c>
      <c r="E581" s="12">
        <f>SUM(E568:E580)</f>
        <v>133826531</v>
      </c>
      <c r="F581" s="4">
        <f t="shared" ref="F581:M581" si="224">SUM(F568:F580)</f>
        <v>1388017</v>
      </c>
      <c r="G581" s="12">
        <f t="shared" si="224"/>
        <v>95148435</v>
      </c>
      <c r="H581" s="4">
        <f t="shared" si="224"/>
        <v>697195</v>
      </c>
      <c r="I581" s="12">
        <f t="shared" si="224"/>
        <v>89038245</v>
      </c>
      <c r="J581" s="4">
        <f t="shared" si="224"/>
        <v>0</v>
      </c>
      <c r="K581" s="12">
        <f t="shared" si="224"/>
        <v>0</v>
      </c>
      <c r="L581" s="4">
        <f t="shared" si="224"/>
        <v>3909604</v>
      </c>
      <c r="M581" s="12">
        <f t="shared" si="224"/>
        <v>318013211</v>
      </c>
    </row>
    <row r="582" spans="2:21" x14ac:dyDescent="0.25">
      <c r="P582"/>
      <c r="Q582"/>
      <c r="R582"/>
      <c r="S582"/>
      <c r="U582"/>
    </row>
    <row r="583" spans="2:21" x14ac:dyDescent="0.25">
      <c r="B583" s="5" t="s">
        <v>14</v>
      </c>
      <c r="P583"/>
      <c r="Q583"/>
      <c r="R583"/>
      <c r="S583"/>
      <c r="U583"/>
    </row>
    <row r="584" spans="2:21" x14ac:dyDescent="0.25">
      <c r="B584" s="5" t="s">
        <v>92</v>
      </c>
      <c r="P584"/>
      <c r="Q584"/>
      <c r="R584"/>
      <c r="S584"/>
      <c r="U584"/>
    </row>
    <row r="585" spans="2:21" x14ac:dyDescent="0.25">
      <c r="P585"/>
      <c r="Q585"/>
      <c r="R585"/>
      <c r="S585"/>
      <c r="U585"/>
    </row>
    <row r="586" spans="2:21" x14ac:dyDescent="0.25">
      <c r="D586" s="89" t="s">
        <v>15</v>
      </c>
      <c r="E586" s="90"/>
      <c r="F586" s="89" t="s">
        <v>72</v>
      </c>
      <c r="G586" s="90"/>
      <c r="H586" s="89" t="s">
        <v>16</v>
      </c>
      <c r="I586" s="90"/>
      <c r="J586" s="89" t="s">
        <v>73</v>
      </c>
      <c r="K586" s="90"/>
      <c r="L586" s="89" t="s">
        <v>70</v>
      </c>
      <c r="M586" s="90"/>
      <c r="N586" s="9"/>
      <c r="P586"/>
      <c r="Q586"/>
      <c r="R586"/>
      <c r="S586"/>
      <c r="U586"/>
    </row>
    <row r="587" spans="2:21" x14ac:dyDescent="0.25">
      <c r="B587" s="7" t="s">
        <v>0</v>
      </c>
      <c r="C587" s="7" t="s">
        <v>1</v>
      </c>
      <c r="D587" s="7" t="s">
        <v>2</v>
      </c>
      <c r="E587" s="10" t="s">
        <v>3</v>
      </c>
      <c r="F587" s="7" t="s">
        <v>2</v>
      </c>
      <c r="G587" s="10" t="s">
        <v>3</v>
      </c>
      <c r="H587" s="7" t="s">
        <v>2</v>
      </c>
      <c r="I587" s="10" t="s">
        <v>3</v>
      </c>
      <c r="J587" s="7" t="s">
        <v>2</v>
      </c>
      <c r="K587" s="10" t="s">
        <v>3</v>
      </c>
      <c r="L587" s="7" t="s">
        <v>2</v>
      </c>
      <c r="M587" s="10" t="s">
        <v>3</v>
      </c>
      <c r="N587" s="9"/>
      <c r="P587"/>
      <c r="Q587"/>
      <c r="R587"/>
      <c r="S587"/>
      <c r="U587"/>
    </row>
    <row r="588" spans="2:21" x14ac:dyDescent="0.25">
      <c r="N588" s="9"/>
      <c r="P588"/>
      <c r="Q588"/>
      <c r="R588"/>
      <c r="S588"/>
      <c r="U588"/>
    </row>
    <row r="589" spans="2:21" x14ac:dyDescent="0.25">
      <c r="B589" s="2" t="s">
        <v>5</v>
      </c>
      <c r="C589" s="2">
        <v>2026</v>
      </c>
      <c r="D589" s="1">
        <v>84245</v>
      </c>
      <c r="E589" s="48">
        <v>4734306</v>
      </c>
      <c r="F589" s="1">
        <v>62526</v>
      </c>
      <c r="G589" s="48">
        <v>3579264</v>
      </c>
      <c r="H589" s="1">
        <v>16101</v>
      </c>
      <c r="I589" s="48">
        <v>1504809</v>
      </c>
      <c r="J589" s="1"/>
      <c r="K589" s="48"/>
      <c r="L589" s="1">
        <f>+D589+F589+H589+J589</f>
        <v>162872</v>
      </c>
      <c r="M589" s="11">
        <f>+E589+G589+I589+K589</f>
        <v>9818379</v>
      </c>
      <c r="N589" s="39">
        <f t="shared" ref="N589:O600" si="225">+L589-N378</f>
        <v>0</v>
      </c>
      <c r="O589" s="13">
        <f t="shared" si="225"/>
        <v>0</v>
      </c>
      <c r="P589"/>
      <c r="Q589"/>
      <c r="R589"/>
      <c r="S589"/>
      <c r="U589"/>
    </row>
    <row r="590" spans="2:21" x14ac:dyDescent="0.25">
      <c r="B590" s="2" t="s">
        <v>6</v>
      </c>
      <c r="C590" s="2">
        <v>2026</v>
      </c>
      <c r="D590" s="1">
        <v>82381</v>
      </c>
      <c r="E590" s="48">
        <v>4671316</v>
      </c>
      <c r="F590" s="1">
        <v>60001</v>
      </c>
      <c r="G590" s="48">
        <v>3360884</v>
      </c>
      <c r="H590" s="1">
        <v>16121</v>
      </c>
      <c r="I590" s="48">
        <v>1466961</v>
      </c>
      <c r="J590" s="1"/>
      <c r="K590" s="48"/>
      <c r="L590" s="1">
        <f t="shared" ref="L590:M600" si="226">+D590+F590+H590+J590</f>
        <v>158503</v>
      </c>
      <c r="M590" s="11">
        <f t="shared" si="226"/>
        <v>9499161</v>
      </c>
      <c r="N590" s="39">
        <f t="shared" si="225"/>
        <v>0</v>
      </c>
      <c r="O590" s="13">
        <f t="shared" si="225"/>
        <v>0</v>
      </c>
      <c r="P590"/>
      <c r="Q590"/>
      <c r="R590"/>
      <c r="S590"/>
      <c r="U590"/>
    </row>
    <row r="591" spans="2:21" x14ac:dyDescent="0.25">
      <c r="B591" s="2" t="s">
        <v>7</v>
      </c>
      <c r="C591" s="2">
        <v>2026</v>
      </c>
      <c r="D591" s="1">
        <v>94575</v>
      </c>
      <c r="E591" s="48">
        <v>5399112</v>
      </c>
      <c r="F591" s="1">
        <v>68527</v>
      </c>
      <c r="G591" s="48">
        <v>3830798</v>
      </c>
      <c r="H591" s="1">
        <v>18639</v>
      </c>
      <c r="I591" s="48">
        <v>1628555</v>
      </c>
      <c r="J591" s="1"/>
      <c r="K591" s="48"/>
      <c r="L591" s="1">
        <f t="shared" si="226"/>
        <v>181741</v>
      </c>
      <c r="M591" s="11">
        <f t="shared" si="226"/>
        <v>10858465</v>
      </c>
      <c r="N591" s="39">
        <f t="shared" si="225"/>
        <v>0</v>
      </c>
      <c r="O591" s="13">
        <f t="shared" si="225"/>
        <v>0</v>
      </c>
      <c r="P591"/>
      <c r="Q591"/>
      <c r="R591"/>
      <c r="S591"/>
      <c r="U591"/>
    </row>
    <row r="592" spans="2:21" x14ac:dyDescent="0.25">
      <c r="B592" s="2" t="s">
        <v>8</v>
      </c>
      <c r="C592" s="2">
        <v>2026</v>
      </c>
      <c r="D592" s="1">
        <v>87784</v>
      </c>
      <c r="E592" s="48">
        <v>5003389</v>
      </c>
      <c r="F592" s="1">
        <v>61323</v>
      </c>
      <c r="G592" s="48">
        <v>3459344</v>
      </c>
      <c r="H592" s="1">
        <v>17638</v>
      </c>
      <c r="I592" s="48">
        <v>1599001</v>
      </c>
      <c r="J592" s="1"/>
      <c r="K592" s="48"/>
      <c r="L592" s="1">
        <f t="shared" si="226"/>
        <v>166745</v>
      </c>
      <c r="M592" s="11">
        <f t="shared" si="226"/>
        <v>10061734</v>
      </c>
      <c r="N592" s="39">
        <f t="shared" si="225"/>
        <v>0</v>
      </c>
      <c r="O592" s="13">
        <f t="shared" si="225"/>
        <v>0</v>
      </c>
      <c r="P592"/>
      <c r="Q592"/>
      <c r="R592"/>
      <c r="S592"/>
      <c r="U592"/>
    </row>
    <row r="593" spans="2:21" x14ac:dyDescent="0.25">
      <c r="B593" s="2" t="s">
        <v>9</v>
      </c>
      <c r="C593" s="2">
        <v>2026</v>
      </c>
      <c r="D593" s="1">
        <v>88003</v>
      </c>
      <c r="E593" s="48">
        <v>4821122</v>
      </c>
      <c r="F593" s="1">
        <v>62999</v>
      </c>
      <c r="G593" s="48">
        <v>3346870</v>
      </c>
      <c r="H593" s="1">
        <v>17642</v>
      </c>
      <c r="I593" s="48">
        <v>1528194</v>
      </c>
      <c r="J593" s="1"/>
      <c r="K593" s="48"/>
      <c r="L593" s="1">
        <f t="shared" si="226"/>
        <v>168644</v>
      </c>
      <c r="M593" s="11">
        <f t="shared" si="226"/>
        <v>9696186</v>
      </c>
      <c r="N593" s="39">
        <f t="shared" si="225"/>
        <v>0</v>
      </c>
      <c r="O593" s="13">
        <f t="shared" si="225"/>
        <v>0</v>
      </c>
      <c r="P593"/>
      <c r="Q593"/>
      <c r="R593"/>
      <c r="S593"/>
      <c r="U593"/>
    </row>
    <row r="594" spans="2:21" x14ac:dyDescent="0.25">
      <c r="B594" s="2" t="s">
        <v>10</v>
      </c>
      <c r="C594" s="2">
        <v>2026</v>
      </c>
      <c r="D594" s="1">
        <v>80082</v>
      </c>
      <c r="E594" s="48">
        <v>4484447</v>
      </c>
      <c r="F594" s="1">
        <v>56102</v>
      </c>
      <c r="G594" s="48">
        <v>3103873</v>
      </c>
      <c r="H594" s="1">
        <v>17020</v>
      </c>
      <c r="I594" s="48">
        <v>1517864</v>
      </c>
      <c r="J594" s="1"/>
      <c r="K594" s="48"/>
      <c r="L594" s="1">
        <f t="shared" si="226"/>
        <v>153204</v>
      </c>
      <c r="M594" s="11">
        <f t="shared" si="226"/>
        <v>9106184</v>
      </c>
      <c r="N594" s="39">
        <f t="shared" si="225"/>
        <v>0</v>
      </c>
      <c r="O594" s="13">
        <f t="shared" si="225"/>
        <v>0</v>
      </c>
      <c r="P594"/>
      <c r="Q594"/>
      <c r="R594"/>
      <c r="S594"/>
      <c r="U594"/>
    </row>
    <row r="595" spans="2:21" x14ac:dyDescent="0.25">
      <c r="B595" s="2" t="s">
        <v>11</v>
      </c>
      <c r="C595" s="2">
        <v>2026</v>
      </c>
      <c r="D595" s="1"/>
      <c r="E595" s="48"/>
      <c r="F595" s="1"/>
      <c r="G595" s="48"/>
      <c r="H595" s="1"/>
      <c r="I595" s="48"/>
      <c r="J595" s="1"/>
      <c r="K595" s="48"/>
      <c r="L595" s="1">
        <f t="shared" si="226"/>
        <v>0</v>
      </c>
      <c r="M595" s="11">
        <f t="shared" si="226"/>
        <v>0</v>
      </c>
      <c r="N595" s="39">
        <f t="shared" si="225"/>
        <v>0</v>
      </c>
      <c r="O595" s="13">
        <f t="shared" si="225"/>
        <v>0</v>
      </c>
      <c r="P595"/>
      <c r="Q595"/>
      <c r="R595"/>
      <c r="S595"/>
      <c r="U595"/>
    </row>
    <row r="596" spans="2:21" x14ac:dyDescent="0.25">
      <c r="B596" s="2" t="s">
        <v>4</v>
      </c>
      <c r="C596" s="2">
        <v>2026</v>
      </c>
      <c r="D596" s="1"/>
      <c r="E596" s="48"/>
      <c r="F596" s="1"/>
      <c r="G596" s="48"/>
      <c r="H596" s="1"/>
      <c r="I596" s="48"/>
      <c r="J596" s="1"/>
      <c r="K596" s="48"/>
      <c r="L596" s="1">
        <f t="shared" si="226"/>
        <v>0</v>
      </c>
      <c r="M596" s="11">
        <f t="shared" si="226"/>
        <v>0</v>
      </c>
      <c r="N596" s="39">
        <f t="shared" si="225"/>
        <v>0</v>
      </c>
      <c r="O596" s="13">
        <f t="shared" si="225"/>
        <v>0</v>
      </c>
      <c r="P596"/>
      <c r="Q596"/>
      <c r="R596"/>
      <c r="S596"/>
      <c r="U596"/>
    </row>
    <row r="597" spans="2:21" x14ac:dyDescent="0.25">
      <c r="B597" s="2" t="s">
        <v>28</v>
      </c>
      <c r="C597" s="2">
        <v>2026</v>
      </c>
      <c r="D597" s="1"/>
      <c r="E597" s="48"/>
      <c r="F597" s="1"/>
      <c r="G597" s="48"/>
      <c r="H597" s="1"/>
      <c r="I597" s="48"/>
      <c r="J597" s="1"/>
      <c r="K597" s="48"/>
      <c r="L597" s="1">
        <f t="shared" si="226"/>
        <v>0</v>
      </c>
      <c r="M597" s="11">
        <f t="shared" si="226"/>
        <v>0</v>
      </c>
      <c r="N597" s="39">
        <f t="shared" si="225"/>
        <v>0</v>
      </c>
      <c r="O597" s="13">
        <f t="shared" si="225"/>
        <v>0</v>
      </c>
      <c r="P597"/>
      <c r="Q597"/>
      <c r="R597"/>
      <c r="S597"/>
      <c r="U597"/>
    </row>
    <row r="598" spans="2:21" x14ac:dyDescent="0.25">
      <c r="B598" s="2" t="s">
        <v>29</v>
      </c>
      <c r="C598" s="2">
        <v>2026</v>
      </c>
      <c r="D598" s="1"/>
      <c r="E598" s="48"/>
      <c r="F598" s="1"/>
      <c r="G598" s="48"/>
      <c r="H598" s="1"/>
      <c r="I598" s="48"/>
      <c r="J598" s="1"/>
      <c r="K598" s="48"/>
      <c r="L598" s="1">
        <f t="shared" si="226"/>
        <v>0</v>
      </c>
      <c r="M598" s="11">
        <f t="shared" si="226"/>
        <v>0</v>
      </c>
      <c r="N598" s="39">
        <f t="shared" si="225"/>
        <v>0</v>
      </c>
      <c r="O598" s="13">
        <f t="shared" si="225"/>
        <v>0</v>
      </c>
      <c r="P598"/>
      <c r="Q598"/>
      <c r="R598"/>
      <c r="S598"/>
      <c r="U598"/>
    </row>
    <row r="599" spans="2:21" x14ac:dyDescent="0.25">
      <c r="B599" s="2" t="s">
        <v>30</v>
      </c>
      <c r="C599" s="2">
        <v>2026</v>
      </c>
      <c r="D599" s="1"/>
      <c r="E599" s="48"/>
      <c r="F599" s="1"/>
      <c r="G599" s="48"/>
      <c r="H599" s="1"/>
      <c r="I599" s="48"/>
      <c r="J599" s="1"/>
      <c r="K599" s="48"/>
      <c r="L599" s="1">
        <f t="shared" si="226"/>
        <v>0</v>
      </c>
      <c r="M599" s="11">
        <f t="shared" si="226"/>
        <v>0</v>
      </c>
      <c r="N599" s="39">
        <f t="shared" si="225"/>
        <v>0</v>
      </c>
      <c r="O599" s="13">
        <f t="shared" si="225"/>
        <v>0</v>
      </c>
      <c r="P599"/>
      <c r="Q599"/>
      <c r="R599"/>
      <c r="S599"/>
      <c r="U599"/>
    </row>
    <row r="600" spans="2:21" x14ac:dyDescent="0.25">
      <c r="B600" s="2" t="s">
        <v>31</v>
      </c>
      <c r="C600" s="2">
        <v>2026</v>
      </c>
      <c r="D600" s="1"/>
      <c r="E600" s="48"/>
      <c r="F600" s="1"/>
      <c r="G600" s="48"/>
      <c r="H600" s="1"/>
      <c r="I600" s="48"/>
      <c r="J600" s="1"/>
      <c r="K600" s="48"/>
      <c r="L600" s="1">
        <f t="shared" si="226"/>
        <v>0</v>
      </c>
      <c r="M600" s="11">
        <f t="shared" si="226"/>
        <v>0</v>
      </c>
      <c r="N600" s="39">
        <f t="shared" si="225"/>
        <v>0</v>
      </c>
      <c r="O600" s="13">
        <f t="shared" si="225"/>
        <v>0</v>
      </c>
      <c r="P600"/>
      <c r="Q600"/>
      <c r="R600"/>
      <c r="S600"/>
      <c r="U600"/>
    </row>
    <row r="601" spans="2:21" x14ac:dyDescent="0.25">
      <c r="P601"/>
      <c r="Q601"/>
      <c r="R601"/>
      <c r="S601"/>
      <c r="U601"/>
    </row>
    <row r="602" spans="2:21" x14ac:dyDescent="0.25">
      <c r="B602" s="88" t="s">
        <v>12</v>
      </c>
      <c r="C602" s="88"/>
      <c r="D602" s="4">
        <f>SUM(D589:D601)</f>
        <v>517070</v>
      </c>
      <c r="E602" s="12">
        <f>SUM(E589:E601)</f>
        <v>29113692</v>
      </c>
      <c r="F602" s="4">
        <f t="shared" ref="F602:M602" si="227">SUM(F589:F601)</f>
        <v>371478</v>
      </c>
      <c r="G602" s="12">
        <f t="shared" si="227"/>
        <v>20681033</v>
      </c>
      <c r="H602" s="4">
        <f t="shared" si="227"/>
        <v>103161</v>
      </c>
      <c r="I602" s="12">
        <f t="shared" si="227"/>
        <v>9245384</v>
      </c>
      <c r="J602" s="4">
        <f t="shared" si="227"/>
        <v>0</v>
      </c>
      <c r="K602" s="12">
        <f t="shared" si="227"/>
        <v>0</v>
      </c>
      <c r="L602" s="4">
        <f t="shared" si="227"/>
        <v>991709</v>
      </c>
      <c r="M602" s="12">
        <f t="shared" si="227"/>
        <v>59040109</v>
      </c>
      <c r="P602"/>
      <c r="Q602"/>
      <c r="R602"/>
      <c r="S602"/>
      <c r="U602"/>
    </row>
    <row r="604" spans="2:21" x14ac:dyDescent="0.25">
      <c r="B604" s="5" t="s">
        <v>14</v>
      </c>
    </row>
    <row r="605" spans="2:21" x14ac:dyDescent="0.25">
      <c r="B605" s="5" t="s">
        <v>114</v>
      </c>
    </row>
    <row r="607" spans="2:21" x14ac:dyDescent="0.25">
      <c r="D607" s="89" t="s">
        <v>15</v>
      </c>
      <c r="E607" s="90"/>
      <c r="F607" s="89" t="s">
        <v>72</v>
      </c>
      <c r="G607" s="90"/>
      <c r="H607" s="89" t="s">
        <v>16</v>
      </c>
      <c r="I607" s="90"/>
      <c r="J607" s="89" t="s">
        <v>73</v>
      </c>
      <c r="K607" s="90"/>
      <c r="L607" s="89" t="s">
        <v>70</v>
      </c>
      <c r="M607" s="90"/>
      <c r="N607" s="9"/>
    </row>
    <row r="608" spans="2:21" x14ac:dyDescent="0.25">
      <c r="B608" s="7" t="s">
        <v>0</v>
      </c>
      <c r="C608" s="7" t="s">
        <v>1</v>
      </c>
      <c r="D608" s="7" t="s">
        <v>2</v>
      </c>
      <c r="E608" s="10" t="s">
        <v>3</v>
      </c>
      <c r="F608" s="7" t="s">
        <v>2</v>
      </c>
      <c r="G608" s="10" t="s">
        <v>3</v>
      </c>
      <c r="H608" s="7" t="s">
        <v>2</v>
      </c>
      <c r="I608" s="10" t="s">
        <v>3</v>
      </c>
      <c r="J608" s="7" t="s">
        <v>2</v>
      </c>
      <c r="K608" s="10" t="s">
        <v>3</v>
      </c>
      <c r="L608" s="7" t="s">
        <v>2</v>
      </c>
      <c r="M608" s="10" t="s">
        <v>3</v>
      </c>
      <c r="N608" s="9"/>
    </row>
    <row r="609" spans="2:15" x14ac:dyDescent="0.25">
      <c r="N609" s="9"/>
    </row>
    <row r="610" spans="2:15" x14ac:dyDescent="0.25">
      <c r="B610" s="2" t="s">
        <v>5</v>
      </c>
      <c r="C610" s="2">
        <v>2026</v>
      </c>
      <c r="D610" s="1">
        <f>+D547+D526+D505+D463+D421+D400+D568+D589+D442+D484</f>
        <v>2805324</v>
      </c>
      <c r="E610" s="11">
        <f t="shared" ref="E610:K610" si="228">+E547+E526+E505+E463+E421+E400+E568+E589+E442+E484</f>
        <v>368572873.12</v>
      </c>
      <c r="F610" s="1">
        <f t="shared" si="228"/>
        <v>1324228</v>
      </c>
      <c r="G610" s="11">
        <f t="shared" si="228"/>
        <v>181010872.01999998</v>
      </c>
      <c r="H610" s="1">
        <f t="shared" si="228"/>
        <v>1582954</v>
      </c>
      <c r="I610" s="11">
        <f t="shared" si="228"/>
        <v>329948508.12</v>
      </c>
      <c r="J610" s="1">
        <f t="shared" si="228"/>
        <v>0</v>
      </c>
      <c r="K610" s="11">
        <f t="shared" si="228"/>
        <v>0</v>
      </c>
      <c r="L610" s="1">
        <f>+D610+F610+H610+J610</f>
        <v>5712506</v>
      </c>
      <c r="M610" s="11">
        <f>+E610+G610+I610+K610</f>
        <v>879532253.25999999</v>
      </c>
      <c r="N610" s="39">
        <f t="shared" ref="N610:O621" si="229">+L610-X378</f>
        <v>0</v>
      </c>
      <c r="O610" s="13">
        <f t="shared" si="229"/>
        <v>0</v>
      </c>
    </row>
    <row r="611" spans="2:15" x14ac:dyDescent="0.25">
      <c r="B611" s="2" t="s">
        <v>6</v>
      </c>
      <c r="C611" s="2">
        <v>2026</v>
      </c>
      <c r="D611" s="1">
        <f t="shared" ref="D611:K621" si="230">+D548+D527+D506+D464+D422+D401+D569+D590+D443+D485</f>
        <v>2400472</v>
      </c>
      <c r="E611" s="11">
        <f t="shared" si="230"/>
        <v>318008962.74000001</v>
      </c>
      <c r="F611" s="1">
        <f t="shared" si="230"/>
        <v>1217600</v>
      </c>
      <c r="G611" s="11">
        <f t="shared" si="230"/>
        <v>164242195.59</v>
      </c>
      <c r="H611" s="1">
        <f t="shared" si="230"/>
        <v>1366261</v>
      </c>
      <c r="I611" s="11">
        <f t="shared" si="230"/>
        <v>282237342.47000003</v>
      </c>
      <c r="J611" s="1">
        <f t="shared" si="230"/>
        <v>0</v>
      </c>
      <c r="K611" s="11">
        <f t="shared" si="230"/>
        <v>0</v>
      </c>
      <c r="L611" s="1">
        <f t="shared" ref="L611:M621" si="231">+D611+F611+H611+J611</f>
        <v>4984333</v>
      </c>
      <c r="M611" s="11">
        <f t="shared" si="231"/>
        <v>764488500.80000007</v>
      </c>
      <c r="N611" s="39">
        <f t="shared" si="229"/>
        <v>0</v>
      </c>
      <c r="O611" s="13">
        <f t="shared" si="229"/>
        <v>0</v>
      </c>
    </row>
    <row r="612" spans="2:15" x14ac:dyDescent="0.25">
      <c r="B612" s="2" t="s">
        <v>7</v>
      </c>
      <c r="C612" s="2">
        <v>2026</v>
      </c>
      <c r="D612" s="1">
        <f t="shared" si="230"/>
        <v>2759109</v>
      </c>
      <c r="E612" s="11">
        <f t="shared" si="230"/>
        <v>373632115.29000002</v>
      </c>
      <c r="F612" s="1">
        <f t="shared" si="230"/>
        <v>1367971</v>
      </c>
      <c r="G612" s="11">
        <f t="shared" si="230"/>
        <v>186400308.59</v>
      </c>
      <c r="H612" s="1">
        <f t="shared" si="230"/>
        <v>1570768</v>
      </c>
      <c r="I612" s="11">
        <f t="shared" si="230"/>
        <v>323994136.51999998</v>
      </c>
      <c r="J612" s="1">
        <f t="shared" si="230"/>
        <v>0</v>
      </c>
      <c r="K612" s="11">
        <f t="shared" si="230"/>
        <v>0</v>
      </c>
      <c r="L612" s="1">
        <f t="shared" si="231"/>
        <v>5697848</v>
      </c>
      <c r="M612" s="11">
        <f t="shared" si="231"/>
        <v>884026560.39999998</v>
      </c>
      <c r="N612" s="39">
        <f t="shared" si="229"/>
        <v>0</v>
      </c>
      <c r="O612" s="13">
        <f t="shared" si="229"/>
        <v>0</v>
      </c>
    </row>
    <row r="613" spans="2:15" x14ac:dyDescent="0.25">
      <c r="B613" s="2" t="s">
        <v>8</v>
      </c>
      <c r="C613" s="2">
        <v>2026</v>
      </c>
      <c r="D613" s="1">
        <f t="shared" si="230"/>
        <v>2667017</v>
      </c>
      <c r="E613" s="11">
        <f t="shared" si="230"/>
        <v>373897892.44999999</v>
      </c>
      <c r="F613" s="1">
        <f t="shared" si="230"/>
        <v>1226856</v>
      </c>
      <c r="G613" s="11">
        <f t="shared" si="230"/>
        <v>175945979.01000002</v>
      </c>
      <c r="H613" s="1">
        <f t="shared" si="230"/>
        <v>1539512</v>
      </c>
      <c r="I613" s="11">
        <f t="shared" si="230"/>
        <v>330764011.77999997</v>
      </c>
      <c r="J613" s="1">
        <f t="shared" si="230"/>
        <v>0</v>
      </c>
      <c r="K613" s="11">
        <f t="shared" si="230"/>
        <v>0</v>
      </c>
      <c r="L613" s="1">
        <f t="shared" si="231"/>
        <v>5433385</v>
      </c>
      <c r="M613" s="11">
        <f t="shared" si="231"/>
        <v>880607883.24000001</v>
      </c>
      <c r="N613" s="39">
        <f t="shared" si="229"/>
        <v>0</v>
      </c>
      <c r="O613" s="13">
        <f t="shared" si="229"/>
        <v>0</v>
      </c>
    </row>
    <row r="614" spans="2:15" x14ac:dyDescent="0.25">
      <c r="B614" s="2" t="s">
        <v>9</v>
      </c>
      <c r="C614" s="2">
        <v>2026</v>
      </c>
      <c r="D614" s="1">
        <f t="shared" si="230"/>
        <v>2614458</v>
      </c>
      <c r="E614" s="11">
        <f t="shared" si="230"/>
        <v>374232232.28000003</v>
      </c>
      <c r="F614" s="1">
        <f t="shared" si="230"/>
        <v>1257457</v>
      </c>
      <c r="G614" s="11">
        <f t="shared" si="230"/>
        <v>183613026.77000001</v>
      </c>
      <c r="H614" s="1">
        <f t="shared" si="230"/>
        <v>1630111</v>
      </c>
      <c r="I614" s="11">
        <f t="shared" si="230"/>
        <v>359603664.27000004</v>
      </c>
      <c r="J614" s="1">
        <f t="shared" si="230"/>
        <v>0</v>
      </c>
      <c r="K614" s="11">
        <f t="shared" si="230"/>
        <v>0</v>
      </c>
      <c r="L614" s="1">
        <f t="shared" si="231"/>
        <v>5502026</v>
      </c>
      <c r="M614" s="11">
        <f t="shared" si="231"/>
        <v>917448923.32000017</v>
      </c>
      <c r="N614" s="39">
        <f t="shared" si="229"/>
        <v>0</v>
      </c>
      <c r="O614" s="13">
        <f t="shared" si="229"/>
        <v>0</v>
      </c>
    </row>
    <row r="615" spans="2:15" x14ac:dyDescent="0.25">
      <c r="B615" s="2" t="s">
        <v>10</v>
      </c>
      <c r="C615" s="2">
        <v>2026</v>
      </c>
      <c r="D615" s="1">
        <f t="shared" si="230"/>
        <v>2354059</v>
      </c>
      <c r="E615" s="11">
        <f t="shared" si="230"/>
        <v>339405005.78999996</v>
      </c>
      <c r="F615" s="1">
        <f t="shared" si="230"/>
        <v>1161453</v>
      </c>
      <c r="G615" s="11">
        <f t="shared" si="230"/>
        <v>171681242.37</v>
      </c>
      <c r="H615" s="1">
        <f t="shared" si="230"/>
        <v>1519890</v>
      </c>
      <c r="I615" s="11">
        <f t="shared" si="230"/>
        <v>334960834.99999994</v>
      </c>
      <c r="J615" s="1">
        <f t="shared" si="230"/>
        <v>0</v>
      </c>
      <c r="K615" s="11">
        <f t="shared" si="230"/>
        <v>0</v>
      </c>
      <c r="L615" s="1">
        <f t="shared" si="231"/>
        <v>5035402</v>
      </c>
      <c r="M615" s="11">
        <f t="shared" si="231"/>
        <v>846047083.15999985</v>
      </c>
      <c r="N615" s="39">
        <f t="shared" si="229"/>
        <v>0</v>
      </c>
      <c r="O615" s="13">
        <f t="shared" si="229"/>
        <v>0</v>
      </c>
    </row>
    <row r="616" spans="2:15" x14ac:dyDescent="0.25">
      <c r="B616" s="2" t="s">
        <v>11</v>
      </c>
      <c r="C616" s="2">
        <v>2026</v>
      </c>
      <c r="D616" s="1">
        <f t="shared" si="230"/>
        <v>0</v>
      </c>
      <c r="E616" s="11">
        <f t="shared" si="230"/>
        <v>0</v>
      </c>
      <c r="F616" s="1">
        <f t="shared" si="230"/>
        <v>0</v>
      </c>
      <c r="G616" s="11">
        <f t="shared" si="230"/>
        <v>0</v>
      </c>
      <c r="H616" s="1">
        <f t="shared" si="230"/>
        <v>0</v>
      </c>
      <c r="I616" s="11">
        <f t="shared" si="230"/>
        <v>0</v>
      </c>
      <c r="J616" s="1">
        <f t="shared" si="230"/>
        <v>0</v>
      </c>
      <c r="K616" s="11">
        <f t="shared" si="230"/>
        <v>0</v>
      </c>
      <c r="L616" s="1">
        <f t="shared" si="231"/>
        <v>0</v>
      </c>
      <c r="M616" s="11">
        <f t="shared" si="231"/>
        <v>0</v>
      </c>
      <c r="N616" s="39">
        <f t="shared" si="229"/>
        <v>0</v>
      </c>
      <c r="O616" s="13">
        <f t="shared" si="229"/>
        <v>0</v>
      </c>
    </row>
    <row r="617" spans="2:15" x14ac:dyDescent="0.25">
      <c r="B617" s="2" t="s">
        <v>4</v>
      </c>
      <c r="C617" s="2">
        <v>2026</v>
      </c>
      <c r="D617" s="1">
        <f t="shared" si="230"/>
        <v>0</v>
      </c>
      <c r="E617" s="11">
        <f t="shared" si="230"/>
        <v>0</v>
      </c>
      <c r="F617" s="1">
        <f t="shared" si="230"/>
        <v>0</v>
      </c>
      <c r="G617" s="11">
        <f t="shared" si="230"/>
        <v>0</v>
      </c>
      <c r="H617" s="1">
        <f t="shared" si="230"/>
        <v>0</v>
      </c>
      <c r="I617" s="11">
        <f t="shared" si="230"/>
        <v>0</v>
      </c>
      <c r="J617" s="1">
        <f t="shared" si="230"/>
        <v>0</v>
      </c>
      <c r="K617" s="11">
        <f t="shared" si="230"/>
        <v>0</v>
      </c>
      <c r="L617" s="1">
        <f t="shared" si="231"/>
        <v>0</v>
      </c>
      <c r="M617" s="11">
        <f t="shared" si="231"/>
        <v>0</v>
      </c>
      <c r="N617" s="39">
        <f t="shared" si="229"/>
        <v>0</v>
      </c>
      <c r="O617" s="13">
        <f t="shared" si="229"/>
        <v>0</v>
      </c>
    </row>
    <row r="618" spans="2:15" x14ac:dyDescent="0.25">
      <c r="B618" s="2" t="s">
        <v>28</v>
      </c>
      <c r="C618" s="2">
        <v>2026</v>
      </c>
      <c r="D618" s="1">
        <f t="shared" si="230"/>
        <v>0</v>
      </c>
      <c r="E618" s="11">
        <f t="shared" si="230"/>
        <v>0</v>
      </c>
      <c r="F618" s="1">
        <f t="shared" si="230"/>
        <v>0</v>
      </c>
      <c r="G618" s="11">
        <f t="shared" si="230"/>
        <v>0</v>
      </c>
      <c r="H618" s="1">
        <f t="shared" si="230"/>
        <v>0</v>
      </c>
      <c r="I618" s="11">
        <f t="shared" si="230"/>
        <v>0</v>
      </c>
      <c r="J618" s="1">
        <f t="shared" si="230"/>
        <v>0</v>
      </c>
      <c r="K618" s="11">
        <f t="shared" si="230"/>
        <v>0</v>
      </c>
      <c r="L618" s="1">
        <f t="shared" si="231"/>
        <v>0</v>
      </c>
      <c r="M618" s="11">
        <f t="shared" si="231"/>
        <v>0</v>
      </c>
      <c r="N618" s="39">
        <f t="shared" si="229"/>
        <v>0</v>
      </c>
      <c r="O618" s="13">
        <f t="shared" si="229"/>
        <v>0</v>
      </c>
    </row>
    <row r="619" spans="2:15" x14ac:dyDescent="0.25">
      <c r="B619" s="2" t="s">
        <v>29</v>
      </c>
      <c r="C619" s="2">
        <v>2026</v>
      </c>
      <c r="D619" s="1">
        <f t="shared" si="230"/>
        <v>0</v>
      </c>
      <c r="E619" s="11">
        <f t="shared" si="230"/>
        <v>0</v>
      </c>
      <c r="F619" s="1">
        <f t="shared" si="230"/>
        <v>0</v>
      </c>
      <c r="G619" s="11">
        <f t="shared" si="230"/>
        <v>0</v>
      </c>
      <c r="H619" s="1">
        <f t="shared" si="230"/>
        <v>0</v>
      </c>
      <c r="I619" s="11">
        <f t="shared" si="230"/>
        <v>0</v>
      </c>
      <c r="J619" s="1">
        <f t="shared" si="230"/>
        <v>0</v>
      </c>
      <c r="K619" s="11">
        <f t="shared" si="230"/>
        <v>0</v>
      </c>
      <c r="L619" s="1">
        <f t="shared" si="231"/>
        <v>0</v>
      </c>
      <c r="M619" s="11">
        <f t="shared" si="231"/>
        <v>0</v>
      </c>
      <c r="N619" s="39">
        <f t="shared" si="229"/>
        <v>0</v>
      </c>
      <c r="O619" s="13">
        <f t="shared" si="229"/>
        <v>0</v>
      </c>
    </row>
    <row r="620" spans="2:15" x14ac:dyDescent="0.25">
      <c r="B620" s="2" t="s">
        <v>30</v>
      </c>
      <c r="C620" s="2">
        <v>2026</v>
      </c>
      <c r="D620" s="1">
        <f t="shared" si="230"/>
        <v>0</v>
      </c>
      <c r="E620" s="11">
        <f t="shared" si="230"/>
        <v>0</v>
      </c>
      <c r="F620" s="1">
        <f t="shared" si="230"/>
        <v>0</v>
      </c>
      <c r="G620" s="11">
        <f t="shared" si="230"/>
        <v>0</v>
      </c>
      <c r="H620" s="1">
        <f t="shared" si="230"/>
        <v>0</v>
      </c>
      <c r="I620" s="11">
        <f t="shared" si="230"/>
        <v>0</v>
      </c>
      <c r="J620" s="1">
        <f t="shared" si="230"/>
        <v>0</v>
      </c>
      <c r="K620" s="11">
        <f t="shared" si="230"/>
        <v>0</v>
      </c>
      <c r="L620" s="1">
        <f t="shared" si="231"/>
        <v>0</v>
      </c>
      <c r="M620" s="11">
        <f t="shared" si="231"/>
        <v>0</v>
      </c>
      <c r="N620" s="39">
        <f t="shared" si="229"/>
        <v>0</v>
      </c>
      <c r="O620" s="13">
        <f t="shared" si="229"/>
        <v>0</v>
      </c>
    </row>
    <row r="621" spans="2:15" x14ac:dyDescent="0.25">
      <c r="B621" s="2" t="s">
        <v>31</v>
      </c>
      <c r="C621" s="2">
        <v>2026</v>
      </c>
      <c r="D621" s="1">
        <f t="shared" si="230"/>
        <v>0</v>
      </c>
      <c r="E621" s="11">
        <f t="shared" si="230"/>
        <v>0</v>
      </c>
      <c r="F621" s="1">
        <f t="shared" si="230"/>
        <v>0</v>
      </c>
      <c r="G621" s="11">
        <f t="shared" si="230"/>
        <v>0</v>
      </c>
      <c r="H621" s="1">
        <f t="shared" si="230"/>
        <v>0</v>
      </c>
      <c r="I621" s="11">
        <f t="shared" si="230"/>
        <v>0</v>
      </c>
      <c r="J621" s="1">
        <f t="shared" si="230"/>
        <v>0</v>
      </c>
      <c r="K621" s="11">
        <f t="shared" si="230"/>
        <v>0</v>
      </c>
      <c r="L621" s="1">
        <f t="shared" si="231"/>
        <v>0</v>
      </c>
      <c r="M621" s="11">
        <f t="shared" si="231"/>
        <v>0</v>
      </c>
      <c r="N621" s="39">
        <f t="shared" si="229"/>
        <v>0</v>
      </c>
      <c r="O621" s="13">
        <f t="shared" si="229"/>
        <v>0</v>
      </c>
    </row>
    <row r="623" spans="2:15" x14ac:dyDescent="0.25">
      <c r="B623" s="88" t="s">
        <v>12</v>
      </c>
      <c r="C623" s="88"/>
      <c r="D623" s="4">
        <f>SUM(D610:D622)</f>
        <v>15600439</v>
      </c>
      <c r="E623" s="12">
        <f>SUM(E610:E622)</f>
        <v>2147749081.6700001</v>
      </c>
      <c r="F623" s="4">
        <f t="shared" ref="F623:M623" si="232">SUM(F610:F622)</f>
        <v>7555565</v>
      </c>
      <c r="G623" s="12">
        <f t="shared" si="232"/>
        <v>1062893624.35</v>
      </c>
      <c r="H623" s="4">
        <f t="shared" si="232"/>
        <v>9209496</v>
      </c>
      <c r="I623" s="12">
        <f t="shared" si="232"/>
        <v>1961508498.1599998</v>
      </c>
      <c r="J623" s="4">
        <f t="shared" si="232"/>
        <v>0</v>
      </c>
      <c r="K623" s="12">
        <f t="shared" si="232"/>
        <v>0</v>
      </c>
      <c r="L623" s="4">
        <f t="shared" si="232"/>
        <v>32365500</v>
      </c>
      <c r="M623" s="12">
        <f t="shared" si="232"/>
        <v>5172151204.1800003</v>
      </c>
    </row>
    <row r="624" spans="2:15" x14ac:dyDescent="0.25">
      <c r="E624" s="29">
        <f>E623/$M$623</f>
        <v>0.41525257032977769</v>
      </c>
      <c r="G624" s="29">
        <f>G623/$M$623</f>
        <v>0.20550320019472681</v>
      </c>
      <c r="I624" s="29">
        <f>I623/$M$623</f>
        <v>0.37924422947549541</v>
      </c>
      <c r="K624" s="29">
        <f>K623/$M$623</f>
        <v>0</v>
      </c>
    </row>
    <row r="625" spans="1:20" x14ac:dyDescent="0.25">
      <c r="F625"/>
      <c r="G625"/>
      <c r="I625"/>
      <c r="K625"/>
      <c r="M625"/>
    </row>
    <row r="626" spans="1:20" collapsed="1" x14ac:dyDescent="0.25">
      <c r="A626" s="5" t="s">
        <v>14</v>
      </c>
    </row>
    <row r="627" spans="1:20" x14ac:dyDescent="0.25">
      <c r="A627" s="5" t="s">
        <v>115</v>
      </c>
    </row>
    <row r="628" spans="1:20" x14ac:dyDescent="0.25">
      <c r="F628"/>
      <c r="G628"/>
      <c r="I628"/>
      <c r="K628"/>
    </row>
    <row r="629" spans="1:20" ht="28.5" customHeight="1" x14ac:dyDescent="0.25">
      <c r="D629" s="89" t="s">
        <v>108</v>
      </c>
      <c r="E629" s="90"/>
      <c r="F629" s="89" t="s">
        <v>109</v>
      </c>
      <c r="G629" s="90"/>
      <c r="H629" s="89" t="s">
        <v>113</v>
      </c>
      <c r="I629" s="90"/>
      <c r="J629" s="89" t="s">
        <v>100</v>
      </c>
      <c r="K629" s="90"/>
      <c r="L629" s="89" t="s">
        <v>110</v>
      </c>
      <c r="M629" s="90"/>
      <c r="O629"/>
      <c r="P629"/>
      <c r="T629" s="9"/>
    </row>
    <row r="630" spans="1:20" x14ac:dyDescent="0.25">
      <c r="B630" s="7" t="s">
        <v>0</v>
      </c>
      <c r="C630" s="7" t="s">
        <v>1</v>
      </c>
      <c r="D630" s="7" t="s">
        <v>2</v>
      </c>
      <c r="E630" s="10" t="s">
        <v>3</v>
      </c>
      <c r="F630" s="7" t="s">
        <v>2</v>
      </c>
      <c r="G630" s="10" t="s">
        <v>3</v>
      </c>
      <c r="H630" s="7" t="s">
        <v>2</v>
      </c>
      <c r="I630" s="10" t="s">
        <v>3</v>
      </c>
      <c r="J630" s="7" t="s">
        <v>2</v>
      </c>
      <c r="K630" s="10" t="s">
        <v>3</v>
      </c>
      <c r="L630" s="7" t="s">
        <v>2</v>
      </c>
      <c r="M630" s="10" t="s">
        <v>3</v>
      </c>
      <c r="O630"/>
      <c r="P630"/>
      <c r="T630" s="9"/>
    </row>
    <row r="631" spans="1:20" x14ac:dyDescent="0.25">
      <c r="E631"/>
      <c r="F631"/>
      <c r="G631"/>
      <c r="I631"/>
      <c r="K631"/>
      <c r="M631"/>
      <c r="O631"/>
      <c r="P631"/>
      <c r="T631" s="9"/>
    </row>
    <row r="632" spans="1:20" x14ac:dyDescent="0.25">
      <c r="B632" s="2" t="s">
        <v>5</v>
      </c>
      <c r="C632" s="2">
        <v>2026</v>
      </c>
      <c r="D632" s="1">
        <f>+D357+F357+H357</f>
        <v>3498999</v>
      </c>
      <c r="E632" s="11">
        <f t="shared" ref="D632:E643" si="233">+E357+G357+I357</f>
        <v>266700196.31999999</v>
      </c>
      <c r="F632" s="1">
        <f>+X378</f>
        <v>5712506</v>
      </c>
      <c r="G632" s="11">
        <f t="shared" ref="F632:G643" si="234">+Y378</f>
        <v>879532253.25999999</v>
      </c>
      <c r="H632" s="1">
        <f>+D632+F632</f>
        <v>9211505</v>
      </c>
      <c r="I632" s="11">
        <f t="shared" ref="I632:I643" si="235">+E632+G632</f>
        <v>1146232449.5799999</v>
      </c>
      <c r="J632" s="1">
        <f>+J357+L357+N357+P357+R357</f>
        <v>11818033</v>
      </c>
      <c r="K632" s="11">
        <f t="shared" ref="J632:K643" si="236">+K357+M357+O357+Q357+S357</f>
        <v>1221814611.52</v>
      </c>
      <c r="L632" s="1">
        <f>H632+J632</f>
        <v>21029538</v>
      </c>
      <c r="M632" s="11">
        <f t="shared" ref="M632:M643" si="237">I632+K632</f>
        <v>2368047061.0999999</v>
      </c>
      <c r="N632" s="37">
        <f t="shared" ref="N632:O643" si="238">+L632-X378-T357</f>
        <v>0</v>
      </c>
      <c r="O632" s="13">
        <f t="shared" si="238"/>
        <v>0</v>
      </c>
      <c r="P632"/>
      <c r="T632" s="9"/>
    </row>
    <row r="633" spans="1:20" x14ac:dyDescent="0.25">
      <c r="B633" s="2" t="s">
        <v>6</v>
      </c>
      <c r="C633" s="2">
        <v>2026</v>
      </c>
      <c r="D633" s="1">
        <f t="shared" si="233"/>
        <v>3195245</v>
      </c>
      <c r="E633" s="11">
        <f t="shared" si="233"/>
        <v>248881611.38999999</v>
      </c>
      <c r="F633" s="1">
        <f t="shared" si="234"/>
        <v>4984333</v>
      </c>
      <c r="G633" s="11">
        <f t="shared" si="234"/>
        <v>764488500.79999995</v>
      </c>
      <c r="H633" s="1">
        <f t="shared" ref="H633:H643" si="239">+D633+F633</f>
        <v>8179578</v>
      </c>
      <c r="I633" s="11">
        <f t="shared" si="235"/>
        <v>1013370112.1899999</v>
      </c>
      <c r="J633" s="1">
        <f t="shared" si="236"/>
        <v>11163828</v>
      </c>
      <c r="K633" s="11">
        <f t="shared" si="236"/>
        <v>1169144236.5999997</v>
      </c>
      <c r="L633" s="1">
        <f t="shared" ref="L633:L643" si="240">H633+J633</f>
        <v>19343406</v>
      </c>
      <c r="M633" s="11">
        <f t="shared" si="237"/>
        <v>2182514348.7899995</v>
      </c>
      <c r="N633" s="37">
        <f t="shared" si="238"/>
        <v>0</v>
      </c>
      <c r="O633" s="13">
        <f t="shared" si="238"/>
        <v>0</v>
      </c>
      <c r="P633"/>
      <c r="T633" s="9"/>
    </row>
    <row r="634" spans="1:20" x14ac:dyDescent="0.25">
      <c r="B634" s="2" t="s">
        <v>7</v>
      </c>
      <c r="C634" s="2">
        <v>2026</v>
      </c>
      <c r="D634" s="1">
        <f t="shared" si="233"/>
        <v>3519849</v>
      </c>
      <c r="E634" s="11">
        <f t="shared" si="233"/>
        <v>282469688.51999998</v>
      </c>
      <c r="F634" s="1">
        <f t="shared" si="234"/>
        <v>5697848</v>
      </c>
      <c r="G634" s="11">
        <f t="shared" si="234"/>
        <v>884026560.39999986</v>
      </c>
      <c r="H634" s="1">
        <f t="shared" si="239"/>
        <v>9217697</v>
      </c>
      <c r="I634" s="11">
        <f t="shared" si="235"/>
        <v>1166496248.9199998</v>
      </c>
      <c r="J634" s="1">
        <f t="shared" si="236"/>
        <v>12401526</v>
      </c>
      <c r="K634" s="11">
        <f t="shared" si="236"/>
        <v>1291727511.7900002</v>
      </c>
      <c r="L634" s="1">
        <f t="shared" si="240"/>
        <v>21619223</v>
      </c>
      <c r="M634" s="11">
        <f t="shared" si="237"/>
        <v>2458223760.71</v>
      </c>
      <c r="N634" s="37">
        <f t="shared" si="238"/>
        <v>0</v>
      </c>
      <c r="O634" s="13">
        <f t="shared" si="238"/>
        <v>0</v>
      </c>
      <c r="P634"/>
      <c r="T634" s="9"/>
    </row>
    <row r="635" spans="1:20" x14ac:dyDescent="0.25">
      <c r="B635" s="2" t="s">
        <v>8</v>
      </c>
      <c r="C635" s="2">
        <v>2026</v>
      </c>
      <c r="D635" s="1">
        <f t="shared" si="233"/>
        <v>3341399</v>
      </c>
      <c r="E635" s="11">
        <f t="shared" si="233"/>
        <v>276946290.29999995</v>
      </c>
      <c r="F635" s="1">
        <f t="shared" si="234"/>
        <v>5433385</v>
      </c>
      <c r="G635" s="11">
        <f t="shared" si="234"/>
        <v>880607883.24000001</v>
      </c>
      <c r="H635" s="1">
        <f t="shared" si="239"/>
        <v>8774784</v>
      </c>
      <c r="I635" s="11">
        <f t="shared" si="235"/>
        <v>1157554173.54</v>
      </c>
      <c r="J635" s="1">
        <f t="shared" si="236"/>
        <v>12043049</v>
      </c>
      <c r="K635" s="11">
        <f t="shared" si="236"/>
        <v>1349718929.22</v>
      </c>
      <c r="L635" s="1">
        <f t="shared" si="240"/>
        <v>20817833</v>
      </c>
      <c r="M635" s="11">
        <f t="shared" si="237"/>
        <v>2507273102.7600002</v>
      </c>
      <c r="N635" s="37">
        <f t="shared" si="238"/>
        <v>0</v>
      </c>
      <c r="O635" s="13">
        <f t="shared" si="238"/>
        <v>0</v>
      </c>
      <c r="P635"/>
      <c r="T635" s="9"/>
    </row>
    <row r="636" spans="1:20" x14ac:dyDescent="0.25">
      <c r="B636" s="2" t="s">
        <v>9</v>
      </c>
      <c r="C636" s="2">
        <v>2026</v>
      </c>
      <c r="D636" s="1">
        <f t="shared" si="233"/>
        <v>3439878</v>
      </c>
      <c r="E636" s="11">
        <f t="shared" si="233"/>
        <v>277861676.70000005</v>
      </c>
      <c r="F636" s="1">
        <f t="shared" si="234"/>
        <v>5502026</v>
      </c>
      <c r="G636" s="11">
        <f t="shared" si="234"/>
        <v>917448923.31999993</v>
      </c>
      <c r="H636" s="1">
        <f t="shared" si="239"/>
        <v>8941904</v>
      </c>
      <c r="I636" s="11">
        <f t="shared" si="235"/>
        <v>1195310600.02</v>
      </c>
      <c r="J636" s="1">
        <f t="shared" si="236"/>
        <v>12839292</v>
      </c>
      <c r="K636" s="11">
        <f t="shared" si="236"/>
        <v>1382769694.6100001</v>
      </c>
      <c r="L636" s="1">
        <f t="shared" si="240"/>
        <v>21781196</v>
      </c>
      <c r="M636" s="11">
        <f t="shared" si="237"/>
        <v>2578080294.6300001</v>
      </c>
      <c r="N636" s="37">
        <f t="shared" si="238"/>
        <v>0</v>
      </c>
      <c r="O636" s="13">
        <f t="shared" si="238"/>
        <v>0</v>
      </c>
      <c r="P636"/>
      <c r="T636" s="9"/>
    </row>
    <row r="637" spans="1:20" x14ac:dyDescent="0.25">
      <c r="B637" s="2" t="s">
        <v>10</v>
      </c>
      <c r="C637" s="2">
        <v>2026</v>
      </c>
      <c r="D637" s="1">
        <f t="shared" si="233"/>
        <v>3185148</v>
      </c>
      <c r="E637" s="11">
        <f t="shared" si="233"/>
        <v>258607674.60999998</v>
      </c>
      <c r="F637" s="1">
        <f t="shared" si="234"/>
        <v>5035402</v>
      </c>
      <c r="G637" s="11">
        <f t="shared" si="234"/>
        <v>846047083.16000009</v>
      </c>
      <c r="H637" s="1">
        <f t="shared" si="239"/>
        <v>8220550</v>
      </c>
      <c r="I637" s="11">
        <f t="shared" si="235"/>
        <v>1104654757.77</v>
      </c>
      <c r="J637" s="1">
        <f t="shared" si="236"/>
        <v>12186383</v>
      </c>
      <c r="K637" s="11">
        <f t="shared" si="236"/>
        <v>1324314209.9199998</v>
      </c>
      <c r="L637" s="1">
        <f t="shared" si="240"/>
        <v>20406933</v>
      </c>
      <c r="M637" s="11">
        <f t="shared" si="237"/>
        <v>2428968967.6899996</v>
      </c>
      <c r="N637" s="37">
        <f t="shared" si="238"/>
        <v>0</v>
      </c>
      <c r="O637" s="13">
        <f t="shared" si="238"/>
        <v>0</v>
      </c>
      <c r="P637"/>
      <c r="T637" s="9"/>
    </row>
    <row r="638" spans="1:20" x14ac:dyDescent="0.25">
      <c r="B638" s="2" t="s">
        <v>11</v>
      </c>
      <c r="C638" s="2">
        <v>2026</v>
      </c>
      <c r="D638" s="1">
        <f t="shared" si="233"/>
        <v>0</v>
      </c>
      <c r="E638" s="11">
        <f t="shared" si="233"/>
        <v>0</v>
      </c>
      <c r="F638" s="1">
        <f t="shared" si="234"/>
        <v>0</v>
      </c>
      <c r="G638" s="11">
        <f t="shared" si="234"/>
        <v>0</v>
      </c>
      <c r="H638" s="1">
        <f t="shared" si="239"/>
        <v>0</v>
      </c>
      <c r="I638" s="11">
        <f t="shared" si="235"/>
        <v>0</v>
      </c>
      <c r="J638" s="1">
        <f t="shared" si="236"/>
        <v>0</v>
      </c>
      <c r="K638" s="11">
        <f t="shared" si="236"/>
        <v>0</v>
      </c>
      <c r="L638" s="1">
        <f t="shared" si="240"/>
        <v>0</v>
      </c>
      <c r="M638" s="11">
        <f t="shared" si="237"/>
        <v>0</v>
      </c>
      <c r="N638" s="37">
        <f t="shared" si="238"/>
        <v>0</v>
      </c>
      <c r="O638" s="13">
        <f t="shared" si="238"/>
        <v>0</v>
      </c>
      <c r="P638"/>
      <c r="T638" s="9"/>
    </row>
    <row r="639" spans="1:20" x14ac:dyDescent="0.25">
      <c r="B639" s="2" t="s">
        <v>4</v>
      </c>
      <c r="C639" s="2">
        <v>2026</v>
      </c>
      <c r="D639" s="1">
        <f t="shared" si="233"/>
        <v>0</v>
      </c>
      <c r="E639" s="11">
        <f t="shared" si="233"/>
        <v>0</v>
      </c>
      <c r="F639" s="1">
        <f t="shared" si="234"/>
        <v>0</v>
      </c>
      <c r="G639" s="11">
        <f t="shared" si="234"/>
        <v>0</v>
      </c>
      <c r="H639" s="1">
        <f t="shared" si="239"/>
        <v>0</v>
      </c>
      <c r="I639" s="11">
        <f t="shared" si="235"/>
        <v>0</v>
      </c>
      <c r="J639" s="1">
        <f t="shared" si="236"/>
        <v>0</v>
      </c>
      <c r="K639" s="11">
        <f t="shared" si="236"/>
        <v>0</v>
      </c>
      <c r="L639" s="1">
        <f t="shared" si="240"/>
        <v>0</v>
      </c>
      <c r="M639" s="11">
        <f t="shared" si="237"/>
        <v>0</v>
      </c>
      <c r="N639" s="37">
        <f t="shared" si="238"/>
        <v>0</v>
      </c>
      <c r="O639" s="13">
        <f t="shared" si="238"/>
        <v>0</v>
      </c>
      <c r="P639"/>
      <c r="T639" s="9"/>
    </row>
    <row r="640" spans="1:20" x14ac:dyDescent="0.25">
      <c r="B640" s="2" t="s">
        <v>28</v>
      </c>
      <c r="C640" s="2">
        <v>2026</v>
      </c>
      <c r="D640" s="1">
        <f t="shared" si="233"/>
        <v>0</v>
      </c>
      <c r="E640" s="11">
        <f t="shared" si="233"/>
        <v>0</v>
      </c>
      <c r="F640" s="1">
        <f t="shared" si="234"/>
        <v>0</v>
      </c>
      <c r="G640" s="11">
        <f t="shared" si="234"/>
        <v>0</v>
      </c>
      <c r="H640" s="1">
        <f t="shared" si="239"/>
        <v>0</v>
      </c>
      <c r="I640" s="11">
        <f t="shared" si="235"/>
        <v>0</v>
      </c>
      <c r="J640" s="1">
        <f t="shared" si="236"/>
        <v>0</v>
      </c>
      <c r="K640" s="11">
        <f t="shared" si="236"/>
        <v>0</v>
      </c>
      <c r="L640" s="1">
        <f t="shared" si="240"/>
        <v>0</v>
      </c>
      <c r="M640" s="11">
        <f t="shared" si="237"/>
        <v>0</v>
      </c>
      <c r="N640" s="37">
        <f t="shared" si="238"/>
        <v>0</v>
      </c>
      <c r="O640" s="13">
        <f t="shared" si="238"/>
        <v>0</v>
      </c>
      <c r="P640"/>
      <c r="T640" s="9"/>
    </row>
    <row r="641" spans="2:22" x14ac:dyDescent="0.25">
      <c r="B641" s="2" t="s">
        <v>29</v>
      </c>
      <c r="C641" s="2">
        <v>2026</v>
      </c>
      <c r="D641" s="1">
        <f t="shared" si="233"/>
        <v>0</v>
      </c>
      <c r="E641" s="11">
        <f t="shared" si="233"/>
        <v>0</v>
      </c>
      <c r="F641" s="1">
        <f t="shared" si="234"/>
        <v>0</v>
      </c>
      <c r="G641" s="11">
        <f t="shared" si="234"/>
        <v>0</v>
      </c>
      <c r="H641" s="1">
        <f t="shared" si="239"/>
        <v>0</v>
      </c>
      <c r="I641" s="11">
        <f t="shared" si="235"/>
        <v>0</v>
      </c>
      <c r="J641" s="1">
        <f t="shared" si="236"/>
        <v>0</v>
      </c>
      <c r="K641" s="11">
        <f t="shared" si="236"/>
        <v>0</v>
      </c>
      <c r="L641" s="1">
        <f t="shared" si="240"/>
        <v>0</v>
      </c>
      <c r="M641" s="11">
        <f t="shared" si="237"/>
        <v>0</v>
      </c>
      <c r="N641" s="37">
        <f t="shared" si="238"/>
        <v>0</v>
      </c>
      <c r="O641" s="13">
        <f t="shared" si="238"/>
        <v>0</v>
      </c>
      <c r="P641"/>
      <c r="T641" s="9"/>
    </row>
    <row r="642" spans="2:22" x14ac:dyDescent="0.25">
      <c r="B642" s="2" t="s">
        <v>30</v>
      </c>
      <c r="C642" s="2">
        <v>2026</v>
      </c>
      <c r="D642" s="1">
        <f t="shared" si="233"/>
        <v>0</v>
      </c>
      <c r="E642" s="11">
        <f t="shared" si="233"/>
        <v>0</v>
      </c>
      <c r="F642" s="1">
        <f t="shared" si="234"/>
        <v>0</v>
      </c>
      <c r="G642" s="11">
        <f t="shared" si="234"/>
        <v>0</v>
      </c>
      <c r="H642" s="1">
        <f t="shared" si="239"/>
        <v>0</v>
      </c>
      <c r="I642" s="11">
        <f t="shared" si="235"/>
        <v>0</v>
      </c>
      <c r="J642" s="1">
        <f t="shared" si="236"/>
        <v>0</v>
      </c>
      <c r="K642" s="11">
        <f t="shared" si="236"/>
        <v>0</v>
      </c>
      <c r="L642" s="1">
        <f t="shared" si="240"/>
        <v>0</v>
      </c>
      <c r="M642" s="11">
        <f t="shared" si="237"/>
        <v>0</v>
      </c>
      <c r="N642" s="37">
        <f t="shared" si="238"/>
        <v>0</v>
      </c>
      <c r="O642" s="13">
        <f t="shared" si="238"/>
        <v>0</v>
      </c>
      <c r="P642"/>
      <c r="T642" s="9"/>
    </row>
    <row r="643" spans="2:22" x14ac:dyDescent="0.25">
      <c r="B643" s="2" t="s">
        <v>31</v>
      </c>
      <c r="C643" s="2">
        <v>2026</v>
      </c>
      <c r="D643" s="1">
        <f t="shared" si="233"/>
        <v>0</v>
      </c>
      <c r="E643" s="11">
        <f t="shared" si="233"/>
        <v>0</v>
      </c>
      <c r="F643" s="1">
        <f t="shared" si="234"/>
        <v>0</v>
      </c>
      <c r="G643" s="11">
        <f t="shared" si="234"/>
        <v>0</v>
      </c>
      <c r="H643" s="1">
        <f t="shared" si="239"/>
        <v>0</v>
      </c>
      <c r="I643" s="11">
        <f t="shared" si="235"/>
        <v>0</v>
      </c>
      <c r="J643" s="1">
        <f t="shared" si="236"/>
        <v>0</v>
      </c>
      <c r="K643" s="11">
        <f t="shared" si="236"/>
        <v>0</v>
      </c>
      <c r="L643" s="1">
        <f t="shared" si="240"/>
        <v>0</v>
      </c>
      <c r="M643" s="11">
        <f t="shared" si="237"/>
        <v>0</v>
      </c>
      <c r="N643" s="37">
        <f t="shared" si="238"/>
        <v>0</v>
      </c>
      <c r="O643" s="13">
        <f t="shared" si="238"/>
        <v>0</v>
      </c>
      <c r="P643"/>
      <c r="T643" s="9"/>
    </row>
    <row r="644" spans="2:22" x14ac:dyDescent="0.25">
      <c r="E644"/>
      <c r="F644"/>
      <c r="G644"/>
      <c r="I644"/>
      <c r="K644"/>
      <c r="M644"/>
      <c r="N644" s="37"/>
      <c r="O644" s="13"/>
      <c r="P644"/>
      <c r="T644" s="9"/>
    </row>
    <row r="645" spans="2:22" x14ac:dyDescent="0.25">
      <c r="B645" s="88" t="s">
        <v>12</v>
      </c>
      <c r="C645" s="88"/>
      <c r="D645" s="4">
        <f>SUM(D632:D644)</f>
        <v>20180518</v>
      </c>
      <c r="E645" s="12">
        <f>SUM(E632:E644)</f>
        <v>1611467137.8399999</v>
      </c>
      <c r="F645" s="4">
        <f t="shared" ref="F645:M645" si="241">SUM(F632:F644)</f>
        <v>32365500</v>
      </c>
      <c r="G645" s="12">
        <f t="shared" si="241"/>
        <v>5172151204.1799994</v>
      </c>
      <c r="H645" s="4">
        <f t="shared" si="241"/>
        <v>52546018</v>
      </c>
      <c r="I645" s="12">
        <f t="shared" si="241"/>
        <v>6783618342.0200005</v>
      </c>
      <c r="J645" s="4">
        <f t="shared" si="241"/>
        <v>72452111</v>
      </c>
      <c r="K645" s="12">
        <f t="shared" si="241"/>
        <v>7739489193.6599998</v>
      </c>
      <c r="L645" s="4">
        <f t="shared" si="241"/>
        <v>124998129</v>
      </c>
      <c r="M645" s="12">
        <f t="shared" si="241"/>
        <v>14523107535.68</v>
      </c>
      <c r="O645"/>
      <c r="P645"/>
      <c r="T645" s="9"/>
    </row>
    <row r="646" spans="2:22" x14ac:dyDescent="0.25">
      <c r="H646" s="78"/>
      <c r="J646" s="9"/>
      <c r="P646"/>
      <c r="R646"/>
      <c r="T646" s="9"/>
      <c r="V646" s="9"/>
    </row>
    <row r="647" spans="2:22" x14ac:dyDescent="0.25">
      <c r="E647"/>
      <c r="F647" s="88" t="s">
        <v>111</v>
      </c>
      <c r="G647" s="88"/>
      <c r="H647" s="4">
        <f t="shared" ref="H647:M647" si="242">AVERAGE(H632:H643)</f>
        <v>4378834.833333333</v>
      </c>
      <c r="I647" s="12">
        <f t="shared" si="242"/>
        <v>565301528.50166667</v>
      </c>
      <c r="J647" s="4">
        <f t="shared" si="242"/>
        <v>6037675.916666667</v>
      </c>
      <c r="K647" s="12">
        <f t="shared" si="242"/>
        <v>644957432.80499995</v>
      </c>
      <c r="L647" s="4">
        <f t="shared" si="242"/>
        <v>10416510.75</v>
      </c>
      <c r="M647" s="12">
        <f t="shared" si="242"/>
        <v>1210258961.3066666</v>
      </c>
      <c r="O647"/>
      <c r="P647"/>
      <c r="T647" s="9"/>
    </row>
    <row r="648" spans="2:22" x14ac:dyDescent="0.25">
      <c r="E648"/>
      <c r="H648" s="9"/>
      <c r="P648"/>
      <c r="T648" s="9"/>
    </row>
    <row r="649" spans="2:22" x14ac:dyDescent="0.25">
      <c r="H649" s="9"/>
      <c r="J649" s="9"/>
      <c r="P649"/>
      <c r="R649"/>
      <c r="T649" s="9"/>
      <c r="V649" s="9"/>
    </row>
    <row r="650" spans="2:22" x14ac:dyDescent="0.25">
      <c r="H650" s="9"/>
      <c r="J650" s="9"/>
      <c r="P650"/>
      <c r="R650"/>
      <c r="T650" s="9"/>
      <c r="V650" s="9"/>
    </row>
    <row r="651" spans="2:22" x14ac:dyDescent="0.25">
      <c r="H651" s="9"/>
      <c r="J651" s="9"/>
      <c r="P651"/>
      <c r="R651"/>
      <c r="T651" s="9"/>
      <c r="V651" s="9"/>
    </row>
    <row r="652" spans="2:22" x14ac:dyDescent="0.25">
      <c r="H652" s="9"/>
      <c r="J652" s="9"/>
      <c r="P652"/>
      <c r="R652"/>
      <c r="T652" s="9"/>
      <c r="V652" s="9"/>
    </row>
  </sheetData>
  <autoFilter ref="A6:AQ643" xr:uid="{025CF1B5-CE8E-41C9-8676-B577D26C40A8}"/>
  <mergeCells count="357"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AE311:AF311"/>
    <mergeCell ref="D290:E290"/>
    <mergeCell ref="AG332:AH332"/>
    <mergeCell ref="AI332:AJ332"/>
    <mergeCell ref="AK332:AL332"/>
    <mergeCell ref="AM332:AN332"/>
    <mergeCell ref="D354:E354"/>
    <mergeCell ref="F354:G354"/>
    <mergeCell ref="H354:I354"/>
    <mergeCell ref="J354:K354"/>
    <mergeCell ref="L354:M354"/>
    <mergeCell ref="N354:O354"/>
    <mergeCell ref="P332:Q332"/>
    <mergeCell ref="R332:S332"/>
    <mergeCell ref="T332:U332"/>
    <mergeCell ref="AA332:AB332"/>
    <mergeCell ref="AC332:AD332"/>
    <mergeCell ref="AE332:AF332"/>
    <mergeCell ref="AM354:AN354"/>
    <mergeCell ref="D332:E332"/>
    <mergeCell ref="F332:G332"/>
    <mergeCell ref="H332:I332"/>
    <mergeCell ref="J332:K332"/>
    <mergeCell ref="L332:M332"/>
    <mergeCell ref="N332:O332"/>
    <mergeCell ref="AS355:AT355"/>
    <mergeCell ref="D375:E375"/>
    <mergeCell ref="F375:G375"/>
    <mergeCell ref="H375:I375"/>
    <mergeCell ref="J375:K375"/>
    <mergeCell ref="L375:M375"/>
    <mergeCell ref="P354:Q354"/>
    <mergeCell ref="R354:S354"/>
    <mergeCell ref="T354:U354"/>
    <mergeCell ref="AA354:AB354"/>
    <mergeCell ref="AC354:AD354"/>
    <mergeCell ref="AE354:AF354"/>
    <mergeCell ref="N375:O375"/>
    <mergeCell ref="P375:Q375"/>
    <mergeCell ref="R375:S375"/>
    <mergeCell ref="T375:U375"/>
    <mergeCell ref="V375:W375"/>
    <mergeCell ref="X375:Y375"/>
    <mergeCell ref="AG354:AH354"/>
    <mergeCell ref="AI354:AJ354"/>
    <mergeCell ref="AK354:AL354"/>
    <mergeCell ref="D418:E418"/>
    <mergeCell ref="F418:G418"/>
    <mergeCell ref="H418:I418"/>
    <mergeCell ref="J418:K418"/>
    <mergeCell ref="L418:M418"/>
    <mergeCell ref="B434:C434"/>
    <mergeCell ref="D397:E397"/>
    <mergeCell ref="F397:G397"/>
    <mergeCell ref="H397:I397"/>
    <mergeCell ref="J397:K397"/>
    <mergeCell ref="L397:M397"/>
    <mergeCell ref="B413:C413"/>
    <mergeCell ref="D460:E460"/>
    <mergeCell ref="F460:G460"/>
    <mergeCell ref="H460:I460"/>
    <mergeCell ref="J460:K460"/>
    <mergeCell ref="L460:M460"/>
    <mergeCell ref="B476:C476"/>
    <mergeCell ref="D439:E439"/>
    <mergeCell ref="F439:G439"/>
    <mergeCell ref="H439:I439"/>
    <mergeCell ref="J439:K439"/>
    <mergeCell ref="L439:M439"/>
    <mergeCell ref="B455:C455"/>
    <mergeCell ref="D502:E502"/>
    <mergeCell ref="F502:G502"/>
    <mergeCell ref="H502:I502"/>
    <mergeCell ref="J502:K502"/>
    <mergeCell ref="L502:M502"/>
    <mergeCell ref="B518:C518"/>
    <mergeCell ref="D481:E481"/>
    <mergeCell ref="F481:G481"/>
    <mergeCell ref="H481:I481"/>
    <mergeCell ref="J481:K481"/>
    <mergeCell ref="L481:M481"/>
    <mergeCell ref="B497:C497"/>
    <mergeCell ref="D544:E544"/>
    <mergeCell ref="F544:G544"/>
    <mergeCell ref="H544:I544"/>
    <mergeCell ref="J544:K544"/>
    <mergeCell ref="L544:M544"/>
    <mergeCell ref="B560:C560"/>
    <mergeCell ref="D523:E523"/>
    <mergeCell ref="F523:G523"/>
    <mergeCell ref="H523:I523"/>
    <mergeCell ref="J523:K523"/>
    <mergeCell ref="L523:M523"/>
    <mergeCell ref="B539:C539"/>
    <mergeCell ref="D586:E586"/>
    <mergeCell ref="F586:G586"/>
    <mergeCell ref="H586:I586"/>
    <mergeCell ref="J586:K586"/>
    <mergeCell ref="L586:M586"/>
    <mergeCell ref="B602:C602"/>
    <mergeCell ref="D565:E565"/>
    <mergeCell ref="F565:G565"/>
    <mergeCell ref="H565:I565"/>
    <mergeCell ref="J565:K565"/>
    <mergeCell ref="L565:M565"/>
    <mergeCell ref="B581:C581"/>
    <mergeCell ref="F647:G647"/>
    <mergeCell ref="D629:E629"/>
    <mergeCell ref="F629:G629"/>
    <mergeCell ref="H629:I629"/>
    <mergeCell ref="J629:K629"/>
    <mergeCell ref="L629:M629"/>
    <mergeCell ref="B645:C645"/>
    <mergeCell ref="D607:E607"/>
    <mergeCell ref="F607:G607"/>
    <mergeCell ref="H607:I607"/>
    <mergeCell ref="J607:K607"/>
    <mergeCell ref="L607:M607"/>
    <mergeCell ref="B623:C623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D806-C804-453C-8D61-871B5F7780EA}">
  <dimension ref="A2:H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A2:G6"/>
    </sheetView>
  </sheetViews>
  <sheetFormatPr baseColWidth="10" defaultRowHeight="15" x14ac:dyDescent="0.25"/>
  <cols>
    <col min="2" max="2" width="15.5703125" bestFit="1" customWidth="1"/>
    <col min="3" max="3" width="17.85546875" bestFit="1" customWidth="1"/>
    <col min="4" max="4" width="13" bestFit="1" customWidth="1"/>
    <col min="5" max="5" width="17.85546875" bestFit="1" customWidth="1"/>
    <col min="6" max="6" width="14" bestFit="1" customWidth="1"/>
    <col min="7" max="7" width="18.85546875" bestFit="1" customWidth="1"/>
    <col min="8" max="8" width="17.85546875" bestFit="1" customWidth="1"/>
  </cols>
  <sheetData>
    <row r="2" spans="1:8" x14ac:dyDescent="0.25">
      <c r="B2" s="95" t="s">
        <v>98</v>
      </c>
      <c r="C2" s="95"/>
      <c r="D2" s="95" t="s">
        <v>103</v>
      </c>
      <c r="E2" s="95"/>
      <c r="F2" s="95" t="s">
        <v>104</v>
      </c>
      <c r="G2" s="95"/>
    </row>
    <row r="3" spans="1:8" x14ac:dyDescent="0.25">
      <c r="A3" s="66" t="s">
        <v>97</v>
      </c>
      <c r="B3" s="66" t="s">
        <v>96</v>
      </c>
      <c r="C3" s="66" t="s">
        <v>86</v>
      </c>
      <c r="D3" s="66" t="s">
        <v>96</v>
      </c>
      <c r="E3" s="66" t="s">
        <v>86</v>
      </c>
      <c r="F3" s="66" t="s">
        <v>96</v>
      </c>
      <c r="G3" s="66" t="s">
        <v>86</v>
      </c>
    </row>
    <row r="4" spans="1:8" x14ac:dyDescent="0.25">
      <c r="A4">
        <v>2022</v>
      </c>
      <c r="B4" s="15">
        <v>42275113</v>
      </c>
      <c r="C4" s="9">
        <v>5175062058.6700001</v>
      </c>
      <c r="D4" s="15">
        <v>33097734</v>
      </c>
      <c r="E4" s="9">
        <v>1862352054.7300003</v>
      </c>
      <c r="F4" s="15">
        <v>108889851</v>
      </c>
      <c r="G4" s="9">
        <v>8957820901.4699993</v>
      </c>
      <c r="H4" s="37">
        <f>+D4+F4-'Aforo e Ingreso 2022'!V315</f>
        <v>0</v>
      </c>
    </row>
    <row r="5" spans="1:8" x14ac:dyDescent="0.25">
      <c r="A5">
        <v>2023</v>
      </c>
      <c r="B5" s="15">
        <v>53960575</v>
      </c>
      <c r="C5" s="9">
        <v>7667471446.8100004</v>
      </c>
      <c r="D5" s="15">
        <v>38056727</v>
      </c>
      <c r="E5" s="9">
        <v>2504096355.5900002</v>
      </c>
      <c r="F5" s="15">
        <v>126025720</v>
      </c>
      <c r="G5" s="9">
        <v>11285470368.609997</v>
      </c>
      <c r="H5" s="13">
        <f>+E5+G5-'Aforo e Ingreso 2023'!U336</f>
        <v>0</v>
      </c>
    </row>
    <row r="6" spans="1:8" x14ac:dyDescent="0.25">
      <c r="A6" s="76" t="s">
        <v>105</v>
      </c>
      <c r="B6" s="15">
        <v>18933956</v>
      </c>
      <c r="C6" s="9">
        <v>2792005167.3800001</v>
      </c>
      <c r="D6" s="15">
        <v>13167785</v>
      </c>
      <c r="E6" s="9">
        <v>919234653.27999997</v>
      </c>
      <c r="F6" s="15">
        <v>43938492</v>
      </c>
      <c r="G6" s="9">
        <v>4215222660.1699963</v>
      </c>
      <c r="H6" s="13">
        <f>+E6+G6-'Aforo e Ingreso 2024'!U370</f>
        <v>-11529828673.86998</v>
      </c>
    </row>
    <row r="7" spans="1:8" x14ac:dyDescent="0.25">
      <c r="A7" s="66"/>
      <c r="B7" s="72"/>
      <c r="C7" s="72"/>
    </row>
  </sheetData>
  <mergeCells count="3">
    <mergeCell ref="B2:C2"/>
    <mergeCell ref="D2:E2"/>
    <mergeCell ref="F2:G2"/>
  </mergeCells>
  <pageMargins left="0.7" right="0.7" top="0.75" bottom="0.75" header="0.3" footer="0.3"/>
  <headerFooter>
    <oddHeader>&amp;L&amp;"Calibri"&amp;10&amp;K000000 Datos Personales No – Confidencial&amp;1#_x000D_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3B4E3D68DFBA47A2B7F9F8AF5D4FD5" ma:contentTypeVersion="12" ma:contentTypeDescription="Crear nuevo documento." ma:contentTypeScope="" ma:versionID="432e89b1a401977cd5d7b5f6f6240f45">
  <xsd:schema xmlns:xsd="http://www.w3.org/2001/XMLSchema" xmlns:xs="http://www.w3.org/2001/XMLSchema" xmlns:p="http://schemas.microsoft.com/office/2006/metadata/properties" xmlns:ns1="http://schemas.microsoft.com/sharepoint/v3" xmlns:ns3="565f19d5-ee5d-4e3d-80e7-ab3d2ec55ba3" xmlns:ns4="f74cd73c-ee3a-4061-91ea-431da035ae86" targetNamespace="http://schemas.microsoft.com/office/2006/metadata/properties" ma:root="true" ma:fieldsID="977df59fb59e821a8df553f74dcde9a4" ns1:_="" ns3:_="" ns4:_="">
    <xsd:import namespace="http://schemas.microsoft.com/sharepoint/v3"/>
    <xsd:import namespace="565f19d5-ee5d-4e3d-80e7-ab3d2ec55ba3"/>
    <xsd:import namespace="f74cd73c-ee3a-4061-91ea-431da035ae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f19d5-ee5d-4e3d-80e7-ab3d2ec55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cd73c-ee3a-4061-91ea-431da035ae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9D7C0-81FE-433B-BF83-FF792DBACF5A}">
  <ds:schemaRefs>
    <ds:schemaRef ds:uri="http://schemas.microsoft.com/sharepoint/v3"/>
    <ds:schemaRef ds:uri="f74cd73c-ee3a-4061-91ea-431da035ae86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65f19d5-ee5d-4e3d-80e7-ab3d2ec55ba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AEA4EB-5D1E-453E-8AE7-1E4E092D9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CA3F1-C3F7-4EA6-AD9C-6A1298D52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5f19d5-ee5d-4e3d-80e7-ab3d2ec55ba3"/>
    <ds:schemaRef ds:uri="f74cd73c-ee3a-4061-91ea-431da035ae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Aforo e Ingreso 2015</vt:lpstr>
      <vt:lpstr>Aforo e Ingreso 2016</vt:lpstr>
      <vt:lpstr>Aforo e Ingreso 2017</vt:lpstr>
      <vt:lpstr>Aforo e Ingreso 2018</vt:lpstr>
      <vt:lpstr>Aforo e Ingreso 2019</vt:lpstr>
      <vt:lpstr>Aforo e Ingreso 2020</vt:lpstr>
      <vt:lpstr>Aforo e Ingreso 2021</vt:lpstr>
      <vt:lpstr>Aforo e Ingreso 2022</vt:lpstr>
      <vt:lpstr>Aforo e Ingreso 2023</vt:lpstr>
      <vt:lpstr>Aforo e Ingreso 2024</vt:lpstr>
      <vt:lpstr>Aforo e Ingreso 2025</vt:lpstr>
      <vt:lpstr>Aforo e Ingreso 2026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Gbriela Cabrera Galicia</dc:creator>
  <cp:lastModifiedBy>Ana Gabriela Cabrera Galicia</cp:lastModifiedBy>
  <dcterms:created xsi:type="dcterms:W3CDTF">2016-09-12T17:01:36Z</dcterms:created>
  <dcterms:modified xsi:type="dcterms:W3CDTF">2026-07-07T01:22:11Z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0x010100563B4E3D68DFBA47A2B7F9F8AF5D4FD5</vt:lpwstr>
  </property>
  <property fmtid="{D5CDD505-2E9C-101B-9397-08002B2CF9AE}" pid="4" name="MSIP_Label_8d8013a9-27ab-443f-b4b1-8497273b3c89_Enabled">
    <vt:lpwstr>true</vt:lpwstr>
  </property>
  <property fmtid="{D5CDD505-2E9C-101B-9397-08002B2CF9AE}" pid="5" name="MSIP_Label_8d8013a9-27ab-443f-b4b1-8497273b3c89_SetDate">
    <vt:lpwstr>2024-10-10T22:03:12Z</vt:lpwstr>
  </property>
  <property fmtid="{D5CDD505-2E9C-101B-9397-08002B2CF9AE}" pid="6" name="MSIP_Label_8d8013a9-27ab-443f-b4b1-8497273b3c89_Method">
    <vt:lpwstr>Privileged</vt:lpwstr>
  </property>
  <property fmtid="{D5CDD505-2E9C-101B-9397-08002B2CF9AE}" pid="7" name="MSIP_Label_8d8013a9-27ab-443f-b4b1-8497273b3c89_Name">
    <vt:lpwstr>Datos Personales No – Confidencial</vt:lpwstr>
  </property>
  <property fmtid="{D5CDD505-2E9C-101B-9397-08002B2CF9AE}" pid="8" name="MSIP_Label_8d8013a9-27ab-443f-b4b1-8497273b3c89_SiteId">
    <vt:lpwstr>31bccd97-6329-436e-bfcc-a12e878d1c9b</vt:lpwstr>
  </property>
  <property fmtid="{D5CDD505-2E9C-101B-9397-08002B2CF9AE}" pid="9" name="MSIP_Label_8d8013a9-27ab-443f-b4b1-8497273b3c89_ActionId">
    <vt:lpwstr>11417820-7495-4a87-95ae-03636815cc8a</vt:lpwstr>
  </property>
  <property fmtid="{D5CDD505-2E9C-101B-9397-08002B2CF9AE}" pid="10" name="MSIP_Label_8d8013a9-27ab-443f-b4b1-8497273b3c89_ContentBits">
    <vt:lpwstr>1</vt:lpwstr>
  </property>
</Properties>
</file>